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pcor4-my.sharepoint.com/personal/thesselink_epcor_com/Documents/H_DRIVE/ENGLP/IRM/EB-2025-0178 - Southern Bruce/"/>
    </mc:Choice>
  </mc:AlternateContent>
  <xr:revisionPtr revIDLastSave="1" documentId="13_ncr:1_{B56ECBA0-FBF7-4AEB-B618-13BB1E059047}" xr6:coauthVersionLast="47" xr6:coauthVersionMax="47" xr10:uidLastSave="{DAAC23CA-CE67-449D-838A-47200869D141}"/>
  <workbookProtection lockStructure="1"/>
  <bookViews>
    <workbookView xWindow="28680" yWindow="-120" windowWidth="29040" windowHeight="15720" xr2:uid="{00000000-000D-0000-FFFF-FFFF00000000}"/>
  </bookViews>
  <sheets>
    <sheet name="Summary" sheetId="24" r:id="rId1"/>
    <sheet name="ECVA" sheetId="25" r:id="rId2"/>
    <sheet name="CIACVA" sheetId="3" r:id="rId3"/>
    <sheet name="MTVA" sheetId="26" r:id="rId4"/>
    <sheet name="ORDA" sheetId="27" r:id="rId5"/>
    <sheet name="CVVA" sheetId="28" r:id="rId6"/>
    <sheet name="UFGVA" sheetId="14" r:id="rId7"/>
    <sheet name="S&amp;TVA" sheetId="30" r:id="rId8"/>
    <sheet name="TVA" sheetId="29" r:id="rId9"/>
    <sheet name="Load Forecast" sheetId="19" r:id="rId10"/>
  </sheets>
  <definedNames>
    <definedName name="_MailEndCompose" localSheetId="6">UFGVA!#REF!</definedName>
    <definedName name="_xlnm.Print_Area" localSheetId="2">CIACVA!$A$1:$O$42</definedName>
    <definedName name="_xlnm.Print_Area" localSheetId="5">CVVA!$A$1:$O$41</definedName>
    <definedName name="_xlnm.Print_Area" localSheetId="1">ECVA!$A$1:$P$43</definedName>
    <definedName name="_xlnm.Print_Area" localSheetId="3">MTVA!$A$1:$O$46</definedName>
    <definedName name="_xlnm.Print_Area" localSheetId="4">ORDA!$A$1:$O$45</definedName>
    <definedName name="_xlnm.Print_Area" localSheetId="7">'S&amp;TVA'!$A$1:$O$63</definedName>
    <definedName name="_xlnm.Print_Area" localSheetId="8">TVA!$A$1:$O$49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0" l="1"/>
  <c r="D42" i="30"/>
  <c r="D55" i="30" s="1"/>
  <c r="D63" i="30" s="1"/>
  <c r="E63" i="30"/>
  <c r="F63" i="30"/>
  <c r="E55" i="30"/>
  <c r="F55" i="30"/>
  <c r="F40" i="30"/>
  <c r="E40" i="30"/>
  <c r="D40" i="30"/>
  <c r="C55" i="30" l="1"/>
  <c r="D54" i="30" s="1"/>
  <c r="D61" i="30" l="1"/>
  <c r="E54" i="30"/>
  <c r="E61" i="30" s="1"/>
  <c r="F54" i="30"/>
  <c r="F61" i="30" s="1"/>
  <c r="C47" i="30"/>
  <c r="C54" i="30" l="1"/>
  <c r="F48" i="30"/>
  <c r="F49" i="30" s="1"/>
  <c r="E48" i="30"/>
  <c r="E49" i="30" s="1"/>
  <c r="D48" i="30"/>
  <c r="D49" i="30" s="1"/>
  <c r="F60" i="30"/>
  <c r="E60" i="30"/>
  <c r="D60" i="30"/>
  <c r="B69" i="30" l="1"/>
  <c r="D49" i="29"/>
  <c r="D48" i="29" s="1"/>
  <c r="D46" i="29"/>
  <c r="B55" i="29"/>
  <c r="D45" i="29"/>
  <c r="E38" i="28"/>
  <c r="D38" i="28"/>
  <c r="C32" i="28"/>
  <c r="E31" i="28"/>
  <c r="D31" i="28"/>
  <c r="E32" i="28"/>
  <c r="D32" i="28"/>
  <c r="D46" i="28"/>
  <c r="D47" i="28"/>
  <c r="D45" i="28"/>
  <c r="C47" i="28"/>
  <c r="C46" i="28"/>
  <c r="C45" i="28"/>
  <c r="B47" i="28"/>
  <c r="H37" i="14"/>
  <c r="E37" i="14"/>
  <c r="F37" i="14"/>
  <c r="D37" i="14"/>
  <c r="H36" i="14"/>
  <c r="E36" i="14"/>
  <c r="F36" i="14"/>
  <c r="D36" i="14"/>
  <c r="E30" i="14"/>
  <c r="F30" i="14"/>
  <c r="G30" i="14"/>
  <c r="D30" i="14"/>
  <c r="C19" i="19"/>
  <c r="D19" i="19"/>
  <c r="C37" i="14" l="1"/>
  <c r="C36" i="14"/>
  <c r="F7" i="19" l="1"/>
  <c r="H42" i="27" l="1"/>
  <c r="F42" i="27"/>
  <c r="E36" i="27"/>
  <c r="F36" i="27"/>
  <c r="G36" i="27"/>
  <c r="D36" i="27"/>
  <c r="H41" i="27"/>
  <c r="F41" i="27"/>
  <c r="E41" i="27"/>
  <c r="D41" i="27"/>
  <c r="C35" i="27"/>
  <c r="H43" i="26"/>
  <c r="D43" i="26"/>
  <c r="H44" i="26"/>
  <c r="F44" i="26"/>
  <c r="E44" i="26"/>
  <c r="D44" i="26"/>
  <c r="C44" i="26"/>
  <c r="H42" i="26"/>
  <c r="F42" i="26"/>
  <c r="E42" i="26"/>
  <c r="D42" i="26"/>
  <c r="G33" i="25"/>
  <c r="G39" i="25"/>
  <c r="F39" i="25"/>
  <c r="E39" i="25"/>
  <c r="F33" i="25"/>
  <c r="E33" i="25"/>
  <c r="C7" i="19"/>
  <c r="F39" i="3" s="1"/>
  <c r="B7" i="19"/>
  <c r="E39" i="3" s="1"/>
  <c r="C39" i="3" s="1"/>
  <c r="A7" i="19"/>
  <c r="D39" i="3" s="1"/>
  <c r="H39" i="3"/>
  <c r="E42" i="27" l="1"/>
  <c r="F43" i="26"/>
  <c r="E43" i="26"/>
  <c r="G40" i="25"/>
  <c r="F40" i="25"/>
  <c r="C43" i="26"/>
  <c r="E40" i="25"/>
  <c r="D40" i="25" s="1"/>
  <c r="D42" i="27"/>
  <c r="C42" i="27" s="1"/>
  <c r="B13" i="19"/>
  <c r="C13" i="19"/>
  <c r="D13" i="19"/>
  <c r="A13" i="19"/>
  <c r="E38" i="3" l="1"/>
  <c r="F38" i="3"/>
  <c r="H38" i="3"/>
  <c r="D38" i="3"/>
  <c r="N27" i="30" l="1"/>
  <c r="B27" i="30"/>
  <c r="B27" i="29"/>
  <c r="O24" i="30" l="1"/>
  <c r="M14" i="30"/>
  <c r="M18" i="30" s="1"/>
  <c r="M21" i="30" s="1"/>
  <c r="L14" i="30"/>
  <c r="L18" i="30" s="1"/>
  <c r="L21" i="30" s="1"/>
  <c r="K14" i="30"/>
  <c r="K18" i="30" s="1"/>
  <c r="K21" i="30" s="1"/>
  <c r="J14" i="30"/>
  <c r="J18" i="30" s="1"/>
  <c r="J21" i="30" s="1"/>
  <c r="I14" i="30"/>
  <c r="I18" i="30" s="1"/>
  <c r="I21" i="30" s="1"/>
  <c r="H14" i="30"/>
  <c r="H18" i="30" s="1"/>
  <c r="H21" i="30" s="1"/>
  <c r="G14" i="30"/>
  <c r="G18" i="30" s="1"/>
  <c r="G21" i="30" s="1"/>
  <c r="F14" i="30"/>
  <c r="F18" i="30" s="1"/>
  <c r="F21" i="30" s="1"/>
  <c r="E14" i="30"/>
  <c r="E18" i="30" s="1"/>
  <c r="E21" i="30" s="1"/>
  <c r="D14" i="30"/>
  <c r="D18" i="30" s="1"/>
  <c r="D21" i="30" s="1"/>
  <c r="C14" i="30"/>
  <c r="C18" i="30" s="1"/>
  <c r="C21" i="30" s="1"/>
  <c r="B14" i="30"/>
  <c r="B18" i="30" s="1"/>
  <c r="B21" i="30" s="1"/>
  <c r="B22" i="30" s="1"/>
  <c r="E17" i="24"/>
  <c r="F17" i="24"/>
  <c r="G17" i="24"/>
  <c r="D17" i="24"/>
  <c r="N27" i="29"/>
  <c r="O24" i="29"/>
  <c r="C14" i="29"/>
  <c r="C18" i="29" s="1"/>
  <c r="C21" i="29" s="1"/>
  <c r="D14" i="29"/>
  <c r="D18" i="29" s="1"/>
  <c r="D21" i="29" s="1"/>
  <c r="E14" i="29"/>
  <c r="E18" i="29" s="1"/>
  <c r="E21" i="29" s="1"/>
  <c r="F14" i="29"/>
  <c r="F18" i="29" s="1"/>
  <c r="F21" i="29" s="1"/>
  <c r="G14" i="29"/>
  <c r="G18" i="29" s="1"/>
  <c r="G21" i="29" s="1"/>
  <c r="H14" i="29"/>
  <c r="H18" i="29" s="1"/>
  <c r="H21" i="29" s="1"/>
  <c r="I14" i="29"/>
  <c r="I18" i="29" s="1"/>
  <c r="I21" i="29" s="1"/>
  <c r="J14" i="29"/>
  <c r="J18" i="29" s="1"/>
  <c r="J21" i="29" s="1"/>
  <c r="K14" i="29"/>
  <c r="K18" i="29" s="1"/>
  <c r="K21" i="29" s="1"/>
  <c r="L14" i="29"/>
  <c r="L18" i="29" s="1"/>
  <c r="L21" i="29" s="1"/>
  <c r="M14" i="29"/>
  <c r="M18" i="29" s="1"/>
  <c r="M21" i="29" s="1"/>
  <c r="B14" i="29"/>
  <c r="B18" i="29" s="1"/>
  <c r="B21" i="29" s="1"/>
  <c r="B22" i="29" s="1"/>
  <c r="C20" i="29" s="1"/>
  <c r="C27" i="29" s="1"/>
  <c r="C11" i="14"/>
  <c r="D11" i="14"/>
  <c r="E11" i="14"/>
  <c r="F11" i="14"/>
  <c r="G11" i="14"/>
  <c r="H11" i="14"/>
  <c r="I11" i="14"/>
  <c r="J11" i="14"/>
  <c r="K11" i="14"/>
  <c r="L11" i="14"/>
  <c r="M11" i="14"/>
  <c r="B11" i="14"/>
  <c r="B18" i="28"/>
  <c r="B19" i="28" s="1"/>
  <c r="C17" i="28" s="1"/>
  <c r="M9" i="28"/>
  <c r="M12" i="28" s="1"/>
  <c r="L9" i="28"/>
  <c r="L12" i="28" s="1"/>
  <c r="K9" i="28"/>
  <c r="K12" i="28" s="1"/>
  <c r="J9" i="28"/>
  <c r="J12" i="28" s="1"/>
  <c r="I9" i="28"/>
  <c r="I12" i="28" s="1"/>
  <c r="H9" i="28"/>
  <c r="H12" i="28" s="1"/>
  <c r="G9" i="28"/>
  <c r="G12" i="28" s="1"/>
  <c r="F9" i="28"/>
  <c r="F12" i="28" s="1"/>
  <c r="E9" i="28"/>
  <c r="E12" i="28" s="1"/>
  <c r="D9" i="28"/>
  <c r="D12" i="28" s="1"/>
  <c r="C9" i="28"/>
  <c r="C12" i="28" s="1"/>
  <c r="B9" i="28"/>
  <c r="B12" i="28" s="1"/>
  <c r="B13" i="28" s="1"/>
  <c r="C11" i="28" s="1"/>
  <c r="C11" i="24"/>
  <c r="B11" i="24"/>
  <c r="E11" i="24" s="1"/>
  <c r="C13" i="27"/>
  <c r="D13" i="27"/>
  <c r="E13" i="27"/>
  <c r="F13" i="27"/>
  <c r="G13" i="27"/>
  <c r="H13" i="27"/>
  <c r="I13" i="27"/>
  <c r="I16" i="27" s="1"/>
  <c r="J13" i="27"/>
  <c r="J16" i="27" s="1"/>
  <c r="K13" i="27"/>
  <c r="L13" i="27"/>
  <c r="M13" i="27"/>
  <c r="B13" i="27"/>
  <c r="B16" i="27" s="1"/>
  <c r="B17" i="27" s="1"/>
  <c r="C15" i="27" s="1"/>
  <c r="B22" i="27"/>
  <c r="B23" i="27" s="1"/>
  <c r="C21" i="27" s="1"/>
  <c r="M16" i="27"/>
  <c r="L16" i="27"/>
  <c r="K16" i="27"/>
  <c r="H16" i="27"/>
  <c r="G16" i="27"/>
  <c r="F16" i="27"/>
  <c r="E16" i="27"/>
  <c r="D16" i="27"/>
  <c r="C16" i="27"/>
  <c r="C17" i="26"/>
  <c r="D17" i="26"/>
  <c r="K17" i="26"/>
  <c r="L17" i="26"/>
  <c r="C14" i="26"/>
  <c r="D14" i="26"/>
  <c r="E14" i="26"/>
  <c r="E17" i="26" s="1"/>
  <c r="F14" i="26"/>
  <c r="F17" i="26" s="1"/>
  <c r="G14" i="26"/>
  <c r="G17" i="26" s="1"/>
  <c r="H14" i="26"/>
  <c r="H17" i="26" s="1"/>
  <c r="I14" i="26"/>
  <c r="I17" i="26" s="1"/>
  <c r="J14" i="26"/>
  <c r="J17" i="26" s="1"/>
  <c r="K14" i="26"/>
  <c r="L14" i="26"/>
  <c r="B14" i="26"/>
  <c r="B17" i="26" s="1"/>
  <c r="M11" i="26"/>
  <c r="M12" i="26" s="1"/>
  <c r="M14" i="26" s="1"/>
  <c r="M17" i="26" s="1"/>
  <c r="B23" i="26"/>
  <c r="B24" i="26" s="1"/>
  <c r="C22" i="26" s="1"/>
  <c r="D14" i="25"/>
  <c r="E14" i="25"/>
  <c r="F14" i="25"/>
  <c r="G14" i="25"/>
  <c r="H14" i="25"/>
  <c r="I14" i="25"/>
  <c r="J14" i="25"/>
  <c r="K14" i="25"/>
  <c r="L14" i="25"/>
  <c r="M14" i="25"/>
  <c r="N11" i="25"/>
  <c r="N14" i="25" s="1"/>
  <c r="O14" i="25"/>
  <c r="C20" i="25"/>
  <c r="C21" i="25" s="1"/>
  <c r="D19" i="25" s="1"/>
  <c r="C10" i="3"/>
  <c r="C13" i="3" s="1"/>
  <c r="D10" i="3"/>
  <c r="D13" i="3" s="1"/>
  <c r="E10" i="3"/>
  <c r="E13" i="3" s="1"/>
  <c r="F10" i="3"/>
  <c r="F13" i="3" s="1"/>
  <c r="G10" i="3"/>
  <c r="G13" i="3" s="1"/>
  <c r="H10" i="3"/>
  <c r="H13" i="3" s="1"/>
  <c r="I10" i="3"/>
  <c r="I13" i="3" s="1"/>
  <c r="J10" i="3"/>
  <c r="J13" i="3" s="1"/>
  <c r="K10" i="3"/>
  <c r="K13" i="3" s="1"/>
  <c r="L10" i="3"/>
  <c r="L13" i="3" s="1"/>
  <c r="M10" i="3"/>
  <c r="M13" i="3" s="1"/>
  <c r="B10" i="3"/>
  <c r="B13" i="3" s="1"/>
  <c r="B28" i="29" l="1"/>
  <c r="C26" i="29" s="1"/>
  <c r="B28" i="30"/>
  <c r="C26" i="30" s="1"/>
  <c r="C20" i="30"/>
  <c r="D11" i="24"/>
  <c r="F11" i="24"/>
  <c r="C22" i="29"/>
  <c r="C18" i="28"/>
  <c r="C19" i="28" s="1"/>
  <c r="D17" i="28" s="1"/>
  <c r="C13" i="28"/>
  <c r="D11" i="28" s="1"/>
  <c r="C22" i="27"/>
  <c r="C23" i="27" s="1"/>
  <c r="D21" i="27" s="1"/>
  <c r="C17" i="27"/>
  <c r="D15" i="27" s="1"/>
  <c r="B18" i="26"/>
  <c r="C16" i="26" s="1"/>
  <c r="C18" i="26" s="1"/>
  <c r="D16" i="26" s="1"/>
  <c r="C14" i="25"/>
  <c r="C15" i="25" s="1"/>
  <c r="D13" i="25" s="1"/>
  <c r="C22" i="30" l="1"/>
  <c r="D20" i="30" s="1"/>
  <c r="C27" i="30"/>
  <c r="C28" i="30" s="1"/>
  <c r="D26" i="30" s="1"/>
  <c r="D20" i="29"/>
  <c r="D27" i="29" s="1"/>
  <c r="C28" i="29"/>
  <c r="D26" i="29" s="1"/>
  <c r="D22" i="29"/>
  <c r="D18" i="28"/>
  <c r="D19" i="28" s="1"/>
  <c r="E17" i="28" s="1"/>
  <c r="D13" i="28"/>
  <c r="E11" i="28" s="1"/>
  <c r="D22" i="27"/>
  <c r="D23" i="27" s="1"/>
  <c r="E21" i="27" s="1"/>
  <c r="D17" i="27"/>
  <c r="E15" i="27" s="1"/>
  <c r="C23" i="26"/>
  <c r="C24" i="26" s="1"/>
  <c r="D22" i="26" s="1"/>
  <c r="D23" i="26"/>
  <c r="D18" i="26"/>
  <c r="E16" i="26" s="1"/>
  <c r="D20" i="25"/>
  <c r="D21" i="25" s="1"/>
  <c r="E19" i="25" s="1"/>
  <c r="D15" i="25"/>
  <c r="E13" i="25" s="1"/>
  <c r="E15" i="25" s="1"/>
  <c r="F13" i="25" s="1"/>
  <c r="D22" i="30" l="1"/>
  <c r="E20" i="30" s="1"/>
  <c r="D27" i="30"/>
  <c r="D28" i="30" s="1"/>
  <c r="E26" i="30" s="1"/>
  <c r="E20" i="29"/>
  <c r="E27" i="29" s="1"/>
  <c r="D28" i="29"/>
  <c r="E26" i="29" s="1"/>
  <c r="E22" i="29"/>
  <c r="E13" i="28"/>
  <c r="F11" i="28" s="1"/>
  <c r="E18" i="28"/>
  <c r="E19" i="28" s="1"/>
  <c r="F17" i="28" s="1"/>
  <c r="E17" i="27"/>
  <c r="F15" i="27" s="1"/>
  <c r="E22" i="27"/>
  <c r="E23" i="27" s="1"/>
  <c r="F21" i="27" s="1"/>
  <c r="D24" i="26"/>
  <c r="E22" i="26" s="1"/>
  <c r="E18" i="26"/>
  <c r="F16" i="26" s="1"/>
  <c r="E23" i="26"/>
  <c r="E20" i="25"/>
  <c r="E21" i="25" s="1"/>
  <c r="F19" i="25" s="1"/>
  <c r="F15" i="25"/>
  <c r="G13" i="25" s="1"/>
  <c r="F20" i="25"/>
  <c r="E22" i="30" l="1"/>
  <c r="F20" i="30" s="1"/>
  <c r="E27" i="30"/>
  <c r="E28" i="30" s="1"/>
  <c r="F26" i="30" s="1"/>
  <c r="F20" i="29"/>
  <c r="F27" i="29" s="1"/>
  <c r="E28" i="29"/>
  <c r="F26" i="29" s="1"/>
  <c r="F13" i="28"/>
  <c r="G11" i="28" s="1"/>
  <c r="F18" i="28"/>
  <c r="F19" i="28" s="1"/>
  <c r="G17" i="28" s="1"/>
  <c r="F22" i="27"/>
  <c r="F23" i="27" s="1"/>
  <c r="G21" i="27" s="1"/>
  <c r="F17" i="27"/>
  <c r="G15" i="27" s="1"/>
  <c r="E24" i="26"/>
  <c r="F22" i="26" s="1"/>
  <c r="F18" i="26"/>
  <c r="G16" i="26" s="1"/>
  <c r="F23" i="26"/>
  <c r="F21" i="25"/>
  <c r="G19" i="25" s="1"/>
  <c r="G20" i="25"/>
  <c r="G15" i="25"/>
  <c r="H13" i="25" s="1"/>
  <c r="F22" i="30" l="1"/>
  <c r="G20" i="30" s="1"/>
  <c r="F27" i="30"/>
  <c r="F28" i="30" s="1"/>
  <c r="G26" i="30" s="1"/>
  <c r="F22" i="29"/>
  <c r="G20" i="29"/>
  <c r="G27" i="29" s="1"/>
  <c r="F28" i="29"/>
  <c r="G26" i="29" s="1"/>
  <c r="G18" i="28"/>
  <c r="G19" i="28" s="1"/>
  <c r="H17" i="28" s="1"/>
  <c r="G13" i="28"/>
  <c r="H11" i="28" s="1"/>
  <c r="G22" i="27"/>
  <c r="G23" i="27" s="1"/>
  <c r="H21" i="27" s="1"/>
  <c r="G17" i="27"/>
  <c r="H15" i="27" s="1"/>
  <c r="F24" i="26"/>
  <c r="G22" i="26" s="1"/>
  <c r="G18" i="26"/>
  <c r="H16" i="26" s="1"/>
  <c r="G23" i="26"/>
  <c r="G21" i="25"/>
  <c r="H19" i="25" s="1"/>
  <c r="H20" i="25"/>
  <c r="H21" i="25" s="1"/>
  <c r="I19" i="25" s="1"/>
  <c r="H15" i="25"/>
  <c r="I13" i="25" s="1"/>
  <c r="G22" i="30" l="1"/>
  <c r="H20" i="30" s="1"/>
  <c r="G27" i="30"/>
  <c r="G22" i="29"/>
  <c r="H20" i="29"/>
  <c r="H27" i="29" s="1"/>
  <c r="G28" i="29"/>
  <c r="H26" i="29" s="1"/>
  <c r="G28" i="30"/>
  <c r="H26" i="30" s="1"/>
  <c r="H18" i="28"/>
  <c r="H19" i="28" s="1"/>
  <c r="I17" i="28" s="1"/>
  <c r="H13" i="28"/>
  <c r="I11" i="28" s="1"/>
  <c r="H22" i="27"/>
  <c r="H23" i="27" s="1"/>
  <c r="I21" i="27" s="1"/>
  <c r="H17" i="27"/>
  <c r="I15" i="27" s="1"/>
  <c r="G24" i="26"/>
  <c r="H22" i="26" s="1"/>
  <c r="H23" i="26"/>
  <c r="H24" i="26" s="1"/>
  <c r="I22" i="26" s="1"/>
  <c r="H18" i="26"/>
  <c r="I16" i="26" s="1"/>
  <c r="I20" i="25"/>
  <c r="I21" i="25" s="1"/>
  <c r="J19" i="25" s="1"/>
  <c r="I15" i="25"/>
  <c r="J13" i="25" s="1"/>
  <c r="H22" i="30" l="1"/>
  <c r="H27" i="30"/>
  <c r="H22" i="29"/>
  <c r="I20" i="29" s="1"/>
  <c r="H28" i="29"/>
  <c r="I26" i="29" s="1"/>
  <c r="H28" i="30"/>
  <c r="I26" i="30" s="1"/>
  <c r="I20" i="30"/>
  <c r="I18" i="28"/>
  <c r="I19" i="28" s="1"/>
  <c r="J17" i="28" s="1"/>
  <c r="I13" i="28"/>
  <c r="J11" i="28" s="1"/>
  <c r="I22" i="27"/>
  <c r="I23" i="27" s="1"/>
  <c r="J21" i="27" s="1"/>
  <c r="I17" i="27"/>
  <c r="J15" i="27" s="1"/>
  <c r="I23" i="26"/>
  <c r="I24" i="26" s="1"/>
  <c r="J22" i="26" s="1"/>
  <c r="I18" i="26"/>
  <c r="J16" i="26" s="1"/>
  <c r="J20" i="25"/>
  <c r="J21" i="25" s="1"/>
  <c r="K19" i="25" s="1"/>
  <c r="J15" i="25"/>
  <c r="K13" i="25" s="1"/>
  <c r="I22" i="30" l="1"/>
  <c r="J20" i="30" s="1"/>
  <c r="I27" i="30"/>
  <c r="I28" i="30" s="1"/>
  <c r="J26" i="30" s="1"/>
  <c r="I27" i="29"/>
  <c r="I22" i="29"/>
  <c r="J20" i="29"/>
  <c r="I28" i="29"/>
  <c r="J26" i="29" s="1"/>
  <c r="J18" i="28"/>
  <c r="J19" i="28" s="1"/>
  <c r="K17" i="28" s="1"/>
  <c r="J13" i="28"/>
  <c r="K11" i="28" s="1"/>
  <c r="J17" i="27"/>
  <c r="K15" i="27" s="1"/>
  <c r="J22" i="27"/>
  <c r="J23" i="27" s="1"/>
  <c r="K21" i="27" s="1"/>
  <c r="J23" i="26"/>
  <c r="J24" i="26" s="1"/>
  <c r="K22" i="26" s="1"/>
  <c r="J18" i="26"/>
  <c r="K16" i="26" s="1"/>
  <c r="K20" i="25"/>
  <c r="K21" i="25" s="1"/>
  <c r="L19" i="25" s="1"/>
  <c r="K15" i="25"/>
  <c r="L13" i="25" s="1"/>
  <c r="J22" i="30" l="1"/>
  <c r="K20" i="30" s="1"/>
  <c r="J27" i="30"/>
  <c r="J28" i="30" s="1"/>
  <c r="K26" i="30" s="1"/>
  <c r="J22" i="29"/>
  <c r="K20" i="29" s="1"/>
  <c r="J27" i="29"/>
  <c r="J28" i="29"/>
  <c r="K26" i="29" s="1"/>
  <c r="K18" i="28"/>
  <c r="K19" i="28" s="1"/>
  <c r="L17" i="28" s="1"/>
  <c r="K13" i="28"/>
  <c r="L11" i="28" s="1"/>
  <c r="K22" i="27"/>
  <c r="K23" i="27" s="1"/>
  <c r="L21" i="27" s="1"/>
  <c r="K17" i="27"/>
  <c r="L15" i="27" s="1"/>
  <c r="K23" i="26"/>
  <c r="K24" i="26" s="1"/>
  <c r="L22" i="26" s="1"/>
  <c r="K18" i="26"/>
  <c r="L16" i="26" s="1"/>
  <c r="L20" i="25"/>
  <c r="L21" i="25" s="1"/>
  <c r="M19" i="25" s="1"/>
  <c r="L15" i="25"/>
  <c r="M13" i="25" s="1"/>
  <c r="K22" i="30" l="1"/>
  <c r="L20" i="30" s="1"/>
  <c r="K27" i="30"/>
  <c r="K27" i="29"/>
  <c r="K28" i="29" s="1"/>
  <c r="L26" i="29" s="1"/>
  <c r="K22" i="29"/>
  <c r="L20" i="29"/>
  <c r="L27" i="29" s="1"/>
  <c r="K28" i="30"/>
  <c r="L26" i="30" s="1"/>
  <c r="L18" i="28"/>
  <c r="L19" i="28" s="1"/>
  <c r="M17" i="28" s="1"/>
  <c r="L13" i="28"/>
  <c r="M11" i="28" s="1"/>
  <c r="L22" i="27"/>
  <c r="L23" i="27" s="1"/>
  <c r="M21" i="27" s="1"/>
  <c r="L17" i="27"/>
  <c r="M15" i="27" s="1"/>
  <c r="L23" i="26"/>
  <c r="L24" i="26" s="1"/>
  <c r="M22" i="26" s="1"/>
  <c r="L18" i="26"/>
  <c r="M16" i="26" s="1"/>
  <c r="M15" i="25"/>
  <c r="N13" i="25" s="1"/>
  <c r="M20" i="25"/>
  <c r="M21" i="25" s="1"/>
  <c r="N19" i="25" s="1"/>
  <c r="L22" i="30" l="1"/>
  <c r="M20" i="30" s="1"/>
  <c r="L27" i="30"/>
  <c r="L28" i="30" s="1"/>
  <c r="M26" i="30" s="1"/>
  <c r="L22" i="29"/>
  <c r="M20" i="29"/>
  <c r="M27" i="29" s="1"/>
  <c r="L28" i="29"/>
  <c r="M26" i="29" s="1"/>
  <c r="M22" i="29"/>
  <c r="M13" i="28"/>
  <c r="M18" i="28"/>
  <c r="M19" i="28" s="1"/>
  <c r="M17" i="27"/>
  <c r="M22" i="27"/>
  <c r="M23" i="27" s="1"/>
  <c r="M18" i="26"/>
  <c r="M23" i="26"/>
  <c r="M24" i="26" s="1"/>
  <c r="N20" i="25"/>
  <c r="N21" i="25" s="1"/>
  <c r="N15" i="25"/>
  <c r="M22" i="30" l="1"/>
  <c r="B33" i="30" s="1"/>
  <c r="M27" i="30"/>
  <c r="M28" i="30" s="1"/>
  <c r="M28" i="29"/>
  <c r="B34" i="29" s="1"/>
  <c r="C19" i="24" s="1"/>
  <c r="B33" i="29"/>
  <c r="O27" i="29"/>
  <c r="C34" i="29" s="1"/>
  <c r="C35" i="29" s="1"/>
  <c r="O17" i="28"/>
  <c r="B25" i="28"/>
  <c r="C12" i="24" s="1"/>
  <c r="B24" i="28"/>
  <c r="O21" i="27"/>
  <c r="B29" i="27"/>
  <c r="B28" i="27"/>
  <c r="D28" i="27" s="1"/>
  <c r="O22" i="26"/>
  <c r="B30" i="26"/>
  <c r="C10" i="24" s="1"/>
  <c r="B29" i="26"/>
  <c r="P19" i="25"/>
  <c r="C27" i="25"/>
  <c r="C26" i="25"/>
  <c r="O27" i="30" l="1"/>
  <c r="C34" i="30" s="1"/>
  <c r="C35" i="30" s="1"/>
  <c r="D33" i="30"/>
  <c r="B18" i="24"/>
  <c r="D29" i="26"/>
  <c r="B10" i="24"/>
  <c r="D24" i="28"/>
  <c r="B12" i="24"/>
  <c r="E26" i="25"/>
  <c r="B9" i="24"/>
  <c r="O26" i="29"/>
  <c r="O28" i="29" s="1"/>
  <c r="D33" i="29"/>
  <c r="B19" i="24"/>
  <c r="O26" i="30"/>
  <c r="B34" i="30"/>
  <c r="C18" i="24" s="1"/>
  <c r="B35" i="29"/>
  <c r="D35" i="29" s="1"/>
  <c r="D34" i="29"/>
  <c r="B26" i="28"/>
  <c r="B30" i="27"/>
  <c r="B31" i="26"/>
  <c r="C28" i="25"/>
  <c r="O28" i="30" l="1"/>
  <c r="D18" i="24"/>
  <c r="F18" i="24"/>
  <c r="E18" i="24"/>
  <c r="G18" i="24"/>
  <c r="F12" i="24"/>
  <c r="E12" i="24"/>
  <c r="D12" i="24"/>
  <c r="D19" i="24"/>
  <c r="G19" i="24"/>
  <c r="F19" i="24"/>
  <c r="E19" i="24"/>
  <c r="B35" i="30"/>
  <c r="D35" i="30" s="1"/>
  <c r="D34" i="30"/>
  <c r="H19" i="24" l="1"/>
  <c r="J18" i="24" s="1"/>
  <c r="H18" i="24"/>
  <c r="J19" i="24" s="1"/>
  <c r="D9" i="24" l="1"/>
  <c r="E9" i="24"/>
  <c r="F9" i="24"/>
  <c r="D10" i="24"/>
  <c r="E10" i="24"/>
  <c r="F10" i="24"/>
  <c r="G7" i="24"/>
  <c r="A4" i="14"/>
  <c r="A2" i="14"/>
  <c r="A1" i="14"/>
  <c r="G9" i="24" l="1"/>
  <c r="O15" i="28"/>
  <c r="O18" i="28" s="1"/>
  <c r="G12" i="24"/>
  <c r="H12" i="24" s="1"/>
  <c r="O20" i="26"/>
  <c r="O23" i="26" s="1"/>
  <c r="P17" i="25"/>
  <c r="P20" i="25" s="1"/>
  <c r="O19" i="27"/>
  <c r="O22" i="27" s="1"/>
  <c r="G11" i="24"/>
  <c r="H11" i="24" s="1"/>
  <c r="O16" i="3"/>
  <c r="N15" i="14" s="1"/>
  <c r="G10" i="24"/>
  <c r="H10" i="24" s="1"/>
  <c r="D27" i="25" l="1"/>
  <c r="P21" i="25"/>
  <c r="C29" i="27"/>
  <c r="O23" i="27"/>
  <c r="C30" i="26"/>
  <c r="O24" i="26"/>
  <c r="C25" i="28"/>
  <c r="O19" i="28"/>
  <c r="A2" i="19"/>
  <c r="A1" i="19"/>
  <c r="C30" i="27" l="1"/>
  <c r="D30" i="27" s="1"/>
  <c r="D29" i="27"/>
  <c r="C26" i="28"/>
  <c r="D26" i="28" s="1"/>
  <c r="J12" i="24" s="1"/>
  <c r="D25" i="28"/>
  <c r="D28" i="25"/>
  <c r="E28" i="25" s="1"/>
  <c r="E27" i="25"/>
  <c r="C31" i="26"/>
  <c r="D31" i="26" s="1"/>
  <c r="J10" i="24" s="1"/>
  <c r="D30" i="26"/>
  <c r="J11" i="24" l="1"/>
  <c r="E37" i="27"/>
  <c r="F37" i="27"/>
  <c r="G37" i="27"/>
  <c r="D37" i="27"/>
  <c r="C46" i="29"/>
  <c r="C60" i="30"/>
  <c r="C38" i="28"/>
  <c r="C31" i="28"/>
  <c r="D33" i="25"/>
  <c r="E34" i="25" s="1"/>
  <c r="C40" i="30"/>
  <c r="C36" i="26"/>
  <c r="D37" i="26" s="1"/>
  <c r="C30" i="14"/>
  <c r="D31" i="14" s="1"/>
  <c r="F37" i="26" l="1"/>
  <c r="D38" i="26"/>
  <c r="D46" i="26" s="1"/>
  <c r="D45" i="26" s="1"/>
  <c r="G37" i="26"/>
  <c r="F34" i="25"/>
  <c r="C40" i="29"/>
  <c r="E41" i="25"/>
  <c r="E35" i="25"/>
  <c r="E41" i="30"/>
  <c r="E42" i="30" s="1"/>
  <c r="F38" i="26"/>
  <c r="F46" i="26" s="1"/>
  <c r="F45" i="26" s="1"/>
  <c r="G34" i="25"/>
  <c r="E37" i="26"/>
  <c r="F41" i="30"/>
  <c r="F42" i="30" s="1"/>
  <c r="E31" i="14"/>
  <c r="F31" i="14"/>
  <c r="G31" i="14"/>
  <c r="B18" i="14"/>
  <c r="B19" i="14" s="1"/>
  <c r="C17" i="14" s="1"/>
  <c r="C48" i="30" l="1"/>
  <c r="D33" i="28"/>
  <c r="D41" i="28" s="1"/>
  <c r="D40" i="28" s="1"/>
  <c r="D39" i="28"/>
  <c r="C37" i="26"/>
  <c r="G41" i="25"/>
  <c r="G35" i="25"/>
  <c r="G43" i="25" s="1"/>
  <c r="G42" i="25" s="1"/>
  <c r="E43" i="25"/>
  <c r="E42" i="25" s="1"/>
  <c r="D34" i="25"/>
  <c r="E38" i="26"/>
  <c r="E46" i="26" s="1"/>
  <c r="E45" i="26" s="1"/>
  <c r="C41" i="30"/>
  <c r="D47" i="29"/>
  <c r="D41" i="29"/>
  <c r="F41" i="25"/>
  <c r="D41" i="25" s="1"/>
  <c r="F35" i="25"/>
  <c r="F43" i="25" s="1"/>
  <c r="F42" i="25" s="1"/>
  <c r="E39" i="28"/>
  <c r="E33" i="28"/>
  <c r="E41" i="28" s="1"/>
  <c r="E40" i="28" s="1"/>
  <c r="F62" i="30"/>
  <c r="G38" i="26"/>
  <c r="H46" i="26" s="1"/>
  <c r="H45" i="26" s="1"/>
  <c r="C31" i="14"/>
  <c r="B12" i="14"/>
  <c r="C10" i="14" s="1"/>
  <c r="C12" i="14" s="1"/>
  <c r="D10" i="14" s="1"/>
  <c r="D12" i="14" s="1"/>
  <c r="E10" i="14" s="1"/>
  <c r="E12" i="14" s="1"/>
  <c r="F10" i="14" s="1"/>
  <c r="F12" i="14" s="1"/>
  <c r="G10" i="14" s="1"/>
  <c r="G12" i="14" s="1"/>
  <c r="H10" i="14" s="1"/>
  <c r="H12" i="14" s="1"/>
  <c r="I10" i="14" s="1"/>
  <c r="I12" i="14" s="1"/>
  <c r="J10" i="14" s="1"/>
  <c r="J12" i="14" s="1"/>
  <c r="K10" i="14" s="1"/>
  <c r="K12" i="14" s="1"/>
  <c r="L10" i="14" s="1"/>
  <c r="L12" i="14" s="1"/>
  <c r="M10" i="14" s="1"/>
  <c r="M12" i="14" s="1"/>
  <c r="E62" i="30" l="1"/>
  <c r="C45" i="26"/>
  <c r="C39" i="28"/>
  <c r="C47" i="29"/>
  <c r="D35" i="25"/>
  <c r="D62" i="30"/>
  <c r="D42" i="25"/>
  <c r="C61" i="30"/>
  <c r="C41" i="29"/>
  <c r="C33" i="28"/>
  <c r="C48" i="29"/>
  <c r="C38" i="26"/>
  <c r="C18" i="14"/>
  <c r="C19" i="14" s="1"/>
  <c r="D17" i="14" s="1"/>
  <c r="C62" i="30" l="1"/>
  <c r="D18" i="14"/>
  <c r="D19" i="14" s="1"/>
  <c r="E17" i="14" s="1"/>
  <c r="E18" i="14" l="1"/>
  <c r="E19" i="14" s="1"/>
  <c r="F17" i="14" s="1"/>
  <c r="F18" i="14" l="1"/>
  <c r="F19" i="14" s="1"/>
  <c r="G17" i="14" s="1"/>
  <c r="G18" i="14" l="1"/>
  <c r="G19" i="14" s="1"/>
  <c r="H17" i="14" s="1"/>
  <c r="H18" i="14" l="1"/>
  <c r="H19" i="14" s="1"/>
  <c r="I17" i="14" s="1"/>
  <c r="I18" i="14" l="1"/>
  <c r="I19" i="14" s="1"/>
  <c r="J17" i="14" s="1"/>
  <c r="J18" i="14" l="1"/>
  <c r="J19" i="14" s="1"/>
  <c r="K17" i="14" s="1"/>
  <c r="K18" i="14" l="1"/>
  <c r="K19" i="14" s="1"/>
  <c r="L17" i="14" s="1"/>
  <c r="L18" i="14" l="1"/>
  <c r="L19" i="14" s="1"/>
  <c r="M17" i="14" s="1"/>
  <c r="M18" i="14" l="1"/>
  <c r="M19" i="14" s="1"/>
  <c r="N17" i="14" l="1"/>
  <c r="B25" i="14"/>
  <c r="C13" i="24" s="1"/>
  <c r="B24" i="14"/>
  <c r="B13" i="24" s="1"/>
  <c r="N18" i="14"/>
  <c r="B19" i="3"/>
  <c r="B20" i="3" s="1"/>
  <c r="C18" i="3" s="1"/>
  <c r="B14" i="3"/>
  <c r="C12" i="3" s="1"/>
  <c r="D13" i="24" l="1"/>
  <c r="F13" i="24"/>
  <c r="E13" i="24"/>
  <c r="G13" i="24"/>
  <c r="H13" i="24" s="1"/>
  <c r="N19" i="14"/>
  <c r="C25" i="14"/>
  <c r="C19" i="3"/>
  <c r="C20" i="3" s="1"/>
  <c r="D18" i="3" s="1"/>
  <c r="C14" i="3"/>
  <c r="D12" i="3" s="1"/>
  <c r="D19" i="3" l="1"/>
  <c r="D20" i="3" s="1"/>
  <c r="E18" i="3" s="1"/>
  <c r="D14" i="3"/>
  <c r="E12" i="3" s="1"/>
  <c r="E14" i="3" l="1"/>
  <c r="F12" i="3" s="1"/>
  <c r="E19" i="3"/>
  <c r="E20" i="3" s="1"/>
  <c r="F18" i="3" s="1"/>
  <c r="F19" i="3" l="1"/>
  <c r="F20" i="3" s="1"/>
  <c r="G18" i="3" s="1"/>
  <c r="F14" i="3"/>
  <c r="G12" i="3" s="1"/>
  <c r="G19" i="3" l="1"/>
  <c r="G20" i="3" s="1"/>
  <c r="H18" i="3" s="1"/>
  <c r="G14" i="3"/>
  <c r="H12" i="3" s="1"/>
  <c r="H19" i="3" l="1"/>
  <c r="H20" i="3" s="1"/>
  <c r="I18" i="3" s="1"/>
  <c r="H14" i="3"/>
  <c r="I12" i="3" s="1"/>
  <c r="I19" i="3" l="1"/>
  <c r="I20" i="3" s="1"/>
  <c r="J18" i="3" s="1"/>
  <c r="I14" i="3"/>
  <c r="J12" i="3" s="1"/>
  <c r="J19" i="3" l="1"/>
  <c r="J20" i="3" s="1"/>
  <c r="K18" i="3" s="1"/>
  <c r="J14" i="3"/>
  <c r="K12" i="3" s="1"/>
  <c r="K19" i="3" l="1"/>
  <c r="K20" i="3" s="1"/>
  <c r="L18" i="3" s="1"/>
  <c r="K14" i="3"/>
  <c r="L12" i="3" s="1"/>
  <c r="L14" i="3" l="1"/>
  <c r="M12" i="3" s="1"/>
  <c r="L19" i="3"/>
  <c r="L20" i="3" s="1"/>
  <c r="M18" i="3" s="1"/>
  <c r="D24" i="14" l="1"/>
  <c r="M19" i="3"/>
  <c r="M20" i="3" s="1"/>
  <c r="M14" i="3"/>
  <c r="B26" i="14" l="1"/>
  <c r="O19" i="3"/>
  <c r="C26" i="3" s="1"/>
  <c r="C27" i="3" s="1"/>
  <c r="B25" i="3"/>
  <c r="B8" i="24" s="1"/>
  <c r="B21" i="24" s="1"/>
  <c r="O18" i="3"/>
  <c r="B26" i="3"/>
  <c r="F8" i="24" l="1"/>
  <c r="F21" i="24" s="1"/>
  <c r="G8" i="24"/>
  <c r="G21" i="24" s="1"/>
  <c r="E8" i="24"/>
  <c r="E21" i="24" s="1"/>
  <c r="C9" i="24"/>
  <c r="H9" i="24" s="1"/>
  <c r="J9" i="24" s="1"/>
  <c r="C8" i="24"/>
  <c r="C21" i="24" s="1"/>
  <c r="D8" i="24"/>
  <c r="D21" i="24" s="1"/>
  <c r="H8" i="24"/>
  <c r="H21" i="24" s="1"/>
  <c r="O20" i="3"/>
  <c r="D26" i="3"/>
  <c r="B27" i="3"/>
  <c r="D27" i="3" s="1"/>
  <c r="J8" i="24" l="1"/>
  <c r="C26" i="14"/>
  <c r="D26" i="14" s="1"/>
  <c r="J13" i="24" s="1"/>
  <c r="D25" i="14"/>
  <c r="C32" i="3"/>
  <c r="D32" i="14" l="1"/>
  <c r="D39" i="14" s="1"/>
  <c r="D38" i="14" s="1"/>
  <c r="G32" i="14"/>
  <c r="H39" i="14" s="1"/>
  <c r="H38" i="14" s="1"/>
  <c r="F32" i="14"/>
  <c r="F39" i="14" s="1"/>
  <c r="F38" i="14" s="1"/>
  <c r="E32" i="14"/>
  <c r="E39" i="14" s="1"/>
  <c r="E38" i="14" s="1"/>
  <c r="F33" i="3"/>
  <c r="G33" i="3"/>
  <c r="E33" i="3"/>
  <c r="D33" i="3"/>
  <c r="C38" i="14" l="1"/>
  <c r="C32" i="14"/>
  <c r="E40" i="3"/>
  <c r="E34" i="3"/>
  <c r="F40" i="3"/>
  <c r="F34" i="3"/>
  <c r="D40" i="3"/>
  <c r="D34" i="3"/>
  <c r="H40" i="3"/>
  <c r="G34" i="3"/>
  <c r="H42" i="3" s="1"/>
  <c r="H41" i="3" s="1"/>
  <c r="C33" i="3"/>
  <c r="C40" i="3" l="1"/>
  <c r="D42" i="3"/>
  <c r="E42" i="3"/>
  <c r="F42" i="3"/>
  <c r="F41" i="3" l="1"/>
  <c r="E41" i="3"/>
  <c r="D41" i="3"/>
  <c r="C34" i="3"/>
  <c r="D25" i="3" l="1"/>
  <c r="C41" i="3"/>
  <c r="D43" i="27" l="1"/>
  <c r="D45" i="27" l="1"/>
  <c r="D44" i="27" s="1"/>
  <c r="H45" i="27"/>
  <c r="H44" i="27" s="1"/>
  <c r="C37" i="27"/>
  <c r="C43" i="27"/>
  <c r="E43" i="27"/>
  <c r="F45" i="27"/>
  <c r="F44" i="27" s="1"/>
  <c r="E45" i="27"/>
  <c r="E44" i="27" s="1"/>
  <c r="F43" i="27"/>
  <c r="C36" i="27"/>
  <c r="H43" i="27"/>
  <c r="C44" i="27" l="1"/>
  <c r="C40" i="28"/>
</calcChain>
</file>

<file path=xl/sharedStrings.xml><?xml version="1.0" encoding="utf-8"?>
<sst xmlns="http://schemas.openxmlformats.org/spreadsheetml/2006/main" count="598" uniqueCount="175">
  <si>
    <t>EPCOR Natural Gas Limited Partnership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</si>
  <si>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</si>
  <si>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</si>
  <si>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</si>
  <si>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</si>
  <si>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</si>
  <si>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</si>
  <si>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</si>
  <si>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</si>
  <si>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</si>
  <si>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</si>
  <si>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</si>
  <si>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</si>
  <si>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Interest Rate</t>
  </si>
  <si>
    <t>Opening Interest Balance</t>
  </si>
  <si>
    <t>Monthly Interest Calculation</t>
  </si>
  <si>
    <t>Closing Interest Balance</t>
  </si>
  <si>
    <t>Total</t>
  </si>
  <si>
    <t>Unit</t>
  </si>
  <si>
    <t>Row Sum</t>
  </si>
  <si>
    <t>%</t>
  </si>
  <si>
    <t>$</t>
  </si>
  <si>
    <t>Allocation</t>
  </si>
  <si>
    <t>Rate Rider</t>
  </si>
  <si>
    <t>Volume</t>
  </si>
  <si>
    <t>Rate 1</t>
  </si>
  <si>
    <t>JAN-DEC</t>
  </si>
  <si>
    <r>
      <t>000's m</t>
    </r>
    <r>
      <rPr>
        <vertAlign val="superscript"/>
        <sz val="11"/>
        <rFont val="Arial"/>
        <family val="2"/>
      </rPr>
      <t>3</t>
    </r>
  </si>
  <si>
    <r>
      <t>¢/m</t>
    </r>
    <r>
      <rPr>
        <b/>
        <vertAlign val="superscript"/>
        <sz val="11"/>
        <rFont val="Arial"/>
        <family val="2"/>
      </rPr>
      <t>3</t>
    </r>
  </si>
  <si>
    <t>Jan-Dec</t>
  </si>
  <si>
    <t>Opening UFG Balance</t>
  </si>
  <si>
    <t>Closing UFG Balance</t>
  </si>
  <si>
    <t>UFG Interest</t>
  </si>
  <si>
    <t>R1</t>
  </si>
  <si>
    <t>Principal</t>
  </si>
  <si>
    <t>Carrying Charges</t>
  </si>
  <si>
    <t>2024 Balance</t>
  </si>
  <si>
    <t>UFGVA Account Balance</t>
  </si>
  <si>
    <t>Billing &amp; Allocation Determinants</t>
  </si>
  <si>
    <t>Continuity Schedule</t>
  </si>
  <si>
    <t>EB-2025-0177</t>
  </si>
  <si>
    <r>
      <t xml:space="preserve">Unaccounted For Gas Variance Account  </t>
    </r>
    <r>
      <rPr>
        <b/>
        <i/>
        <sz val="11"/>
        <rFont val="Arial"/>
        <family val="2"/>
      </rPr>
      <t>(UFGVA)</t>
    </r>
  </si>
  <si>
    <t>Q1</t>
  </si>
  <si>
    <t>Q2</t>
  </si>
  <si>
    <t>Q3</t>
  </si>
  <si>
    <t>Q4</t>
  </si>
  <si>
    <t>2025 Carrying Charges</t>
  </si>
  <si>
    <t>UFGVA</t>
  </si>
  <si>
    <t>Check</t>
  </si>
  <si>
    <t>2025 Balance</t>
  </si>
  <si>
    <r>
      <t>Change in UFG Balance (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</t>
    </r>
  </si>
  <si>
    <t>EB-2025-0178</t>
  </si>
  <si>
    <t>Deferral Account Summary</t>
  </si>
  <si>
    <t>CIACVA</t>
  </si>
  <si>
    <t>ECVA</t>
  </si>
  <si>
    <t>MTVA</t>
  </si>
  <si>
    <t>ORDA</t>
  </si>
  <si>
    <t>CVVA</t>
  </si>
  <si>
    <t>TVA</t>
  </si>
  <si>
    <t>S&amp;TVA</t>
  </si>
  <si>
    <t>Contribution In Aid of Construction Variance Account (CIACVA)</t>
  </si>
  <si>
    <t>Difference</t>
  </si>
  <si>
    <t>CIAC Revenue Requirement Based on Amount Paid</t>
  </si>
  <si>
    <t>CIAC Revenue Requirement per Filing</t>
  </si>
  <si>
    <t>Opening CIACVA Balance</t>
  </si>
  <si>
    <t>Change in CIACVA Balance</t>
  </si>
  <si>
    <t>Closing CIACVA Balance</t>
  </si>
  <si>
    <t>CIACVA Account Balance</t>
  </si>
  <si>
    <t>Energy Content Variance Account</t>
  </si>
  <si>
    <t>Opening ECVA Balance</t>
  </si>
  <si>
    <t>Change in ECVA Balance</t>
  </si>
  <si>
    <t>Closing ECVA Balance</t>
  </si>
  <si>
    <t>ECVA Account Balance</t>
  </si>
  <si>
    <t>Annual CIP Rev R1, 6, 11</t>
  </si>
  <si>
    <t>Actual Energy Content</t>
  </si>
  <si>
    <t>Benchmark Energy Content</t>
  </si>
  <si>
    <t>Municipal Tax Variance Account (MTVA)</t>
  </si>
  <si>
    <t>Opening MTVA Balance</t>
  </si>
  <si>
    <t>Change in MTVA Balance</t>
  </si>
  <si>
    <t>Closing MTVA Balance</t>
  </si>
  <si>
    <t>MTVA Account Balance</t>
  </si>
  <si>
    <t>Billed Distribution revenue</t>
  </si>
  <si>
    <t>Distribution Revenue per CIP</t>
  </si>
  <si>
    <t>Municipal taxes per CIP</t>
  </si>
  <si>
    <t>Ratio</t>
  </si>
  <si>
    <t>Property taxes collected through revenues</t>
  </si>
  <si>
    <t>Property taxes paid</t>
  </si>
  <si>
    <t>Other Revenue Deferral Account (ORDA)</t>
  </si>
  <si>
    <t>Opening ORDA Balance</t>
  </si>
  <si>
    <t>Change in ORDA Balance</t>
  </si>
  <si>
    <t>Closing ORDA Balance</t>
  </si>
  <si>
    <t>ORDA Account Balance</t>
  </si>
  <si>
    <t>Variance</t>
  </si>
  <si>
    <t xml:space="preserve">    4505 - Late Payment Charge</t>
  </si>
  <si>
    <t xml:space="preserve">    4506 - Penalty Fees</t>
  </si>
  <si>
    <t xml:space="preserve">    4511 - Collection &amp; NSF Fees</t>
  </si>
  <si>
    <t xml:space="preserve">    4515 - Connection Fees</t>
  </si>
  <si>
    <t xml:space="preserve">    4592 - Miscellaneous Revenue</t>
  </si>
  <si>
    <t>Customer Volume Variance Account (CVVA)</t>
  </si>
  <si>
    <t>Opening CVVA Balance</t>
  </si>
  <si>
    <t>Change in CVVA Balance</t>
  </si>
  <si>
    <t>Closing CVVA Balance</t>
  </si>
  <si>
    <t>CVVA Account Balance</t>
  </si>
  <si>
    <t>Monthly NACS/CIP Difference</t>
  </si>
  <si>
    <t>Unaccounted for Gas</t>
  </si>
  <si>
    <t>Transportation Variance Account - Rate 16 (TVA)</t>
  </si>
  <si>
    <t>Opening TVA Balance</t>
  </si>
  <si>
    <t>Change in TVA Balance</t>
  </si>
  <si>
    <t>Closing TVA Balance</t>
  </si>
  <si>
    <t>TVA Account Balance</t>
  </si>
  <si>
    <t>Storage</t>
  </si>
  <si>
    <t>Transportation</t>
  </si>
  <si>
    <t>ECNG</t>
  </si>
  <si>
    <t>Gas Supply</t>
  </si>
  <si>
    <t>CNG</t>
  </si>
  <si>
    <t>CIAC Revenue Requirement</t>
  </si>
  <si>
    <t>Total Cost</t>
  </si>
  <si>
    <t>Billed R16 Transportation</t>
  </si>
  <si>
    <t>R16 Upstream Recovery</t>
  </si>
  <si>
    <t>Billed R1/R6/R11 Transportation</t>
  </si>
  <si>
    <t>R1/R6/R11 Upstream Recovery</t>
  </si>
  <si>
    <t>Storage &amp; Transportation Variance Account - Rates 1/6/11 (S&amp;S&amp;TVA)</t>
  </si>
  <si>
    <t>Opening S&amp;TVA Balance</t>
  </si>
  <si>
    <t>Change in S&amp;TVA Balance</t>
  </si>
  <si>
    <t>Closing S&amp;TVA Balance</t>
  </si>
  <si>
    <t>S&amp;TVA Account Balance</t>
  </si>
  <si>
    <t>Rate 6</t>
  </si>
  <si>
    <t>Rate 11</t>
  </si>
  <si>
    <t>Rate 16</t>
  </si>
  <si>
    <t>CIACVA Account Balance Allocation (Source: EB-2018-0624, Exhibit 7, Tab 1, Schedule 2, Table 7-25)</t>
  </si>
  <si>
    <t>$000's</t>
  </si>
  <si>
    <t>CD</t>
  </si>
  <si>
    <t>¢/CD/month</t>
  </si>
  <si>
    <t>Forecast Volumes - 2026</t>
  </si>
  <si>
    <t>R6</t>
  </si>
  <si>
    <t>R11</t>
  </si>
  <si>
    <t>R16</t>
  </si>
  <si>
    <t>m3</t>
  </si>
  <si>
    <t>CD/month - m3</t>
  </si>
  <si>
    <t>Forecast Customer Count (Mid-Year) - 2026</t>
  </si>
  <si>
    <t>CIACVA Account Balance Recovery (Based on 2026 Forecast Volumes)</t>
  </si>
  <si>
    <t>ECVA Account Balance Allocation (EB-2018-0264, Exhibit 3, Tab 1, Schedule 2, pg. 2 of 3 - 2024 Volumes)</t>
  </si>
  <si>
    <t>ECVA Account Balance Recovery (Based on 2026 Forecast Volumes)</t>
  </si>
  <si>
    <t>MTVA Account Balance Allocation (Source: EB-2018-0624, Exhibit 7, Tab 1, Schedule 2, Table 7-27)</t>
  </si>
  <si>
    <t>Rate Base</t>
  </si>
  <si>
    <t>Property Taxes</t>
  </si>
  <si>
    <t>MTVA Account Balance Recovery (Based on 2026 Forecast Volumes)</t>
  </si>
  <si>
    <t>ORDA Account Balance Allocation (Source: EB-2018-0624, Exhibit 7, Tab 1, Schedule 2, Table 7-28)</t>
  </si>
  <si>
    <t>OM&amp;A</t>
  </si>
  <si>
    <t>ORDA Account Balance Recovery (Based on 2026 Forecast Volumes)</t>
  </si>
  <si>
    <t>Source: EB-2025-0140 Gas Supply Plan Load Forecast except rate 16, which is based on a three year average for volumes</t>
  </si>
  <si>
    <t>UFGVA Account Balance Allocation (Based on 2021-2024 Actual Volumes)</t>
  </si>
  <si>
    <t>Forecast Volumes - 2022-2024</t>
  </si>
  <si>
    <t>UFGVA Account Balance Recovery (Based on 2026 Forecast Volumes)</t>
  </si>
  <si>
    <t>CVVA Account Balance Allocation (Based on 2024 CVVA calculation workbook)</t>
  </si>
  <si>
    <t>CVVA Account Balance Recovery (Based on 2026 Forecast mid-year customer count)</t>
  </si>
  <si>
    <t>2024 Actual</t>
  </si>
  <si>
    <t>50% Recovery</t>
  </si>
  <si>
    <t>CVVA Allocation</t>
  </si>
  <si>
    <t>Customer Count</t>
  </si>
  <si>
    <t>#</t>
  </si>
  <si>
    <t>$ per month</t>
  </si>
  <si>
    <t>Agreement Commence</t>
  </si>
  <si>
    <t>Agreement Conclude</t>
  </si>
  <si>
    <t>Rate Rider Commence</t>
  </si>
  <si>
    <t>Rate Rider Conclude</t>
  </si>
  <si>
    <t>Months</t>
  </si>
  <si>
    <t>TVA Account Balance Allocation</t>
  </si>
  <si>
    <t>TVA Account Balance Recovery (Based on 2024 Contract Demand Values)</t>
  </si>
  <si>
    <t>(15 years)</t>
  </si>
  <si>
    <t>(30 years)</t>
  </si>
  <si>
    <t>S&amp;TVA Account Balance Recovery (Based on 2024 Weather Normalized Volumes) using 12 of 299 months allocation</t>
  </si>
  <si>
    <t>S&amp;TVA Account Balance Allocation - Upstream Recovery Costs ( EB-2018-0624, Exhibit 7, Tab 1, Schedule 2, Table 7-24 - Enbridge CIAC Rate Base)</t>
  </si>
  <si>
    <t>S&amp;TVA Account Balance Allocation - Transportation &amp; Storage Costs ( Source: EB-2018-0624, Exhibit 3, Tab 1, Schedule 2, Table 3-9 - Throuhgput Volumes by Rate Class)</t>
  </si>
  <si>
    <t>S&amp;TVA Account Balance Allocation - (Combined)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</si>
</sst>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  <numFmt numFmtId="168" formatCode="_-&quot;$&quot;* #,##0.000000_-;\-&quot;$&quot;* #,##0.000000_-;_-&quot;$&quot;* &quot;-&quot;??_-;_-@_-"/>
    <numFmt numFmtId="169" formatCode="#,##0.0000_);\(#,##0.0000\)"/>
    <numFmt numFmtId="170" formatCode="0.0%"/>
    <numFmt numFmtId="171" formatCode="&quot;$&quot;#,##0"/>
    <numFmt numFmtId="172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11"/>
      <color rgb="FF001D35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u val="singleAccounting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</cellStyleXfs>
  <cellXfs count="156">
    <xf numFmtId="0" fontId="0" fillId="0" borderId="0" xfId="0"/>
    <xf numFmtId="0" fontId="0" fillId="0" borderId="2" xfId="0" applyBorder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168" fontId="5" fillId="0" borderId="2" xfId="3" applyNumberFormat="1" applyFont="1" applyBorder="1"/>
    <xf numFmtId="5" fontId="5" fillId="0" borderId="2" xfId="4" applyNumberFormat="1" applyFont="1" applyBorder="1"/>
    <xf numFmtId="5" fontId="9" fillId="0" borderId="2" xfId="4" applyNumberFormat="1" applyFont="1" applyBorder="1"/>
    <xf numFmtId="5" fontId="9" fillId="0" borderId="3" xfId="4" applyNumberFormat="1" applyFont="1" applyBorder="1"/>
    <xf numFmtId="0" fontId="9" fillId="0" borderId="0" xfId="8" applyFont="1"/>
    <xf numFmtId="0" fontId="5" fillId="0" borderId="0" xfId="8" applyFont="1"/>
    <xf numFmtId="0" fontId="8" fillId="0" borderId="4" xfId="8" applyFont="1" applyBorder="1" applyAlignment="1">
      <alignment horizontal="center" vertical="center" wrapText="1"/>
    </xf>
    <xf numFmtId="10" fontId="5" fillId="0" borderId="0" xfId="8" applyNumberFormat="1" applyFont="1"/>
    <xf numFmtId="0" fontId="10" fillId="0" borderId="2" xfId="8" applyFont="1" applyBorder="1" applyAlignment="1">
      <alignment horizontal="left" vertical="center" wrapText="1"/>
    </xf>
    <xf numFmtId="0" fontId="10" fillId="0" borderId="2" xfId="8" applyFont="1" applyBorder="1" applyAlignment="1">
      <alignment horizontal="center" vertical="center" wrapText="1"/>
    </xf>
    <xf numFmtId="37" fontId="10" fillId="0" borderId="2" xfId="4" applyNumberFormat="1" applyFont="1" applyBorder="1" applyAlignment="1">
      <alignment horizontal="center" vertical="center" wrapText="1"/>
    </xf>
    <xf numFmtId="164" fontId="10" fillId="0" borderId="2" xfId="4" applyNumberFormat="1" applyFont="1" applyBorder="1" applyAlignment="1">
      <alignment horizontal="center" vertical="center" wrapText="1"/>
    </xf>
    <xf numFmtId="9" fontId="10" fillId="0" borderId="2" xfId="2" applyFont="1" applyBorder="1" applyAlignment="1">
      <alignment horizontal="center" vertical="center" wrapText="1"/>
    </xf>
    <xf numFmtId="165" fontId="5" fillId="0" borderId="0" xfId="4" applyFont="1"/>
    <xf numFmtId="0" fontId="8" fillId="0" borderId="3" xfId="8" applyFont="1" applyBorder="1" applyAlignment="1">
      <alignment horizontal="left"/>
    </xf>
    <xf numFmtId="0" fontId="8" fillId="0" borderId="3" xfId="8" applyFont="1" applyBorder="1" applyAlignment="1">
      <alignment horizontal="center" vertical="center"/>
    </xf>
    <xf numFmtId="5" fontId="8" fillId="0" borderId="3" xfId="4" applyNumberFormat="1" applyFont="1" applyBorder="1" applyAlignment="1">
      <alignment horizontal="center" vertical="center" wrapText="1"/>
    </xf>
    <xf numFmtId="9" fontId="10" fillId="0" borderId="2" xfId="9" applyFont="1" applyBorder="1" applyAlignment="1">
      <alignment horizontal="center" vertical="center" wrapText="1"/>
    </xf>
    <xf numFmtId="0" fontId="8" fillId="0" borderId="2" xfId="8" applyFont="1" applyBorder="1" applyAlignment="1">
      <alignment horizontal="left"/>
    </xf>
    <xf numFmtId="0" fontId="8" fillId="0" borderId="2" xfId="8" applyFont="1" applyBorder="1" applyAlignment="1">
      <alignment horizontal="center" vertical="center"/>
    </xf>
    <xf numFmtId="5" fontId="8" fillId="0" borderId="2" xfId="4" applyNumberFormat="1" applyFont="1" applyBorder="1" applyAlignment="1">
      <alignment horizontal="center" vertical="center" wrapText="1"/>
    </xf>
    <xf numFmtId="169" fontId="8" fillId="0" borderId="3" xfId="8" applyNumberFormat="1" applyFont="1" applyBorder="1" applyAlignment="1">
      <alignment horizontal="center"/>
    </xf>
    <xf numFmtId="5" fontId="9" fillId="0" borderId="0" xfId="4" applyNumberFormat="1" applyFont="1" applyBorder="1"/>
    <xf numFmtId="5" fontId="13" fillId="0" borderId="2" xfId="4" applyNumberFormat="1" applyFont="1" applyBorder="1"/>
    <xf numFmtId="5" fontId="4" fillId="0" borderId="2" xfId="4" applyNumberFormat="1" applyFont="1" applyBorder="1"/>
    <xf numFmtId="0" fontId="10" fillId="0" borderId="3" xfId="0" applyFont="1" applyBorder="1" applyAlignment="1">
      <alignment horizontal="left"/>
    </xf>
    <xf numFmtId="10" fontId="4" fillId="0" borderId="2" xfId="2" applyNumberFormat="1" applyFont="1" applyBorder="1"/>
    <xf numFmtId="41" fontId="5" fillId="0" borderId="2" xfId="0" applyNumberFormat="1" applyFont="1" applyBorder="1"/>
    <xf numFmtId="167" fontId="5" fillId="0" borderId="2" xfId="4" applyNumberFormat="1" applyFont="1" applyFill="1" applyBorder="1"/>
    <xf numFmtId="41" fontId="10" fillId="0" borderId="2" xfId="0" applyNumberFormat="1" applyFont="1" applyBorder="1"/>
    <xf numFmtId="0" fontId="3" fillId="0" borderId="0" xfId="0" applyFont="1"/>
    <xf numFmtId="43" fontId="3" fillId="0" borderId="0" xfId="1" applyFont="1"/>
    <xf numFmtId="0" fontId="3" fillId="0" borderId="1" xfId="0" applyFont="1" applyBorder="1"/>
    <xf numFmtId="0" fontId="3" fillId="0" borderId="2" xfId="0" applyFont="1" applyBorder="1"/>
    <xf numFmtId="0" fontId="8" fillId="0" borderId="2" xfId="0" applyFont="1" applyBorder="1" applyAlignment="1">
      <alignment horizontal="left"/>
    </xf>
    <xf numFmtId="164" fontId="3" fillId="0" borderId="2" xfId="1" applyNumberFormat="1" applyFont="1" applyFill="1" applyBorder="1"/>
    <xf numFmtId="0" fontId="9" fillId="0" borderId="2" xfId="0" applyFont="1" applyBorder="1" applyAlignment="1">
      <alignment horizontal="left"/>
    </xf>
    <xf numFmtId="165" fontId="10" fillId="0" borderId="2" xfId="4" applyFont="1" applyFill="1" applyBorder="1" applyProtection="1">
      <protection locked="0"/>
    </xf>
    <xf numFmtId="0" fontId="2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/>
    <xf numFmtId="0" fontId="8" fillId="0" borderId="0" xfId="8" applyFont="1"/>
    <xf numFmtId="0" fontId="10" fillId="0" borderId="0" xfId="8" applyFont="1"/>
    <xf numFmtId="0" fontId="10" fillId="0" borderId="1" xfId="8" applyFont="1" applyBorder="1" applyAlignment="1">
      <alignment horizontal="left" vertical="center" wrapText="1"/>
    </xf>
    <xf numFmtId="5" fontId="10" fillId="0" borderId="1" xfId="8" applyNumberFormat="1" applyFont="1" applyBorder="1" applyAlignment="1">
      <alignment horizontal="center" vertical="center" wrapText="1"/>
    </xf>
    <xf numFmtId="5" fontId="10" fillId="0" borderId="3" xfId="8" applyNumberFormat="1" applyFont="1" applyBorder="1" applyAlignment="1">
      <alignment horizontal="center" vertical="center" wrapText="1"/>
    </xf>
    <xf numFmtId="0" fontId="8" fillId="0" borderId="0" xfId="8" applyFont="1" applyAlignment="1">
      <alignment horizontal="left"/>
    </xf>
    <xf numFmtId="5" fontId="10" fillId="0" borderId="0" xfId="8" applyNumberFormat="1" applyFont="1" applyAlignment="1">
      <alignment horizontal="center" vertical="center" wrapText="1"/>
    </xf>
    <xf numFmtId="5" fontId="14" fillId="0" borderId="2" xfId="8" applyNumberFormat="1" applyFont="1" applyBorder="1" applyAlignment="1">
      <alignment horizontal="center" vertical="center" wrapText="1"/>
    </xf>
    <xf numFmtId="5" fontId="8" fillId="0" borderId="2" xfId="5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0" fontId="1" fillId="0" borderId="3" xfId="0" applyNumberFormat="1" applyFont="1" applyBorder="1" applyAlignment="1">
      <alignment horizontal="center" vertical="center"/>
    </xf>
    <xf numFmtId="5" fontId="1" fillId="0" borderId="2" xfId="0" applyNumberFormat="1" applyFont="1" applyBorder="1" applyAlignment="1">
      <alignment horizontal="center"/>
    </xf>
    <xf numFmtId="0" fontId="16" fillId="0" borderId="2" xfId="0" applyFont="1" applyBorder="1"/>
    <xf numFmtId="0" fontId="1" fillId="0" borderId="2" xfId="0" applyFont="1" applyBorder="1"/>
    <xf numFmtId="5" fontId="9" fillId="0" borderId="4" xfId="0" applyNumberFormat="1" applyFont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5" fontId="18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9" fillId="0" borderId="4" xfId="0" applyFont="1" applyBorder="1"/>
    <xf numFmtId="5" fontId="3" fillId="0" borderId="2" xfId="1" applyNumberFormat="1" applyFont="1" applyFill="1" applyBorder="1"/>
    <xf numFmtId="10" fontId="3" fillId="0" borderId="2" xfId="2" applyNumberFormat="1" applyFont="1" applyFill="1" applyBorder="1" applyAlignment="1">
      <alignment horizontal="center"/>
    </xf>
    <xf numFmtId="5" fontId="3" fillId="0" borderId="3" xfId="1" applyNumberFormat="1" applyFont="1" applyFill="1" applyBorder="1"/>
    <xf numFmtId="5" fontId="9" fillId="0" borderId="3" xfId="1" applyNumberFormat="1" applyFont="1" applyFill="1" applyBorder="1"/>
    <xf numFmtId="5" fontId="13" fillId="0" borderId="2" xfId="1" applyNumberFormat="1" applyFont="1" applyFill="1" applyBorder="1"/>
    <xf numFmtId="0" fontId="9" fillId="0" borderId="2" xfId="0" applyFont="1" applyBorder="1"/>
    <xf numFmtId="0" fontId="19" fillId="0" borderId="0" xfId="0" applyFont="1"/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 applyProtection="1">
      <alignment horizontal="left" indent="2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170" fontId="2" fillId="0" borderId="4" xfId="2" applyNumberFormat="1" applyFont="1" applyFill="1" applyBorder="1" applyAlignment="1">
      <alignment horizontal="center"/>
    </xf>
    <xf numFmtId="5" fontId="1" fillId="0" borderId="2" xfId="4" applyNumberFormat="1" applyFont="1" applyBorder="1"/>
    <xf numFmtId="168" fontId="9" fillId="0" borderId="2" xfId="3" applyNumberFormat="1" applyFont="1" applyBorder="1"/>
    <xf numFmtId="0" fontId="19" fillId="0" borderId="2" xfId="0" applyFont="1" applyBorder="1"/>
    <xf numFmtId="0" fontId="1" fillId="0" borderId="0" xfId="8" applyFont="1"/>
    <xf numFmtId="0" fontId="10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6" xfId="0" applyBorder="1"/>
    <xf numFmtId="5" fontId="13" fillId="0" borderId="6" xfId="4" applyNumberFormat="1" applyFont="1" applyBorder="1"/>
    <xf numFmtId="0" fontId="19" fillId="0" borderId="6" xfId="0" applyFont="1" applyBorder="1"/>
    <xf numFmtId="167" fontId="5" fillId="0" borderId="1" xfId="4" applyNumberFormat="1" applyFont="1" applyFill="1" applyBorder="1"/>
    <xf numFmtId="171" fontId="1" fillId="0" borderId="0" xfId="0" applyNumberFormat="1" applyFont="1"/>
    <xf numFmtId="164" fontId="13" fillId="0" borderId="2" xfId="4" applyNumberFormat="1" applyFont="1" applyBorder="1"/>
    <xf numFmtId="0" fontId="1" fillId="0" borderId="3" xfId="0" applyFont="1" applyBorder="1" applyAlignment="1">
      <alignment horizontal="left" indent="1"/>
    </xf>
    <xf numFmtId="5" fontId="9" fillId="0" borderId="2" xfId="1" applyNumberFormat="1" applyFont="1" applyFill="1" applyBorder="1"/>
    <xf numFmtId="5" fontId="0" fillId="0" borderId="0" xfId="0" applyNumberFormat="1"/>
    <xf numFmtId="0" fontId="9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5" fontId="1" fillId="0" borderId="9" xfId="0" applyNumberFormat="1" applyFont="1" applyBorder="1" applyAlignment="1">
      <alignment horizontal="center"/>
    </xf>
    <xf numFmtId="5" fontId="1" fillId="0" borderId="8" xfId="0" applyNumberFormat="1" applyFont="1" applyBorder="1" applyAlignment="1">
      <alignment horizontal="center"/>
    </xf>
    <xf numFmtId="0" fontId="1" fillId="0" borderId="1" xfId="0" applyFont="1" applyBorder="1"/>
    <xf numFmtId="5" fontId="1" fillId="0" borderId="1" xfId="0" applyNumberFormat="1" applyFont="1" applyBorder="1" applyAlignment="1">
      <alignment horizontal="center"/>
    </xf>
    <xf numFmtId="5" fontId="1" fillId="0" borderId="3" xfId="0" applyNumberFormat="1" applyFont="1" applyBorder="1" applyAlignment="1">
      <alignment horizontal="center"/>
    </xf>
    <xf numFmtId="0" fontId="21" fillId="0" borderId="0" xfId="0" applyFont="1"/>
    <xf numFmtId="9" fontId="2" fillId="0" borderId="0" xfId="2" applyFont="1" applyFill="1" applyBorder="1" applyAlignment="1">
      <alignment horizontal="center"/>
    </xf>
    <xf numFmtId="37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37" fontId="10" fillId="0" borderId="2" xfId="4" applyNumberFormat="1" applyFont="1" applyFill="1" applyBorder="1" applyAlignment="1">
      <alignment horizontal="center" vertical="center" wrapText="1"/>
    </xf>
    <xf numFmtId="164" fontId="10" fillId="0" borderId="2" xfId="4" applyNumberFormat="1" applyFont="1" applyFill="1" applyBorder="1" applyAlignment="1">
      <alignment horizontal="center" vertical="center" wrapText="1"/>
    </xf>
    <xf numFmtId="9" fontId="10" fillId="0" borderId="2" xfId="2" applyFont="1" applyFill="1" applyBorder="1" applyAlignment="1">
      <alignment horizontal="center" vertical="center" wrapText="1"/>
    </xf>
    <xf numFmtId="9" fontId="10" fillId="0" borderId="2" xfId="9" applyFont="1" applyFill="1" applyBorder="1" applyAlignment="1">
      <alignment horizontal="center" vertical="center" wrapText="1"/>
    </xf>
    <xf numFmtId="5" fontId="8" fillId="0" borderId="2" xfId="5" applyNumberFormat="1" applyFont="1" applyFill="1" applyBorder="1" applyAlignment="1">
      <alignment horizontal="center" vertical="center" wrapText="1"/>
    </xf>
    <xf numFmtId="5" fontId="8" fillId="0" borderId="2" xfId="4" applyNumberFormat="1" applyFont="1" applyFill="1" applyBorder="1" applyAlignment="1">
      <alignment horizontal="center" vertical="center" wrapText="1"/>
    </xf>
    <xf numFmtId="5" fontId="10" fillId="0" borderId="2" xfId="4" applyNumberFormat="1" applyFont="1" applyBorder="1" applyAlignment="1">
      <alignment horizontal="center" vertical="center" wrapText="1"/>
    </xf>
    <xf numFmtId="7" fontId="10" fillId="0" borderId="2" xfId="4" applyNumberFormat="1" applyFont="1" applyBorder="1" applyAlignment="1">
      <alignment horizontal="center" vertical="center" wrapText="1"/>
    </xf>
    <xf numFmtId="0" fontId="18" fillId="0" borderId="0" xfId="0" applyFont="1"/>
    <xf numFmtId="0" fontId="1" fillId="0" borderId="1" xfId="0" applyFont="1" applyBorder="1" applyAlignment="1">
      <alignment horizontal="left"/>
    </xf>
    <xf numFmtId="172" fontId="1" fillId="0" borderId="1" xfId="0" applyNumberFormat="1" applyFont="1" applyBorder="1"/>
    <xf numFmtId="0" fontId="1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72" fontId="9" fillId="0" borderId="3" xfId="0" applyNumberFormat="1" applyFont="1" applyBorder="1"/>
    <xf numFmtId="172" fontId="22" fillId="0" borderId="2" xfId="0" applyNumberFormat="1" applyFont="1" applyBorder="1"/>
    <xf numFmtId="9" fontId="1" fillId="0" borderId="1" xfId="2" applyFont="1" applyFill="1" applyBorder="1" applyAlignment="1">
      <alignment horizontal="center"/>
    </xf>
    <xf numFmtId="9" fontId="1" fillId="0" borderId="3" xfId="2" applyFont="1" applyFill="1" applyBorder="1" applyAlignment="1">
      <alignment horizontal="center"/>
    </xf>
    <xf numFmtId="9" fontId="13" fillId="0" borderId="2" xfId="2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7" fontId="8" fillId="0" borderId="3" xfId="11" applyNumberFormat="1" applyFont="1" applyBorder="1" applyAlignment="1">
      <alignment horizontal="center"/>
    </xf>
    <xf numFmtId="41" fontId="1" fillId="0" borderId="2" xfId="0" applyNumberFormat="1" applyFont="1" applyBorder="1"/>
    <xf numFmtId="167" fontId="1" fillId="0" borderId="2" xfId="4" applyNumberFormat="1" applyFont="1" applyFill="1" applyBorder="1"/>
    <xf numFmtId="168" fontId="1" fillId="0" borderId="2" xfId="3" applyNumberFormat="1" applyFont="1" applyBorder="1"/>
    <xf numFmtId="10" fontId="1" fillId="0" borderId="2" xfId="2" applyNumberFormat="1" applyFont="1" applyFill="1" applyBorder="1" applyAlignment="1">
      <alignment horizontal="center"/>
    </xf>
    <xf numFmtId="10" fontId="1" fillId="0" borderId="2" xfId="2" applyNumberFormat="1" applyFont="1" applyBorder="1"/>
    <xf numFmtId="10" fontId="1" fillId="0" borderId="0" xfId="8" applyNumberFormat="1" applyFont="1"/>
    <xf numFmtId="165" fontId="1" fillId="0" borderId="0" xfId="4" applyFont="1"/>
    <xf numFmtId="15" fontId="1" fillId="0" borderId="0" xfId="0" applyNumberFormat="1" applyFont="1"/>
    <xf numFmtId="164" fontId="1" fillId="0" borderId="0" xfId="1" applyNumberFormat="1" applyFont="1" applyAlignment="1">
      <alignment horizontal="right"/>
    </xf>
    <xf numFmtId="164" fontId="0" fillId="0" borderId="0" xfId="0" applyNumberFormat="1"/>
    <xf numFmtId="43" fontId="0" fillId="0" borderId="0" xfId="0" applyNumberFormat="1"/>
    <xf numFmtId="9" fontId="0" fillId="0" borderId="0" xfId="2" applyFont="1"/>
    <xf numFmtId="7" fontId="0" fillId="0" borderId="0" xfId="0" applyNumberFormat="1"/>
    <xf numFmtId="0" fontId="8" fillId="0" borderId="0" xfId="8" applyFont="1" applyAlignment="1">
      <alignment horizontal="center" vertical="center"/>
    </xf>
    <xf numFmtId="5" fontId="8" fillId="0" borderId="0" xfId="4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2">
    <cellStyle name="Comma" xfId="1" builtinId="3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urrency" xfId="11" builtinId="4"/>
    <cellStyle name="Currency 2" xfId="3" xr:uid="{00000000-0005-0000-0000-000004000000}"/>
    <cellStyle name="Normal" xfId="0" builtinId="0"/>
    <cellStyle name="Normal 2" xfId="8" xr:uid="{00000000-0005-0000-0000-000006000000}"/>
    <cellStyle name="Normal 2 2 2 2 2" xfId="10" xr:uid="{00000000-0005-0000-0000-000007000000}"/>
    <cellStyle name="Percent" xfId="2" builtinId="5"/>
    <cellStyle name="Percent 2" xfId="9" xr:uid="{00000000-0005-0000-0000-000009000000}"/>
    <cellStyle name="Percent 3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C0B8-238C-447E-A13D-72E209DF4A5C}">
  <dimension ref="A1:J21"/>
  <sheetViews>
    <sheetView showGridLines="0" tabSelected="1" workbookViewId="0">
      <selection activeCell="A3" sqref="A3"/>
    </sheetView>
  </sheetViews>
  <sheetFormatPr defaultColWidth="11.7109375" defaultRowHeight="14.25" x14ac:dyDescent="0.2"/>
  <cols>
    <col min="1" max="1" width="11.7109375" style="58"/>
    <col min="2" max="2" width="12" style="59" bestFit="1" customWidth="1"/>
    <col min="3" max="8" width="11.7109375" style="59"/>
    <col min="9" max="16384" width="11.7109375" style="58"/>
  </cols>
  <sheetData>
    <row r="1" spans="1:10" ht="15" x14ac:dyDescent="0.25">
      <c r="A1" s="2" t="s">
        <v>0</v>
      </c>
    </row>
    <row r="2" spans="1:10" ht="15" x14ac:dyDescent="0.25">
      <c r="A2" s="2" t="s">
        <v>51</v>
      </c>
    </row>
    <row r="3" spans="1:10" ht="15" x14ac:dyDescent="0.25">
      <c r="A3" s="48" t="s">
        <v>52</v>
      </c>
    </row>
    <row r="4" spans="1:10" ht="15" x14ac:dyDescent="0.25">
      <c r="A4" s="48"/>
    </row>
    <row r="5" spans="1:10" ht="15" x14ac:dyDescent="0.25">
      <c r="A5" s="102"/>
      <c r="B5" s="153">
        <v>2024</v>
      </c>
      <c r="C5" s="154"/>
      <c r="D5" s="153" t="s">
        <v>46</v>
      </c>
      <c r="E5" s="155"/>
      <c r="F5" s="155"/>
      <c r="G5" s="154"/>
      <c r="H5" s="148" t="s">
        <v>17</v>
      </c>
    </row>
    <row r="6" spans="1:10" s="61" customFormat="1" ht="15" x14ac:dyDescent="0.2">
      <c r="A6" s="65"/>
      <c r="B6" s="149" t="s">
        <v>34</v>
      </c>
      <c r="C6" s="151" t="s">
        <v>35</v>
      </c>
      <c r="D6" s="100" t="s">
        <v>42</v>
      </c>
      <c r="E6" s="100" t="s">
        <v>43</v>
      </c>
      <c r="F6" s="100" t="s">
        <v>44</v>
      </c>
      <c r="G6" s="100" t="s">
        <v>45</v>
      </c>
      <c r="H6" s="149"/>
      <c r="J6" s="67" t="s">
        <v>48</v>
      </c>
    </row>
    <row r="7" spans="1:10" s="60" customFormat="1" x14ac:dyDescent="0.2">
      <c r="A7" s="101"/>
      <c r="B7" s="150"/>
      <c r="C7" s="152"/>
      <c r="D7" s="62">
        <v>3.6400000000000002E-2</v>
      </c>
      <c r="E7" s="62">
        <v>3.1600000000000003E-2</v>
      </c>
      <c r="F7" s="62">
        <v>2.9100000000000001E-2</v>
      </c>
      <c r="G7" s="62">
        <f>F7</f>
        <v>2.9100000000000001E-2</v>
      </c>
      <c r="H7" s="150"/>
      <c r="J7" s="68"/>
    </row>
    <row r="8" spans="1:10" x14ac:dyDescent="0.2">
      <c r="A8" s="64" t="s">
        <v>53</v>
      </c>
      <c r="B8" s="63">
        <f>CIACVA!B25</f>
        <v>300025</v>
      </c>
      <c r="C8" s="63">
        <f>CIACVA!B26</f>
        <v>0</v>
      </c>
      <c r="D8" s="63">
        <f>$B8*D$7/4</f>
        <v>2730.2275</v>
      </c>
      <c r="E8" s="63">
        <f t="shared" ref="E8:G13" si="0">$B8*E$7/4</f>
        <v>2370.1975000000002</v>
      </c>
      <c r="F8" s="63">
        <f t="shared" si="0"/>
        <v>2182.6818750000002</v>
      </c>
      <c r="G8" s="63">
        <f t="shared" si="0"/>
        <v>2182.6818750000002</v>
      </c>
      <c r="H8" s="63">
        <f>SUM(B8:G8)</f>
        <v>309490.78875000001</v>
      </c>
      <c r="J8" s="69">
        <f>H8-CIACVA!D27</f>
        <v>0</v>
      </c>
    </row>
    <row r="9" spans="1:10" x14ac:dyDescent="0.2">
      <c r="A9" s="65" t="s">
        <v>54</v>
      </c>
      <c r="B9" s="63">
        <f>ECVA!C26</f>
        <v>21912.547967113249</v>
      </c>
      <c r="C9" s="63">
        <f>CIACVA!B26</f>
        <v>0</v>
      </c>
      <c r="D9" s="63">
        <f t="shared" ref="D9:D13" si="1">$B9*D$7/4</f>
        <v>199.40418650073059</v>
      </c>
      <c r="E9" s="63">
        <f t="shared" si="0"/>
        <v>173.10912894019469</v>
      </c>
      <c r="F9" s="63">
        <f t="shared" si="0"/>
        <v>159.4137864607489</v>
      </c>
      <c r="G9" s="63">
        <f t="shared" si="0"/>
        <v>159.4137864607489</v>
      </c>
      <c r="H9" s="63">
        <f t="shared" ref="H9:H10" si="2">SUM(B9:G9)</f>
        <v>22603.88885547567</v>
      </c>
      <c r="J9" s="69">
        <f>H9-ECVA!E28</f>
        <v>0</v>
      </c>
    </row>
    <row r="10" spans="1:10" x14ac:dyDescent="0.2">
      <c r="A10" s="65" t="s">
        <v>55</v>
      </c>
      <c r="B10" s="63">
        <f>MTVA!B29</f>
        <v>-78984.209396276856</v>
      </c>
      <c r="C10" s="63">
        <f>MTVA!B30</f>
        <v>13239.230144916666</v>
      </c>
      <c r="D10" s="63">
        <f t="shared" si="1"/>
        <v>-718.75630550611947</v>
      </c>
      <c r="E10" s="63">
        <f t="shared" si="0"/>
        <v>-623.97525423058721</v>
      </c>
      <c r="F10" s="63">
        <f t="shared" si="0"/>
        <v>-574.61012335791418</v>
      </c>
      <c r="G10" s="63">
        <f t="shared" si="0"/>
        <v>-574.61012335791418</v>
      </c>
      <c r="H10" s="63">
        <f t="shared" si="2"/>
        <v>-68236.931057812719</v>
      </c>
      <c r="J10" s="69">
        <f>H10-MTVA!D31</f>
        <v>0</v>
      </c>
    </row>
    <row r="11" spans="1:10" x14ac:dyDescent="0.2">
      <c r="A11" s="65" t="s">
        <v>56</v>
      </c>
      <c r="B11" s="63">
        <f>ORDA!B28</f>
        <v>-28358</v>
      </c>
      <c r="C11" s="63">
        <f>ORDA!B29</f>
        <v>-615.37366666666662</v>
      </c>
      <c r="D11" s="63">
        <f t="shared" si="1"/>
        <v>-258.05779999999999</v>
      </c>
      <c r="E11" s="63">
        <f t="shared" si="0"/>
        <v>-224.02820000000003</v>
      </c>
      <c r="F11" s="63">
        <f t="shared" si="0"/>
        <v>-206.30445</v>
      </c>
      <c r="G11" s="63">
        <f t="shared" si="0"/>
        <v>-206.30445</v>
      </c>
      <c r="H11" s="63">
        <f t="shared" ref="H11" si="3">SUM(B11:G11)</f>
        <v>-29868.068566666665</v>
      </c>
      <c r="J11" s="69">
        <f>H11-ORDA!D30</f>
        <v>0</v>
      </c>
    </row>
    <row r="12" spans="1:10" x14ac:dyDescent="0.2">
      <c r="A12" s="65" t="s">
        <v>57</v>
      </c>
      <c r="B12" s="63">
        <f>CVVA!B24</f>
        <v>552604.12701191567</v>
      </c>
      <c r="C12" s="63">
        <f>CVVA!B25</f>
        <v>15718.505361194915</v>
      </c>
      <c r="D12" s="63">
        <f t="shared" si="1"/>
        <v>5028.6975558084332</v>
      </c>
      <c r="E12" s="63">
        <f t="shared" si="0"/>
        <v>4365.5726033941346</v>
      </c>
      <c r="F12" s="63">
        <f t="shared" si="0"/>
        <v>4020.1950240116867</v>
      </c>
      <c r="G12" s="63">
        <f t="shared" si="0"/>
        <v>4020.1950240116867</v>
      </c>
      <c r="H12" s="63">
        <f t="shared" ref="H12" si="4">SUM(B12:G12)</f>
        <v>585757.29258033657</v>
      </c>
      <c r="J12" s="69">
        <f>H12-CVVA!D26</f>
        <v>0</v>
      </c>
    </row>
    <row r="13" spans="1:10" x14ac:dyDescent="0.2">
      <c r="A13" s="65" t="s">
        <v>47</v>
      </c>
      <c r="B13" s="63">
        <f>UFGVA!B24</f>
        <v>-79912.957491246285</v>
      </c>
      <c r="C13" s="63">
        <f>UFGVA!B25</f>
        <v>-8908.2932940976352</v>
      </c>
      <c r="D13" s="63">
        <f t="shared" si="1"/>
        <v>-727.20791317034127</v>
      </c>
      <c r="E13" s="63">
        <f t="shared" si="0"/>
        <v>-631.31236418084575</v>
      </c>
      <c r="F13" s="63">
        <f t="shared" si="0"/>
        <v>-581.36676574881676</v>
      </c>
      <c r="G13" s="63">
        <f t="shared" si="0"/>
        <v>-581.36676574881676</v>
      </c>
      <c r="H13" s="63">
        <f t="shared" ref="H13" si="5">SUM(B13:G13)</f>
        <v>-91342.504594192724</v>
      </c>
      <c r="J13" s="69">
        <f>H13-UFGVA!D26</f>
        <v>0</v>
      </c>
    </row>
    <row r="14" spans="1:10" x14ac:dyDescent="0.2">
      <c r="A14" s="103"/>
      <c r="B14" s="104"/>
      <c r="C14" s="104"/>
      <c r="D14" s="104"/>
      <c r="E14" s="104"/>
      <c r="F14" s="104"/>
      <c r="G14" s="104"/>
      <c r="H14" s="105"/>
      <c r="J14" s="69"/>
    </row>
    <row r="15" spans="1:10" ht="15" x14ac:dyDescent="0.25">
      <c r="A15" s="102"/>
      <c r="B15" s="153">
        <v>2024</v>
      </c>
      <c r="C15" s="154"/>
      <c r="D15" s="153" t="s">
        <v>46</v>
      </c>
      <c r="E15" s="155"/>
      <c r="F15" s="155"/>
      <c r="G15" s="154"/>
      <c r="H15" s="148" t="s">
        <v>17</v>
      </c>
      <c r="J15" s="69"/>
    </row>
    <row r="16" spans="1:10" ht="15" x14ac:dyDescent="0.2">
      <c r="A16" s="65"/>
      <c r="B16" s="149" t="s">
        <v>34</v>
      </c>
      <c r="C16" s="151" t="s">
        <v>35</v>
      </c>
      <c r="D16" s="100" t="s">
        <v>42</v>
      </c>
      <c r="E16" s="100" t="s">
        <v>43</v>
      </c>
      <c r="F16" s="100" t="s">
        <v>44</v>
      </c>
      <c r="G16" s="100" t="s">
        <v>45</v>
      </c>
      <c r="H16" s="149"/>
      <c r="J16" s="69"/>
    </row>
    <row r="17" spans="1:10" ht="14.25" customHeight="1" x14ac:dyDescent="0.2">
      <c r="A17" s="101"/>
      <c r="B17" s="150"/>
      <c r="C17" s="152"/>
      <c r="D17" s="62">
        <f>TVA!B24</f>
        <v>3.7199999999999997E-2</v>
      </c>
      <c r="E17" s="62">
        <f>TVA!C24</f>
        <v>3.7199999999999997E-2</v>
      </c>
      <c r="F17" s="62">
        <f>TVA!D24</f>
        <v>3.7199999999999997E-2</v>
      </c>
      <c r="G17" s="62">
        <f>TVA!E24</f>
        <v>3.7199999999999997E-2</v>
      </c>
      <c r="H17" s="150"/>
      <c r="J17" s="69"/>
    </row>
    <row r="18" spans="1:10" x14ac:dyDescent="0.2">
      <c r="A18" s="106" t="s">
        <v>59</v>
      </c>
      <c r="B18" s="107">
        <f>'S&amp;TVA'!B33</f>
        <v>3271746.7568148663</v>
      </c>
      <c r="C18" s="107">
        <f>'S&amp;TVA'!B34</f>
        <v>308463.70768405951</v>
      </c>
      <c r="D18" s="107">
        <f t="shared" ref="D18:G19" si="6">$B18*D$17/4</f>
        <v>30427.244838378254</v>
      </c>
      <c r="E18" s="107">
        <f t="shared" si="6"/>
        <v>30427.244838378254</v>
      </c>
      <c r="F18" s="107">
        <f t="shared" si="6"/>
        <v>30427.244838378254</v>
      </c>
      <c r="G18" s="107">
        <f t="shared" si="6"/>
        <v>30427.244838378254</v>
      </c>
      <c r="H18" s="107">
        <f>SUM(B18:G18)</f>
        <v>3701919.4438524395</v>
      </c>
      <c r="J18" s="69">
        <f>H19-TVA!D35</f>
        <v>0</v>
      </c>
    </row>
    <row r="19" spans="1:10" x14ac:dyDescent="0.2">
      <c r="A19" s="101" t="s">
        <v>58</v>
      </c>
      <c r="B19" s="108">
        <f>TVA!B33</f>
        <v>381952.37050276785</v>
      </c>
      <c r="C19" s="108">
        <f>TVA!B34</f>
        <v>48120.521292415775</v>
      </c>
      <c r="D19" s="108">
        <f t="shared" si="6"/>
        <v>3552.1570456757408</v>
      </c>
      <c r="E19" s="108">
        <f t="shared" si="6"/>
        <v>3552.1570456757408</v>
      </c>
      <c r="F19" s="108">
        <f t="shared" si="6"/>
        <v>3552.1570456757408</v>
      </c>
      <c r="G19" s="108">
        <f t="shared" si="6"/>
        <v>3552.1570456757408</v>
      </c>
      <c r="H19" s="108">
        <f>SUM(B19:G19)</f>
        <v>444281.51997788658</v>
      </c>
      <c r="J19" s="69">
        <f>H18-'S&amp;TVA'!D35</f>
        <v>0</v>
      </c>
    </row>
    <row r="20" spans="1:10" customFormat="1" ht="15" x14ac:dyDescent="0.25">
      <c r="A20" s="58"/>
      <c r="B20" s="59"/>
      <c r="C20" s="59"/>
      <c r="D20" s="59"/>
      <c r="E20" s="59"/>
      <c r="F20" s="59"/>
      <c r="G20" s="59"/>
      <c r="H20" s="59"/>
    </row>
    <row r="21" spans="1:10" s="48" customFormat="1" ht="15" x14ac:dyDescent="0.25">
      <c r="A21" s="71" t="s">
        <v>17</v>
      </c>
      <c r="B21" s="66">
        <f t="shared" ref="B21:H21" si="7">SUM(B8:B13,B18:B18)</f>
        <v>3959033.2649063719</v>
      </c>
      <c r="C21" s="66">
        <f t="shared" si="7"/>
        <v>327897.77622940677</v>
      </c>
      <c r="D21" s="66">
        <f t="shared" si="7"/>
        <v>36681.55206201096</v>
      </c>
      <c r="E21" s="66">
        <f t="shared" si="7"/>
        <v>35856.808252301147</v>
      </c>
      <c r="F21" s="66">
        <f t="shared" si="7"/>
        <v>35427.254184743957</v>
      </c>
      <c r="G21" s="66">
        <f t="shared" si="7"/>
        <v>35427.254184743957</v>
      </c>
      <c r="H21" s="66">
        <f t="shared" si="7"/>
        <v>4430323.9098195797</v>
      </c>
      <c r="J21" s="70"/>
    </row>
  </sheetData>
  <sheetProtection sheet="1" objects="1" scenarios="1"/>
  <mergeCells count="10">
    <mergeCell ref="H5:H7"/>
    <mergeCell ref="H15:H17"/>
    <mergeCell ref="B16:B17"/>
    <mergeCell ref="C16:C17"/>
    <mergeCell ref="B15:C15"/>
    <mergeCell ref="D15:G15"/>
    <mergeCell ref="B5:C5"/>
    <mergeCell ref="D5:G5"/>
    <mergeCell ref="B6:B7"/>
    <mergeCell ref="C6:C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0"/>
  <sheetViews>
    <sheetView showGridLines="0" workbookViewId="0">
      <selection activeCell="J22" sqref="J22"/>
    </sheetView>
  </sheetViews>
  <sheetFormatPr defaultColWidth="9.140625" defaultRowHeight="14.25" x14ac:dyDescent="0.2"/>
  <cols>
    <col min="1" max="1" width="18.5703125" style="46" customWidth="1"/>
    <col min="2" max="2" width="15.28515625" style="46" customWidth="1"/>
    <col min="3" max="3" width="12.7109375" style="46" bestFit="1" customWidth="1"/>
    <col min="4" max="4" width="17" style="46" bestFit="1" customWidth="1"/>
    <col min="5" max="5" width="11.5703125" style="46" bestFit="1" customWidth="1"/>
    <col min="6" max="7" width="12.7109375" style="46" bestFit="1" customWidth="1"/>
    <col min="8" max="8" width="9.28515625" style="46" bestFit="1" customWidth="1"/>
    <col min="9" max="16384" width="9.140625" style="46"/>
  </cols>
  <sheetData>
    <row r="1" spans="1:8" ht="15" x14ac:dyDescent="0.25">
      <c r="A1" s="48" t="str">
        <f>CIACVA!A1</f>
        <v>EPCOR Natural Gas Limited Partnership</v>
      </c>
    </row>
    <row r="2" spans="1:8" ht="15" x14ac:dyDescent="0.25">
      <c r="A2" s="48" t="str">
        <f>CIACVA!A2</f>
        <v>EB-2025-0177</v>
      </c>
    </row>
    <row r="3" spans="1:8" ht="15" x14ac:dyDescent="0.25">
      <c r="A3" s="48" t="s">
        <v>38</v>
      </c>
    </row>
    <row r="4" spans="1:8" ht="15" x14ac:dyDescent="0.25">
      <c r="A4" s="48"/>
    </row>
    <row r="5" spans="1:8" ht="15" x14ac:dyDescent="0.25">
      <c r="A5" s="49" t="s">
        <v>133</v>
      </c>
    </row>
    <row r="6" spans="1:8" ht="15" x14ac:dyDescent="0.25">
      <c r="A6" s="47" t="s">
        <v>33</v>
      </c>
      <c r="B6" s="47" t="s">
        <v>134</v>
      </c>
      <c r="C6" s="47" t="s">
        <v>135</v>
      </c>
      <c r="D6" s="47" t="s">
        <v>136</v>
      </c>
      <c r="F6" s="47" t="s">
        <v>136</v>
      </c>
    </row>
    <row r="7" spans="1:8" x14ac:dyDescent="0.2">
      <c r="A7" s="111">
        <f>8867706.87518971/1000</f>
        <v>8867.7068751897095</v>
      </c>
      <c r="B7" s="111">
        <f>2468200.98836847/1000</f>
        <v>2468.20098836847</v>
      </c>
      <c r="C7" s="111">
        <f>1826281.4655765/1000</f>
        <v>1826.2814655764998</v>
      </c>
      <c r="D7" s="111">
        <v>95824</v>
      </c>
      <c r="F7" s="111">
        <f>805781/1000</f>
        <v>805.78099999999995</v>
      </c>
      <c r="G7" s="121"/>
    </row>
    <row r="8" spans="1:8" x14ac:dyDescent="0.2">
      <c r="A8" s="112" t="s">
        <v>137</v>
      </c>
      <c r="B8" s="112" t="s">
        <v>137</v>
      </c>
      <c r="C8" s="112" t="s">
        <v>137</v>
      </c>
      <c r="D8" s="112" t="s">
        <v>138</v>
      </c>
      <c r="F8" s="112" t="s">
        <v>137</v>
      </c>
    </row>
    <row r="9" spans="1:8" x14ac:dyDescent="0.2">
      <c r="A9" s="110"/>
      <c r="B9" s="110"/>
      <c r="C9" s="110"/>
      <c r="D9" s="110"/>
    </row>
    <row r="10" spans="1:8" ht="15" x14ac:dyDescent="0.25">
      <c r="A10" s="49" t="s">
        <v>139</v>
      </c>
    </row>
    <row r="11" spans="1:8" ht="15" x14ac:dyDescent="0.25">
      <c r="A11" s="47" t="s">
        <v>33</v>
      </c>
      <c r="B11" s="47" t="s">
        <v>134</v>
      </c>
      <c r="C11" s="47" t="s">
        <v>135</v>
      </c>
      <c r="D11" s="47" t="s">
        <v>136</v>
      </c>
    </row>
    <row r="12" spans="1:8" x14ac:dyDescent="0.2">
      <c r="A12" s="111">
        <v>5503</v>
      </c>
      <c r="B12" s="111">
        <v>71</v>
      </c>
      <c r="C12" s="111">
        <v>10</v>
      </c>
      <c r="D12" s="111">
        <v>3</v>
      </c>
      <c r="G12" s="50"/>
      <c r="H12" s="50"/>
    </row>
    <row r="13" spans="1:8" x14ac:dyDescent="0.2">
      <c r="A13" s="82">
        <f>A12/SUM($A$12:$D$12)</f>
        <v>0.98496509754787898</v>
      </c>
      <c r="B13" s="82">
        <f t="shared" ref="B13:D13" si="0">B12/SUM($A$12:$D$12)</f>
        <v>1.2708072310721318E-2</v>
      </c>
      <c r="C13" s="82">
        <f t="shared" si="0"/>
        <v>1.7898693395382137E-3</v>
      </c>
      <c r="D13" s="82">
        <f t="shared" si="0"/>
        <v>5.3696080186146412E-4</v>
      </c>
      <c r="G13" s="50"/>
      <c r="H13" s="50"/>
    </row>
    <row r="14" spans="1:8" x14ac:dyDescent="0.2">
      <c r="A14" s="109" t="s">
        <v>150</v>
      </c>
      <c r="B14" s="50"/>
      <c r="G14" s="50"/>
      <c r="H14" s="50"/>
    </row>
    <row r="15" spans="1:8" x14ac:dyDescent="0.2">
      <c r="B15" s="50"/>
      <c r="G15" s="50"/>
      <c r="H15" s="50"/>
    </row>
    <row r="16" spans="1:8" x14ac:dyDescent="0.2">
      <c r="G16" s="50"/>
      <c r="H16" s="50"/>
    </row>
    <row r="17" spans="1:8" ht="15" x14ac:dyDescent="0.25">
      <c r="A17" s="49" t="s">
        <v>152</v>
      </c>
      <c r="G17" s="50"/>
      <c r="H17" s="50"/>
    </row>
    <row r="18" spans="1:8" ht="15" x14ac:dyDescent="0.25">
      <c r="A18" s="47" t="s">
        <v>33</v>
      </c>
      <c r="B18" s="47" t="s">
        <v>134</v>
      </c>
      <c r="C18" s="47" t="s">
        <v>135</v>
      </c>
      <c r="D18" s="47" t="s">
        <v>136</v>
      </c>
    </row>
    <row r="19" spans="1:8" x14ac:dyDescent="0.2">
      <c r="A19" s="111">
        <v>16496.69333820328</v>
      </c>
      <c r="B19" s="111">
        <v>4578.0031727657351</v>
      </c>
      <c r="C19" s="111">
        <f>C7*3</f>
        <v>5478.8443967294997</v>
      </c>
      <c r="D19" s="111">
        <f>F7*3</f>
        <v>2417.3429999999998</v>
      </c>
    </row>
    <row r="20" spans="1:8" x14ac:dyDescent="0.2">
      <c r="A20" s="112" t="s">
        <v>137</v>
      </c>
      <c r="B20" s="112" t="s">
        <v>137</v>
      </c>
      <c r="C20" s="112" t="s">
        <v>137</v>
      </c>
      <c r="D20" s="112" t="s">
        <v>137</v>
      </c>
    </row>
  </sheetData>
  <sheetProtection sheet="1" objects="1" scenarios="1"/>
  <phoneticPr fontId="20" type="noConversion"/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9F30-D72E-4024-B2D1-37DEFCE1C502}">
  <sheetPr>
    <pageSetUpPr fitToPage="1"/>
  </sheetPr>
  <dimension ref="A1:P43"/>
  <sheetViews>
    <sheetView showGridLines="0" topLeftCell="A16" zoomScale="80" zoomScaleNormal="80" zoomScaleSheetLayoutView="85" workbookViewId="0">
      <selection activeCell="A39" sqref="A39:G43"/>
    </sheetView>
  </sheetViews>
  <sheetFormatPr defaultColWidth="12.5703125" defaultRowHeight="15" x14ac:dyDescent="0.25"/>
  <cols>
    <col min="1" max="1" width="35.7109375" style="58" customWidth="1"/>
    <col min="2" max="2" width="15.140625" hidden="1" customWidth="1"/>
    <col min="3" max="3" width="11.7109375" bestFit="1" customWidth="1"/>
    <col min="4" max="4" width="13.5703125" customWidth="1"/>
    <col min="5" max="5" width="12.42578125" customWidth="1"/>
    <col min="6" max="7" width="11.7109375" bestFit="1" customWidth="1"/>
    <col min="8" max="9" width="11.28515625" bestFit="1" customWidth="1"/>
    <col min="10" max="13" width="11.7109375" bestFit="1" customWidth="1"/>
    <col min="14" max="14" width="13.28515625" customWidth="1"/>
    <col min="15" max="15" width="1.5703125" customWidth="1"/>
    <col min="16" max="16" width="12.28515625" bestFit="1" customWidth="1"/>
  </cols>
  <sheetData>
    <row r="1" spans="1:16" s="2" customFormat="1" x14ac:dyDescent="0.25">
      <c r="A1" s="2" t="s">
        <v>0</v>
      </c>
    </row>
    <row r="2" spans="1:16" s="2" customFormat="1" x14ac:dyDescent="0.25">
      <c r="A2" s="2" t="s">
        <v>40</v>
      </c>
    </row>
    <row r="3" spans="1:16" s="2" customFormat="1" x14ac:dyDescent="0.25">
      <c r="A3" s="2" t="s">
        <v>68</v>
      </c>
    </row>
    <row r="4" spans="1:16" s="2" customFormat="1" x14ac:dyDescent="0.25">
      <c r="A4" s="2" t="s">
        <v>39</v>
      </c>
    </row>
    <row r="5" spans="1:16" x14ac:dyDescent="0.25">
      <c r="A5" s="3"/>
      <c r="B5" s="3"/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2024</v>
      </c>
      <c r="P5" s="4">
        <v>2025</v>
      </c>
    </row>
    <row r="6" spans="1:16" x14ac:dyDescent="0.25">
      <c r="A6" s="5"/>
      <c r="B6" s="5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P6" s="6" t="s">
        <v>26</v>
      </c>
    </row>
    <row r="7" spans="1:16" x14ac:dyDescent="0.25">
      <c r="A7" s="90"/>
      <c r="B7" s="87"/>
      <c r="C7" s="35"/>
      <c r="D7" s="35"/>
      <c r="E7" s="35"/>
      <c r="F7" s="35"/>
      <c r="G7" s="36"/>
      <c r="H7" s="36"/>
      <c r="I7" s="37"/>
      <c r="J7" s="36"/>
      <c r="K7" s="36"/>
      <c r="L7" s="36"/>
      <c r="M7" s="36"/>
      <c r="N7" s="94"/>
      <c r="P7" s="36"/>
    </row>
    <row r="8" spans="1:16" x14ac:dyDescent="0.25">
      <c r="A8" s="65" t="s">
        <v>73</v>
      </c>
      <c r="B8" s="95">
        <v>4282807.5001722239</v>
      </c>
      <c r="C8" s="35"/>
      <c r="D8" s="35"/>
      <c r="E8" s="35"/>
      <c r="F8" s="35"/>
      <c r="G8" s="36"/>
      <c r="H8" s="36"/>
      <c r="I8" s="37"/>
      <c r="J8" s="36"/>
      <c r="K8" s="36"/>
      <c r="L8" s="36"/>
      <c r="M8" s="36"/>
      <c r="N8" s="36"/>
      <c r="P8" s="36"/>
    </row>
    <row r="9" spans="1:16" x14ac:dyDescent="0.25">
      <c r="A9" s="65" t="s">
        <v>74</v>
      </c>
      <c r="B9" s="58">
        <v>39.090000000000003</v>
      </c>
      <c r="C9" s="35"/>
      <c r="D9" s="35"/>
      <c r="E9" s="35"/>
      <c r="F9" s="35"/>
      <c r="G9" s="36"/>
      <c r="H9" s="36"/>
      <c r="I9" s="37"/>
      <c r="J9" s="36"/>
      <c r="K9" s="36"/>
      <c r="L9" s="36"/>
      <c r="M9" s="36"/>
      <c r="N9" s="36"/>
      <c r="P9" s="36"/>
    </row>
    <row r="10" spans="1:16" x14ac:dyDescent="0.25">
      <c r="A10" s="65" t="s">
        <v>75</v>
      </c>
      <c r="B10" s="58">
        <v>38.89</v>
      </c>
      <c r="C10" s="35"/>
      <c r="D10" s="35"/>
      <c r="E10" s="35"/>
      <c r="F10" s="35"/>
      <c r="G10" s="36"/>
      <c r="H10" s="36"/>
      <c r="I10" s="37"/>
      <c r="J10" s="36"/>
      <c r="K10" s="36"/>
      <c r="L10" s="36"/>
      <c r="M10" s="36"/>
      <c r="N10" s="1"/>
      <c r="P10" s="36"/>
    </row>
    <row r="11" spans="1:16" s="78" customFormat="1" x14ac:dyDescent="0.25">
      <c r="A11" s="42" t="s">
        <v>61</v>
      </c>
      <c r="B11" s="8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83">
        <f>(B9-B10)/B9*B8</f>
        <v>21912.547967113249</v>
      </c>
      <c r="P11" s="84"/>
    </row>
    <row r="12" spans="1:16" x14ac:dyDescent="0.25">
      <c r="A12" s="7"/>
      <c r="B12" s="8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P12" s="8"/>
    </row>
    <row r="13" spans="1:16" x14ac:dyDescent="0.25">
      <c r="A13" s="7" t="s">
        <v>69</v>
      </c>
      <c r="B13" s="87"/>
      <c r="C13" s="32">
        <v>0</v>
      </c>
      <c r="D13" s="32">
        <f>C15</f>
        <v>0</v>
      </c>
      <c r="E13" s="32">
        <f t="shared" ref="E13:N13" si="0">D15</f>
        <v>0</v>
      </c>
      <c r="F13" s="32">
        <f t="shared" si="0"/>
        <v>0</v>
      </c>
      <c r="G13" s="32">
        <f t="shared" si="0"/>
        <v>0</v>
      </c>
      <c r="H13" s="32">
        <f t="shared" si="0"/>
        <v>0</v>
      </c>
      <c r="I13" s="32">
        <f t="shared" si="0"/>
        <v>0</v>
      </c>
      <c r="J13" s="32">
        <f t="shared" si="0"/>
        <v>0</v>
      </c>
      <c r="K13" s="32">
        <f>J15</f>
        <v>0</v>
      </c>
      <c r="L13" s="32">
        <f t="shared" si="0"/>
        <v>0</v>
      </c>
      <c r="M13" s="32">
        <f t="shared" si="0"/>
        <v>0</v>
      </c>
      <c r="N13" s="32">
        <f t="shared" si="0"/>
        <v>0</v>
      </c>
      <c r="O13" s="91"/>
      <c r="P13" s="10"/>
    </row>
    <row r="14" spans="1:16" x14ac:dyDescent="0.25">
      <c r="A14" s="7" t="s">
        <v>70</v>
      </c>
      <c r="B14" s="87"/>
      <c r="C14" s="31">
        <f>C11</f>
        <v>0</v>
      </c>
      <c r="D14" s="31">
        <f t="shared" ref="D14:N14" si="1">D11</f>
        <v>0</v>
      </c>
      <c r="E14" s="31">
        <f t="shared" si="1"/>
        <v>0</v>
      </c>
      <c r="F14" s="31">
        <f t="shared" si="1"/>
        <v>0</v>
      </c>
      <c r="G14" s="31">
        <f t="shared" si="1"/>
        <v>0</v>
      </c>
      <c r="H14" s="31">
        <f t="shared" si="1"/>
        <v>0</v>
      </c>
      <c r="I14" s="31">
        <f t="shared" si="1"/>
        <v>0</v>
      </c>
      <c r="J14" s="31">
        <f t="shared" si="1"/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  <c r="N14" s="31">
        <f t="shared" si="1"/>
        <v>21912.547967113249</v>
      </c>
      <c r="O14" s="92">
        <f t="shared" ref="O14" si="2">O11</f>
        <v>0</v>
      </c>
      <c r="P14" s="10"/>
    </row>
    <row r="15" spans="1:16" s="78" customFormat="1" x14ac:dyDescent="0.25">
      <c r="A15" s="42" t="s">
        <v>71</v>
      </c>
      <c r="B15" s="88"/>
      <c r="C15" s="10">
        <f>SUM(C13:C14)</f>
        <v>0</v>
      </c>
      <c r="D15" s="10">
        <f t="shared" ref="D15:N15" si="3">SUM(D13:D14)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10">
        <f t="shared" si="3"/>
        <v>0</v>
      </c>
      <c r="N15" s="10">
        <f t="shared" si="3"/>
        <v>21912.547967113249</v>
      </c>
      <c r="O15" s="93"/>
      <c r="P15" s="10"/>
    </row>
    <row r="16" spans="1:16" x14ac:dyDescent="0.25">
      <c r="A16" s="7"/>
      <c r="B16" s="8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91"/>
      <c r="P16" s="10"/>
    </row>
    <row r="17" spans="1:16" x14ac:dyDescent="0.25">
      <c r="A17" s="7" t="s">
        <v>13</v>
      </c>
      <c r="B17" s="87"/>
      <c r="C17" s="73">
        <v>5.4899999999999997E-2</v>
      </c>
      <c r="D17" s="73">
        <v>5.4899999999999997E-2</v>
      </c>
      <c r="E17" s="73">
        <v>5.4899999999999997E-2</v>
      </c>
      <c r="F17" s="73">
        <v>5.4899999999999997E-2</v>
      </c>
      <c r="G17" s="73">
        <v>5.4899999999999997E-2</v>
      </c>
      <c r="H17" s="73">
        <v>5.4899999999999997E-2</v>
      </c>
      <c r="I17" s="73">
        <v>5.1999999999999998E-2</v>
      </c>
      <c r="J17" s="73">
        <v>5.1999999999999998E-2</v>
      </c>
      <c r="K17" s="73">
        <v>5.1999999999999998E-2</v>
      </c>
      <c r="L17" s="73">
        <v>4.3999999999999997E-2</v>
      </c>
      <c r="M17" s="73">
        <v>4.3999999999999997E-2</v>
      </c>
      <c r="N17" s="73">
        <v>4.3999999999999997E-2</v>
      </c>
      <c r="O17" s="91"/>
      <c r="P17" s="34">
        <f>(Summary!D7+Summary!E7+Summary!F7+Summary!G7)/4</f>
        <v>3.1550000000000002E-2</v>
      </c>
    </row>
    <row r="18" spans="1:16" x14ac:dyDescent="0.25">
      <c r="A18" s="7"/>
      <c r="B18" s="8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1"/>
      <c r="P18" s="10"/>
    </row>
    <row r="19" spans="1:16" x14ac:dyDescent="0.25">
      <c r="A19" s="7" t="s">
        <v>14</v>
      </c>
      <c r="B19" s="87"/>
      <c r="C19" s="32">
        <v>0</v>
      </c>
      <c r="D19" s="32">
        <f>C21</f>
        <v>0</v>
      </c>
      <c r="E19" s="32">
        <f t="shared" ref="E19:N19" si="4">D21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91"/>
      <c r="P19" s="32">
        <f t="shared" ref="P19" si="5">N21</f>
        <v>0</v>
      </c>
    </row>
    <row r="20" spans="1:16" x14ac:dyDescent="0.25">
      <c r="A20" s="7" t="s">
        <v>15</v>
      </c>
      <c r="B20" s="87"/>
      <c r="C20" s="31">
        <f t="shared" ref="C20:N20" si="6">C13*C17/12</f>
        <v>0</v>
      </c>
      <c r="D20" s="31">
        <f t="shared" si="6"/>
        <v>0</v>
      </c>
      <c r="E20" s="31">
        <f t="shared" si="6"/>
        <v>0</v>
      </c>
      <c r="F20" s="31">
        <f t="shared" si="6"/>
        <v>0</v>
      </c>
      <c r="G20" s="31">
        <f t="shared" si="6"/>
        <v>0</v>
      </c>
      <c r="H20" s="31">
        <f t="shared" si="6"/>
        <v>0</v>
      </c>
      <c r="I20" s="31">
        <f t="shared" si="6"/>
        <v>0</v>
      </c>
      <c r="J20" s="31">
        <f t="shared" si="6"/>
        <v>0</v>
      </c>
      <c r="K20" s="31">
        <f t="shared" si="6"/>
        <v>0</v>
      </c>
      <c r="L20" s="31">
        <f t="shared" si="6"/>
        <v>0</v>
      </c>
      <c r="M20" s="31">
        <f t="shared" si="6"/>
        <v>0</v>
      </c>
      <c r="N20" s="31">
        <f t="shared" si="6"/>
        <v>0</v>
      </c>
      <c r="O20" s="91"/>
      <c r="P20" s="31">
        <f>N15*P17</f>
        <v>691.34088836242302</v>
      </c>
    </row>
    <row r="21" spans="1:16" x14ac:dyDescent="0.25">
      <c r="A21" s="33" t="s">
        <v>16</v>
      </c>
      <c r="B21" s="89"/>
      <c r="C21" s="11">
        <f>SUM(C19:C20)</f>
        <v>0</v>
      </c>
      <c r="D21" s="11">
        <f t="shared" ref="D21:N21" si="7">SUM(D19:D20)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>
        <f t="shared" si="7"/>
        <v>0</v>
      </c>
      <c r="O21" s="91"/>
      <c r="P21" s="11">
        <f>SUM(P19:P20)</f>
        <v>691.34088836242302</v>
      </c>
    </row>
    <row r="22" spans="1:16" x14ac:dyDescent="0.25">
      <c r="A22" s="2"/>
      <c r="B22" s="2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P22" s="30"/>
    </row>
    <row r="23" spans="1:16" x14ac:dyDescent="0.25">
      <c r="F23" s="13"/>
      <c r="G23" s="13"/>
      <c r="H23" s="13"/>
      <c r="I23" s="13"/>
      <c r="J23" s="13"/>
    </row>
    <row r="24" spans="1:16" x14ac:dyDescent="0.25">
      <c r="A24" s="12" t="s">
        <v>72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ht="45" x14ac:dyDescent="0.25">
      <c r="A25" s="14"/>
      <c r="B25" s="14"/>
      <c r="C25" s="14" t="s">
        <v>36</v>
      </c>
      <c r="D25" s="14" t="s">
        <v>46</v>
      </c>
      <c r="E25" s="14" t="s">
        <v>49</v>
      </c>
      <c r="F25" s="13"/>
      <c r="G25" s="13"/>
      <c r="H25" s="13"/>
      <c r="I25" s="13"/>
      <c r="J25" s="13"/>
      <c r="K25" s="15"/>
      <c r="L25" s="15"/>
      <c r="M25" s="13"/>
    </row>
    <row r="26" spans="1:16" x14ac:dyDescent="0.25">
      <c r="A26" s="51" t="s">
        <v>34</v>
      </c>
      <c r="B26" s="51"/>
      <c r="C26" s="52">
        <f>N15</f>
        <v>21912.547967113249</v>
      </c>
      <c r="D26" s="52"/>
      <c r="E26" s="52">
        <f>C26+D26</f>
        <v>21912.547967113249</v>
      </c>
      <c r="F26" s="13"/>
      <c r="G26" s="13"/>
      <c r="H26" s="13"/>
      <c r="I26" s="13"/>
      <c r="J26" s="13"/>
      <c r="K26" s="13"/>
      <c r="L26" s="13"/>
      <c r="M26" s="13"/>
    </row>
    <row r="27" spans="1:16" x14ac:dyDescent="0.25">
      <c r="A27" s="16" t="s">
        <v>35</v>
      </c>
      <c r="B27" s="16"/>
      <c r="C27" s="56">
        <f>N21</f>
        <v>0</v>
      </c>
      <c r="D27" s="56">
        <f>P20</f>
        <v>691.34088836242302</v>
      </c>
      <c r="E27" s="56">
        <f t="shared" ref="E27:E28" si="8">C27+D27</f>
        <v>691.34088836242302</v>
      </c>
      <c r="F27" s="13"/>
      <c r="G27" s="13"/>
      <c r="H27" s="13"/>
      <c r="I27" s="13"/>
      <c r="J27" s="13"/>
      <c r="K27" s="21"/>
      <c r="L27" s="21"/>
      <c r="M27" s="13"/>
    </row>
    <row r="28" spans="1:16" x14ac:dyDescent="0.25">
      <c r="A28" s="22" t="s">
        <v>17</v>
      </c>
      <c r="B28" s="22"/>
      <c r="C28" s="53">
        <f>C27+C26</f>
        <v>21912.547967113249</v>
      </c>
      <c r="D28" s="53">
        <f t="shared" ref="D28" si="9">D27+D26</f>
        <v>691.34088836242302</v>
      </c>
      <c r="E28" s="53">
        <f t="shared" si="8"/>
        <v>22603.88885547567</v>
      </c>
      <c r="F28" s="13"/>
      <c r="G28" s="13"/>
      <c r="H28" s="13"/>
      <c r="I28" s="13"/>
      <c r="J28" s="13"/>
      <c r="K28" s="13"/>
      <c r="L28" s="13"/>
      <c r="M28" s="13"/>
    </row>
    <row r="29" spans="1:16" x14ac:dyDescent="0.25">
      <c r="A29" s="8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1" spans="1:16" x14ac:dyDescent="0.25">
      <c r="A31" s="12" t="s">
        <v>141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</row>
    <row r="32" spans="1:16" x14ac:dyDescent="0.25">
      <c r="A32" s="14"/>
      <c r="B32" s="14"/>
      <c r="C32" s="14" t="s">
        <v>18</v>
      </c>
      <c r="D32" s="14" t="s">
        <v>19</v>
      </c>
      <c r="E32" s="14" t="s">
        <v>25</v>
      </c>
      <c r="F32" s="14" t="s">
        <v>126</v>
      </c>
      <c r="G32" s="14" t="s">
        <v>127</v>
      </c>
      <c r="H32" s="15"/>
      <c r="I32" s="15"/>
      <c r="J32" s="15"/>
      <c r="K32" s="13"/>
    </row>
    <row r="33" spans="1:11" ht="16.5" x14ac:dyDescent="0.25">
      <c r="A33" s="16" t="s">
        <v>24</v>
      </c>
      <c r="B33" s="16"/>
      <c r="C33" s="17" t="s">
        <v>27</v>
      </c>
      <c r="D33" s="18">
        <f>SUM(E33:G33)</f>
        <v>16246.731</v>
      </c>
      <c r="E33" s="18">
        <f>11435.563</f>
        <v>11435.563</v>
      </c>
      <c r="F33" s="18">
        <f>3457.842</f>
        <v>3457.8420000000001</v>
      </c>
      <c r="G33" s="18">
        <f>1353.326</f>
        <v>1353.326</v>
      </c>
      <c r="H33" s="13"/>
      <c r="I33" s="13"/>
      <c r="J33" s="13"/>
      <c r="K33" s="13"/>
    </row>
    <row r="34" spans="1:11" x14ac:dyDescent="0.25">
      <c r="A34" s="16" t="s">
        <v>22</v>
      </c>
      <c r="B34" s="16"/>
      <c r="C34" s="19" t="s">
        <v>20</v>
      </c>
      <c r="D34" s="20">
        <f>SUM(E34:G34)</f>
        <v>1</v>
      </c>
      <c r="E34" s="20">
        <f>E33/$D$33</f>
        <v>0.70386855054102881</v>
      </c>
      <c r="F34" s="20">
        <f t="shared" ref="F34:G34" si="10">F33/$D$33</f>
        <v>0.21283309239255577</v>
      </c>
      <c r="G34" s="20">
        <f t="shared" si="10"/>
        <v>8.3298357066415391E-2</v>
      </c>
      <c r="H34" s="21"/>
      <c r="I34" s="21"/>
      <c r="J34" s="21"/>
      <c r="K34" s="13"/>
    </row>
    <row r="35" spans="1:11" x14ac:dyDescent="0.25">
      <c r="A35" s="22" t="s">
        <v>17</v>
      </c>
      <c r="B35" s="22"/>
      <c r="C35" s="23" t="s">
        <v>21</v>
      </c>
      <c r="D35" s="24">
        <f>SUM(E35:G35)</f>
        <v>22603.88885547567</v>
      </c>
      <c r="E35" s="24">
        <f>E34*($P$21+$N$15)</f>
        <v>15910.166485294176</v>
      </c>
      <c r="F35" s="24">
        <f>F34*($P$21+$N$15)</f>
        <v>4810.8555652085151</v>
      </c>
      <c r="G35" s="24">
        <f>G34*($P$21+$N$15)</f>
        <v>1882.8668049729799</v>
      </c>
      <c r="H35" s="13"/>
      <c r="I35" s="13"/>
      <c r="J35" s="13"/>
      <c r="K35" s="13"/>
    </row>
    <row r="36" spans="1:11" x14ac:dyDescent="0.25">
      <c r="A36" s="86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8" spans="1:11" x14ac:dyDescent="0.25">
      <c r="A38" s="12" t="s">
        <v>142</v>
      </c>
      <c r="B38" s="12"/>
      <c r="C38" s="13"/>
      <c r="D38" s="13"/>
      <c r="E38" s="13"/>
      <c r="F38" s="13"/>
      <c r="G38" s="13"/>
    </row>
    <row r="39" spans="1:11" x14ac:dyDescent="0.25">
      <c r="A39" s="14"/>
      <c r="B39" s="14"/>
      <c r="C39" s="14" t="s">
        <v>18</v>
      </c>
      <c r="D39" s="14" t="s">
        <v>19</v>
      </c>
      <c r="E39" s="14" t="str">
        <f>E32</f>
        <v>Rate 1</v>
      </c>
      <c r="F39" s="14" t="str">
        <f t="shared" ref="F39:G39" si="11">F32</f>
        <v>Rate 6</v>
      </c>
      <c r="G39" s="14" t="str">
        <f t="shared" si="11"/>
        <v>Rate 11</v>
      </c>
    </row>
    <row r="40" spans="1:11" ht="16.5" x14ac:dyDescent="0.25">
      <c r="A40" s="16" t="s">
        <v>24</v>
      </c>
      <c r="B40" s="16"/>
      <c r="C40" s="17" t="s">
        <v>27</v>
      </c>
      <c r="D40" s="18">
        <f>SUM(E40:G40)</f>
        <v>13162.189329134679</v>
      </c>
      <c r="E40" s="18">
        <f>'Load Forecast'!A7</f>
        <v>8867.7068751897095</v>
      </c>
      <c r="F40" s="18">
        <f>'Load Forecast'!B7</f>
        <v>2468.20098836847</v>
      </c>
      <c r="G40" s="18">
        <f>'Load Forecast'!C7</f>
        <v>1826.2814655764998</v>
      </c>
    </row>
    <row r="41" spans="1:11" x14ac:dyDescent="0.25">
      <c r="A41" s="16" t="s">
        <v>22</v>
      </c>
      <c r="B41" s="16"/>
      <c r="C41" s="19" t="s">
        <v>20</v>
      </c>
      <c r="D41" s="20">
        <f>SUM(E41:G41)</f>
        <v>1</v>
      </c>
      <c r="E41" s="25">
        <f t="shared" ref="E41:G41" si="12">E34</f>
        <v>0.70386855054102881</v>
      </c>
      <c r="F41" s="25">
        <f t="shared" si="12"/>
        <v>0.21283309239255577</v>
      </c>
      <c r="G41" s="25">
        <f t="shared" si="12"/>
        <v>8.3298357066415391E-2</v>
      </c>
    </row>
    <row r="42" spans="1:11" x14ac:dyDescent="0.25">
      <c r="A42" s="26" t="s">
        <v>17</v>
      </c>
      <c r="B42" s="26"/>
      <c r="C42" s="27" t="s">
        <v>21</v>
      </c>
      <c r="D42" s="57">
        <f>SUM(E42:G42)</f>
        <v>22603.888855475667</v>
      </c>
      <c r="E42" s="28">
        <f>E40*E43*10</f>
        <v>15910.166485294174</v>
      </c>
      <c r="F42" s="28">
        <f t="shared" ref="F42:G42" si="13">F40*F43*10</f>
        <v>4810.8555652085142</v>
      </c>
      <c r="G42" s="28">
        <f t="shared" si="13"/>
        <v>1882.8668049729799</v>
      </c>
    </row>
    <row r="43" spans="1:11" ht="17.25" x14ac:dyDescent="0.25">
      <c r="A43" s="22" t="s">
        <v>23</v>
      </c>
      <c r="B43" s="22"/>
      <c r="C43" s="23" t="s">
        <v>28</v>
      </c>
      <c r="D43" s="29"/>
      <c r="E43" s="29">
        <f>E35/E40/10</f>
        <v>0.1794169192692649</v>
      </c>
      <c r="F43" s="29">
        <f t="shared" ref="F43:G43" si="14">F35/F40/10</f>
        <v>0.19491344456468215</v>
      </c>
      <c r="G43" s="29">
        <f t="shared" si="14"/>
        <v>0.10309839093606625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opLeftCell="A7" zoomScale="80" zoomScaleNormal="80" zoomScaleSheetLayoutView="85" workbookViewId="0">
      <selection activeCell="T44" sqref="T44"/>
    </sheetView>
  </sheetViews>
  <sheetFormatPr defaultColWidth="12.5703125" defaultRowHeight="15" x14ac:dyDescent="0.25"/>
  <cols>
    <col min="1" max="1" width="35.710937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7" width="13.140625" customWidth="1"/>
    <col min="8" max="8" width="12.42578125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">
        <v>40</v>
      </c>
    </row>
    <row r="3" spans="1:15" s="2" customFormat="1" x14ac:dyDescent="0.25">
      <c r="A3" s="2" t="s">
        <v>60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62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679259</v>
      </c>
      <c r="O8" s="8"/>
    </row>
    <row r="9" spans="1:15" x14ac:dyDescent="0.25">
      <c r="A9" s="7" t="s">
        <v>63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379234</v>
      </c>
      <c r="O9" s="8"/>
    </row>
    <row r="10" spans="1:15" s="78" customFormat="1" x14ac:dyDescent="0.25">
      <c r="A10" s="42" t="s">
        <v>61</v>
      </c>
      <c r="B10" s="10">
        <f>B8-B9</f>
        <v>0</v>
      </c>
      <c r="C10" s="10">
        <f t="shared" ref="C10:M10" si="0">C8-C9</f>
        <v>0</v>
      </c>
      <c r="D10" s="10">
        <f t="shared" si="0"/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300025</v>
      </c>
      <c r="O10" s="84"/>
    </row>
    <row r="11" spans="1:15" x14ac:dyDescent="0.25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O11" s="8"/>
    </row>
    <row r="12" spans="1:15" x14ac:dyDescent="0.25">
      <c r="A12" s="7" t="s">
        <v>64</v>
      </c>
      <c r="B12" s="32">
        <v>0</v>
      </c>
      <c r="C12" s="32">
        <f>B14</f>
        <v>0</v>
      </c>
      <c r="D12" s="32">
        <f t="shared" ref="D12:M12" si="1">C14</f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2">
        <f>I14</f>
        <v>0</v>
      </c>
      <c r="K12" s="32">
        <f t="shared" si="1"/>
        <v>0</v>
      </c>
      <c r="L12" s="32">
        <f t="shared" si="1"/>
        <v>0</v>
      </c>
      <c r="M12" s="32">
        <f t="shared" si="1"/>
        <v>0</v>
      </c>
      <c r="N12" s="1"/>
      <c r="O12" s="10"/>
    </row>
    <row r="13" spans="1:15" x14ac:dyDescent="0.25">
      <c r="A13" s="7" t="s">
        <v>65</v>
      </c>
      <c r="B13" s="31">
        <f>B10</f>
        <v>0</v>
      </c>
      <c r="C13" s="31">
        <f t="shared" ref="C13:M13" si="2">C10</f>
        <v>0</v>
      </c>
      <c r="D13" s="31">
        <f t="shared" si="2"/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1">
        <f t="shared" si="2"/>
        <v>300025</v>
      </c>
      <c r="N13" s="1"/>
      <c r="O13" s="10"/>
    </row>
    <row r="14" spans="1:15" s="78" customFormat="1" x14ac:dyDescent="0.25">
      <c r="A14" s="42" t="s">
        <v>66</v>
      </c>
      <c r="B14" s="10">
        <f>SUM(B12:B13)</f>
        <v>0</v>
      </c>
      <c r="C14" s="10">
        <f t="shared" ref="C14:M14" si="3">SUM(C12:C13)</f>
        <v>0</v>
      </c>
      <c r="D14" s="10">
        <f t="shared" si="3"/>
        <v>0</v>
      </c>
      <c r="E14" s="10">
        <f t="shared" si="3"/>
        <v>0</v>
      </c>
      <c r="F14" s="10">
        <f t="shared" si="3"/>
        <v>0</v>
      </c>
      <c r="G14" s="10">
        <f t="shared" si="3"/>
        <v>0</v>
      </c>
      <c r="H14" s="10">
        <f t="shared" si="3"/>
        <v>0</v>
      </c>
      <c r="I14" s="10">
        <f t="shared" si="3"/>
        <v>0</v>
      </c>
      <c r="J14" s="10">
        <f t="shared" si="3"/>
        <v>0</v>
      </c>
      <c r="K14" s="10">
        <f t="shared" si="3"/>
        <v>0</v>
      </c>
      <c r="L14" s="10">
        <f t="shared" si="3"/>
        <v>0</v>
      </c>
      <c r="M14" s="10">
        <f t="shared" si="3"/>
        <v>300025</v>
      </c>
      <c r="N14" s="85"/>
      <c r="O14" s="10"/>
    </row>
    <row r="15" spans="1:15" x14ac:dyDescent="0.25">
      <c r="A15" s="7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"/>
      <c r="O15" s="10"/>
    </row>
    <row r="16" spans="1:15" x14ac:dyDescent="0.25">
      <c r="A16" s="7" t="s">
        <v>13</v>
      </c>
      <c r="B16" s="73">
        <v>5.4899999999999997E-2</v>
      </c>
      <c r="C16" s="73">
        <v>5.4899999999999997E-2</v>
      </c>
      <c r="D16" s="73">
        <v>5.4899999999999997E-2</v>
      </c>
      <c r="E16" s="73">
        <v>5.4899999999999997E-2</v>
      </c>
      <c r="F16" s="73">
        <v>5.4899999999999997E-2</v>
      </c>
      <c r="G16" s="73">
        <v>5.4899999999999997E-2</v>
      </c>
      <c r="H16" s="73">
        <v>5.1999999999999998E-2</v>
      </c>
      <c r="I16" s="73">
        <v>5.1999999999999998E-2</v>
      </c>
      <c r="J16" s="73">
        <v>5.1999999999999998E-2</v>
      </c>
      <c r="K16" s="73">
        <v>4.3999999999999997E-2</v>
      </c>
      <c r="L16" s="73">
        <v>4.3999999999999997E-2</v>
      </c>
      <c r="M16" s="73">
        <v>4.3999999999999997E-2</v>
      </c>
      <c r="N16" s="1"/>
      <c r="O16" s="34">
        <f>(Summary!D7+Summary!E7+Summary!F7+Summary!G7)/4</f>
        <v>3.1550000000000002E-2</v>
      </c>
    </row>
    <row r="17" spans="1:15" x14ac:dyDescent="0.25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0"/>
    </row>
    <row r="18" spans="1:15" x14ac:dyDescent="0.25">
      <c r="A18" s="7" t="s">
        <v>14</v>
      </c>
      <c r="B18" s="32">
        <v>0</v>
      </c>
      <c r="C18" s="32">
        <f>B20</f>
        <v>0</v>
      </c>
      <c r="D18" s="32">
        <f t="shared" ref="D18:M18" si="4">C20</f>
        <v>0</v>
      </c>
      <c r="E18" s="32">
        <f t="shared" si="4"/>
        <v>0</v>
      </c>
      <c r="F18" s="32">
        <f t="shared" si="4"/>
        <v>0</v>
      </c>
      <c r="G18" s="32">
        <f t="shared" si="4"/>
        <v>0</v>
      </c>
      <c r="H18" s="32">
        <f t="shared" si="4"/>
        <v>0</v>
      </c>
      <c r="I18" s="32">
        <f t="shared" si="4"/>
        <v>0</v>
      </c>
      <c r="J18" s="32">
        <f t="shared" si="4"/>
        <v>0</v>
      </c>
      <c r="K18" s="32">
        <f t="shared" si="4"/>
        <v>0</v>
      </c>
      <c r="L18" s="32">
        <f t="shared" si="4"/>
        <v>0</v>
      </c>
      <c r="M18" s="32">
        <f t="shared" si="4"/>
        <v>0</v>
      </c>
      <c r="N18" s="1"/>
      <c r="O18" s="32">
        <f t="shared" ref="O18" si="5">M20</f>
        <v>0</v>
      </c>
    </row>
    <row r="19" spans="1:15" x14ac:dyDescent="0.25">
      <c r="A19" s="7" t="s">
        <v>15</v>
      </c>
      <c r="B19" s="31">
        <f t="shared" ref="B19:M19" si="6">B12*B16/12</f>
        <v>0</v>
      </c>
      <c r="C19" s="31">
        <f t="shared" si="6"/>
        <v>0</v>
      </c>
      <c r="D19" s="31">
        <f t="shared" si="6"/>
        <v>0</v>
      </c>
      <c r="E19" s="31">
        <f t="shared" si="6"/>
        <v>0</v>
      </c>
      <c r="F19" s="31">
        <f t="shared" si="6"/>
        <v>0</v>
      </c>
      <c r="G19" s="31">
        <f t="shared" si="6"/>
        <v>0</v>
      </c>
      <c r="H19" s="31">
        <f t="shared" si="6"/>
        <v>0</v>
      </c>
      <c r="I19" s="31">
        <f t="shared" si="6"/>
        <v>0</v>
      </c>
      <c r="J19" s="31">
        <f t="shared" si="6"/>
        <v>0</v>
      </c>
      <c r="K19" s="31">
        <f t="shared" si="6"/>
        <v>0</v>
      </c>
      <c r="L19" s="31">
        <f t="shared" si="6"/>
        <v>0</v>
      </c>
      <c r="M19" s="31">
        <f t="shared" si="6"/>
        <v>0</v>
      </c>
      <c r="N19" s="1"/>
      <c r="O19" s="31">
        <f>M14*O16</f>
        <v>9465.7887499999997</v>
      </c>
    </row>
    <row r="20" spans="1:15" x14ac:dyDescent="0.25">
      <c r="A20" s="33" t="s">
        <v>16</v>
      </c>
      <c r="B20" s="11">
        <f>SUM(B18:B19)</f>
        <v>0</v>
      </c>
      <c r="C20" s="11">
        <f t="shared" ref="C20:M20" si="7">SUM(C18:C19)</f>
        <v>0</v>
      </c>
      <c r="D20" s="11">
        <f t="shared" si="7"/>
        <v>0</v>
      </c>
      <c r="E20" s="11">
        <f t="shared" si="7"/>
        <v>0</v>
      </c>
      <c r="F20" s="11">
        <f t="shared" si="7"/>
        <v>0</v>
      </c>
      <c r="G20" s="11">
        <f t="shared" si="7"/>
        <v>0</v>
      </c>
      <c r="H20" s="11">
        <f t="shared" si="7"/>
        <v>0</v>
      </c>
      <c r="I20" s="11">
        <f t="shared" si="7"/>
        <v>0</v>
      </c>
      <c r="J20" s="11">
        <f t="shared" si="7"/>
        <v>0</v>
      </c>
      <c r="K20" s="11">
        <f t="shared" si="7"/>
        <v>0</v>
      </c>
      <c r="L20" s="11">
        <f t="shared" si="7"/>
        <v>0</v>
      </c>
      <c r="M20" s="11">
        <f t="shared" si="7"/>
        <v>0</v>
      </c>
      <c r="N20" s="1"/>
      <c r="O20" s="11">
        <f>SUM(O18:O19)</f>
        <v>9465.7887499999997</v>
      </c>
    </row>
    <row r="21" spans="1:15" x14ac:dyDescent="0.25">
      <c r="A21" s="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O21" s="30"/>
    </row>
    <row r="22" spans="1:15" x14ac:dyDescent="0.25">
      <c r="E22" s="13"/>
      <c r="F22" s="13"/>
      <c r="G22" s="13"/>
      <c r="H22" s="13"/>
      <c r="I22" s="13"/>
    </row>
    <row r="23" spans="1:15" x14ac:dyDescent="0.25">
      <c r="A23" s="12" t="s">
        <v>67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5" ht="45" x14ac:dyDescent="0.25">
      <c r="A24" s="14"/>
      <c r="B24" s="14" t="s">
        <v>36</v>
      </c>
      <c r="C24" s="14" t="s">
        <v>46</v>
      </c>
      <c r="D24" s="14" t="s">
        <v>49</v>
      </c>
      <c r="E24" s="13"/>
      <c r="F24" s="13"/>
      <c r="G24" s="13"/>
      <c r="H24" s="13"/>
      <c r="I24" s="13"/>
      <c r="J24" s="15"/>
      <c r="K24" s="15"/>
      <c r="L24" s="13"/>
    </row>
    <row r="25" spans="1:15" x14ac:dyDescent="0.25">
      <c r="A25" s="51" t="s">
        <v>34</v>
      </c>
      <c r="B25" s="52">
        <f>M14</f>
        <v>300025</v>
      </c>
      <c r="C25" s="52"/>
      <c r="D25" s="52">
        <f>B25+C25</f>
        <v>300025</v>
      </c>
      <c r="E25" s="13"/>
      <c r="F25" s="13"/>
      <c r="G25" s="13"/>
      <c r="H25" s="13"/>
      <c r="I25" s="13"/>
      <c r="J25" s="13"/>
      <c r="K25" s="13"/>
      <c r="L25" s="13"/>
    </row>
    <row r="26" spans="1:15" x14ac:dyDescent="0.25">
      <c r="A26" s="16" t="s">
        <v>35</v>
      </c>
      <c r="B26" s="56">
        <f>M20</f>
        <v>0</v>
      </c>
      <c r="C26" s="56">
        <f>O19</f>
        <v>9465.7887499999997</v>
      </c>
      <c r="D26" s="56">
        <f t="shared" ref="D26:D27" si="8">B26+C26</f>
        <v>9465.7887499999997</v>
      </c>
      <c r="E26" s="13"/>
      <c r="F26" s="13"/>
      <c r="G26" s="13"/>
      <c r="H26" s="13"/>
      <c r="I26" s="13"/>
      <c r="J26" s="21"/>
      <c r="K26" s="21"/>
      <c r="L26" s="13"/>
    </row>
    <row r="27" spans="1:15" x14ac:dyDescent="0.25">
      <c r="A27" s="22" t="s">
        <v>17</v>
      </c>
      <c r="B27" s="53">
        <f>B26+B25</f>
        <v>300025</v>
      </c>
      <c r="C27" s="53">
        <f t="shared" ref="C27" si="9">C26+C25</f>
        <v>9465.7887499999997</v>
      </c>
      <c r="D27" s="53">
        <f t="shared" si="8"/>
        <v>309490.78875000001</v>
      </c>
      <c r="E27" s="13"/>
      <c r="F27" s="13"/>
      <c r="G27" s="13"/>
      <c r="H27" s="13"/>
      <c r="I27" s="13"/>
      <c r="J27" s="13"/>
      <c r="K27" s="13"/>
    </row>
    <row r="28" spans="1:1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30" spans="1:15" x14ac:dyDescent="0.25">
      <c r="A30" s="12" t="s">
        <v>129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 x14ac:dyDescent="0.25">
      <c r="A31" s="14"/>
      <c r="B31" s="14" t="s">
        <v>18</v>
      </c>
      <c r="C31" s="14" t="s">
        <v>19</v>
      </c>
      <c r="D31" s="14" t="s">
        <v>25</v>
      </c>
      <c r="E31" s="14" t="s">
        <v>126</v>
      </c>
      <c r="F31" s="14" t="s">
        <v>127</v>
      </c>
      <c r="G31" s="14" t="s">
        <v>128</v>
      </c>
      <c r="H31" s="15"/>
      <c r="I31" s="15"/>
      <c r="J31" s="15"/>
      <c r="K31" s="13"/>
    </row>
    <row r="32" spans="1:15" x14ac:dyDescent="0.25">
      <c r="A32" s="16" t="s">
        <v>144</v>
      </c>
      <c r="B32" s="17" t="s">
        <v>130</v>
      </c>
      <c r="C32" s="119">
        <f>SUM(D32:G32)</f>
        <v>54946.04</v>
      </c>
      <c r="D32" s="119">
        <v>32656.93</v>
      </c>
      <c r="E32" s="119">
        <v>11610.57</v>
      </c>
      <c r="F32" s="119">
        <v>1417.66</v>
      </c>
      <c r="G32" s="119">
        <v>9260.8799999999992</v>
      </c>
      <c r="H32" s="13"/>
      <c r="I32" s="13"/>
      <c r="J32" s="13"/>
      <c r="K32" s="13"/>
    </row>
    <row r="33" spans="1:11" x14ac:dyDescent="0.25">
      <c r="A33" s="16" t="s">
        <v>22</v>
      </c>
      <c r="B33" s="19" t="s">
        <v>20</v>
      </c>
      <c r="C33" s="20">
        <f>SUM(D33:G33)</f>
        <v>1</v>
      </c>
      <c r="D33" s="20">
        <f>D32/$C$32</f>
        <v>0.59434547057440357</v>
      </c>
      <c r="E33" s="20">
        <f t="shared" ref="E33:G33" si="10">E32/$C$32</f>
        <v>0.21130858565967628</v>
      </c>
      <c r="F33" s="20">
        <f t="shared" si="10"/>
        <v>2.5800949440578431E-2</v>
      </c>
      <c r="G33" s="20">
        <f t="shared" si="10"/>
        <v>0.16854499432534173</v>
      </c>
      <c r="H33" s="21"/>
      <c r="I33" s="21"/>
      <c r="J33" s="21"/>
      <c r="K33" s="13"/>
    </row>
    <row r="34" spans="1:11" x14ac:dyDescent="0.25">
      <c r="A34" s="22" t="s">
        <v>17</v>
      </c>
      <c r="B34" s="23" t="s">
        <v>21</v>
      </c>
      <c r="C34" s="24">
        <f>SUM(D34:G34)</f>
        <v>309490.78875000001</v>
      </c>
      <c r="D34" s="24">
        <f>D33*($O$20+$M$14)</f>
        <v>183944.44847806208</v>
      </c>
      <c r="E34" s="24">
        <f>E33*($O$20+$M$14)</f>
        <v>65398.060845460153</v>
      </c>
      <c r="F34" s="24">
        <f>F33*($O$20+$M$14)</f>
        <v>7985.1561928634901</v>
      </c>
      <c r="G34" s="24">
        <f>G33*($O$20+$M$14)</f>
        <v>52163.123233614286</v>
      </c>
      <c r="H34" s="13"/>
      <c r="I34" s="13"/>
      <c r="J34" s="13"/>
      <c r="K34" s="13"/>
    </row>
    <row r="35" spans="1:1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7" spans="1:11" x14ac:dyDescent="0.25">
      <c r="A37" s="12" t="s">
        <v>140</v>
      </c>
      <c r="B37" s="13"/>
      <c r="C37" s="13"/>
      <c r="D37" s="13"/>
      <c r="E37" s="13"/>
      <c r="F37" s="13"/>
      <c r="G37" s="13"/>
    </row>
    <row r="38" spans="1:11" x14ac:dyDescent="0.25">
      <c r="A38" s="14"/>
      <c r="B38" s="14" t="s">
        <v>18</v>
      </c>
      <c r="C38" s="14" t="s">
        <v>19</v>
      </c>
      <c r="D38" s="14" t="str">
        <f>D31</f>
        <v>Rate 1</v>
      </c>
      <c r="E38" s="14" t="str">
        <f t="shared" ref="E38:F38" si="11">E31</f>
        <v>Rate 6</v>
      </c>
      <c r="F38" s="14" t="str">
        <f t="shared" si="11"/>
        <v>Rate 11</v>
      </c>
      <c r="G38" s="14" t="s">
        <v>18</v>
      </c>
      <c r="H38" s="14" t="str">
        <f>G31</f>
        <v>Rate 16</v>
      </c>
    </row>
    <row r="39" spans="1:11" ht="16.5" x14ac:dyDescent="0.25">
      <c r="A39" s="16" t="s">
        <v>24</v>
      </c>
      <c r="B39" s="17" t="s">
        <v>27</v>
      </c>
      <c r="C39" s="113">
        <f>SUM(D39:F39)</f>
        <v>13162.189329134679</v>
      </c>
      <c r="D39" s="113">
        <f>'Load Forecast'!A7</f>
        <v>8867.7068751897095</v>
      </c>
      <c r="E39" s="113">
        <f>'Load Forecast'!B7</f>
        <v>2468.20098836847</v>
      </c>
      <c r="F39" s="113">
        <f>'Load Forecast'!C7</f>
        <v>1826.2814655764998</v>
      </c>
      <c r="G39" s="17" t="s">
        <v>131</v>
      </c>
      <c r="H39" s="113">
        <f>'Load Forecast'!D7</f>
        <v>95824</v>
      </c>
    </row>
    <row r="40" spans="1:11" x14ac:dyDescent="0.25">
      <c r="A40" s="16" t="s">
        <v>22</v>
      </c>
      <c r="B40" s="114" t="s">
        <v>20</v>
      </c>
      <c r="C40" s="115">
        <f>SUM(D40:H40)</f>
        <v>1</v>
      </c>
      <c r="D40" s="116">
        <f t="shared" ref="D40:F40" si="12">D33</f>
        <v>0.59434547057440357</v>
      </c>
      <c r="E40" s="116">
        <f t="shared" si="12"/>
        <v>0.21130858565967628</v>
      </c>
      <c r="F40" s="116">
        <f t="shared" si="12"/>
        <v>2.5800949440578431E-2</v>
      </c>
      <c r="G40" s="114" t="s">
        <v>20</v>
      </c>
      <c r="H40" s="116">
        <f>G33</f>
        <v>0.16854499432534173</v>
      </c>
    </row>
    <row r="41" spans="1:11" x14ac:dyDescent="0.25">
      <c r="A41" s="26" t="s">
        <v>17</v>
      </c>
      <c r="B41" s="27" t="s">
        <v>21</v>
      </c>
      <c r="C41" s="117">
        <f>SUM(D41:H41)</f>
        <v>309491.18474838568</v>
      </c>
      <c r="D41" s="118">
        <f>D39*D42*10</f>
        <v>183944.44847806208</v>
      </c>
      <c r="E41" s="118">
        <f t="shared" ref="E41:F41" si="13">E39*E42*10</f>
        <v>65398.060845460146</v>
      </c>
      <c r="F41" s="118">
        <f t="shared" si="13"/>
        <v>7985.1561928634892</v>
      </c>
      <c r="G41" s="27" t="s">
        <v>21</v>
      </c>
      <c r="H41" s="118">
        <f>H39*H42/100*12</f>
        <v>52163.519232000006</v>
      </c>
    </row>
    <row r="42" spans="1:11" ht="17.25" x14ac:dyDescent="0.25">
      <c r="A42" s="22" t="s">
        <v>23</v>
      </c>
      <c r="B42" s="23" t="s">
        <v>28</v>
      </c>
      <c r="C42" s="29"/>
      <c r="D42" s="29">
        <f>D34/D39/10</f>
        <v>2.0743180967416324</v>
      </c>
      <c r="E42" s="29">
        <f t="shared" ref="E42:F42" si="14">E34/E39/10</f>
        <v>2.6496246113526425</v>
      </c>
      <c r="F42" s="29">
        <f t="shared" si="14"/>
        <v>0.43723578995764634</v>
      </c>
      <c r="G42" s="23" t="s">
        <v>132</v>
      </c>
      <c r="H42" s="29">
        <f>ROUND(G34/H39*100/12,4)</f>
        <v>4.5364000000000004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C4E3-6501-4EE2-9824-C44E2A9E2B81}">
  <sheetPr>
    <pageSetUpPr fitToPage="1"/>
  </sheetPr>
  <dimension ref="A1:O46"/>
  <sheetViews>
    <sheetView showGridLines="0" topLeftCell="A19" zoomScale="80" zoomScaleNormal="80" zoomScaleSheetLayoutView="85" workbookViewId="0">
      <selection activeCell="A42" sqref="A42:H46"/>
    </sheetView>
  </sheetViews>
  <sheetFormatPr defaultColWidth="12.5703125" defaultRowHeight="15" x14ac:dyDescent="0.25"/>
  <cols>
    <col min="1" max="1" width="41.28515625" customWidth="1"/>
    <col min="2" max="2" width="11.7109375" bestFit="1" customWidth="1"/>
    <col min="3" max="3" width="13.5703125" customWidth="1"/>
    <col min="4" max="4" width="12.42578125" customWidth="1"/>
    <col min="5" max="6" width="11.7109375" bestFit="1" customWidth="1"/>
    <col min="7" max="7" width="13.5703125" customWidth="1"/>
    <col min="8" max="8" width="11.28515625" bestFit="1" customWidth="1"/>
    <col min="9" max="12" width="11.7109375" bestFit="1" customWidth="1"/>
    <col min="13" max="13" width="13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">
        <v>40</v>
      </c>
    </row>
    <row r="3" spans="1:15" s="2" customFormat="1" x14ac:dyDescent="0.25">
      <c r="A3" s="2" t="s">
        <v>76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81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>
        <v>6315610.0600000005</v>
      </c>
      <c r="O8" s="8"/>
    </row>
    <row r="9" spans="1:15" x14ac:dyDescent="0.25">
      <c r="A9" s="7" t="s">
        <v>82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>
        <v>7189662.1551904762</v>
      </c>
      <c r="O9" s="8"/>
    </row>
    <row r="10" spans="1:15" x14ac:dyDescent="0.25">
      <c r="A10" s="7" t="s">
        <v>83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>
        <v>590055.43848634511</v>
      </c>
      <c r="O10" s="8"/>
    </row>
    <row r="11" spans="1:15" x14ac:dyDescent="0.25">
      <c r="A11" s="7" t="s">
        <v>84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>
        <f>M10/M9</f>
        <v>8.2069981280047055E-2</v>
      </c>
      <c r="O11" s="8"/>
    </row>
    <row r="12" spans="1:15" x14ac:dyDescent="0.25">
      <c r="A12" s="7" t="s">
        <v>85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>
        <f>M8*M11</f>
        <v>518321.99939627689</v>
      </c>
      <c r="O12" s="8"/>
    </row>
    <row r="13" spans="1:15" x14ac:dyDescent="0.25">
      <c r="A13" s="7" t="s">
        <v>86</v>
      </c>
      <c r="B13" s="31">
        <v>0</v>
      </c>
      <c r="C13" s="31">
        <v>128635</v>
      </c>
      <c r="D13" s="31">
        <v>0</v>
      </c>
      <c r="E13" s="31">
        <v>0</v>
      </c>
      <c r="F13" s="31">
        <v>7851.91</v>
      </c>
      <c r="G13" s="31">
        <v>3131.53</v>
      </c>
      <c r="H13" s="31">
        <v>163061.47999999998</v>
      </c>
      <c r="I13" s="31">
        <v>324899.14</v>
      </c>
      <c r="J13" s="31">
        <v>0</v>
      </c>
      <c r="K13" s="31">
        <v>0</v>
      </c>
      <c r="L13" s="31">
        <v>-188241.27</v>
      </c>
      <c r="M13" s="31">
        <v>0</v>
      </c>
      <c r="O13" s="8"/>
    </row>
    <row r="14" spans="1:15" s="78" customFormat="1" x14ac:dyDescent="0.25">
      <c r="A14" s="42" t="s">
        <v>61</v>
      </c>
      <c r="B14" s="10">
        <f>B13-B12</f>
        <v>0</v>
      </c>
      <c r="C14" s="10">
        <f t="shared" ref="C14:M14" si="0">C13-C12</f>
        <v>128635</v>
      </c>
      <c r="D14" s="10">
        <f t="shared" si="0"/>
        <v>0</v>
      </c>
      <c r="E14" s="10">
        <f t="shared" si="0"/>
        <v>0</v>
      </c>
      <c r="F14" s="10">
        <f t="shared" si="0"/>
        <v>7851.91</v>
      </c>
      <c r="G14" s="10">
        <f t="shared" si="0"/>
        <v>3131.53</v>
      </c>
      <c r="H14" s="10">
        <f t="shared" si="0"/>
        <v>163061.47999999998</v>
      </c>
      <c r="I14" s="10">
        <f t="shared" si="0"/>
        <v>324899.14</v>
      </c>
      <c r="J14" s="10">
        <f t="shared" si="0"/>
        <v>0</v>
      </c>
      <c r="K14" s="10">
        <f t="shared" si="0"/>
        <v>0</v>
      </c>
      <c r="L14" s="10">
        <f t="shared" si="0"/>
        <v>-188241.27</v>
      </c>
      <c r="M14" s="10">
        <f t="shared" si="0"/>
        <v>-518321.99939627689</v>
      </c>
      <c r="O14" s="84"/>
    </row>
    <row r="15" spans="1:15" x14ac:dyDescent="0.25">
      <c r="A15" s="7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O15" s="8"/>
    </row>
    <row r="16" spans="1:15" x14ac:dyDescent="0.25">
      <c r="A16" s="7" t="s">
        <v>77</v>
      </c>
      <c r="B16" s="32">
        <v>0</v>
      </c>
      <c r="C16" s="32">
        <f>B18</f>
        <v>0</v>
      </c>
      <c r="D16" s="32">
        <f t="shared" ref="D16:M16" si="1">C18</f>
        <v>128635</v>
      </c>
      <c r="E16" s="32">
        <f t="shared" si="1"/>
        <v>128635</v>
      </c>
      <c r="F16" s="32">
        <f t="shared" si="1"/>
        <v>128635</v>
      </c>
      <c r="G16" s="32">
        <f t="shared" si="1"/>
        <v>136486.91</v>
      </c>
      <c r="H16" s="32">
        <f t="shared" si="1"/>
        <v>139618.44</v>
      </c>
      <c r="I16" s="32">
        <f t="shared" si="1"/>
        <v>302679.92</v>
      </c>
      <c r="J16" s="32">
        <f>I18</f>
        <v>627579.06000000006</v>
      </c>
      <c r="K16" s="32">
        <f t="shared" si="1"/>
        <v>627579.06000000006</v>
      </c>
      <c r="L16" s="32">
        <f t="shared" si="1"/>
        <v>627579.06000000006</v>
      </c>
      <c r="M16" s="32">
        <f t="shared" si="1"/>
        <v>439337.79000000004</v>
      </c>
      <c r="N16" s="1"/>
      <c r="O16" s="10"/>
    </row>
    <row r="17" spans="1:15" x14ac:dyDescent="0.25">
      <c r="A17" s="7" t="s">
        <v>78</v>
      </c>
      <c r="B17" s="96">
        <f>B14</f>
        <v>0</v>
      </c>
      <c r="C17" s="96">
        <f t="shared" ref="C17:M17" si="2">C14</f>
        <v>128635</v>
      </c>
      <c r="D17" s="96">
        <f t="shared" si="2"/>
        <v>0</v>
      </c>
      <c r="E17" s="96">
        <f t="shared" si="2"/>
        <v>0</v>
      </c>
      <c r="F17" s="96">
        <f t="shared" si="2"/>
        <v>7851.91</v>
      </c>
      <c r="G17" s="96">
        <f t="shared" si="2"/>
        <v>3131.53</v>
      </c>
      <c r="H17" s="96">
        <f t="shared" si="2"/>
        <v>163061.47999999998</v>
      </c>
      <c r="I17" s="96">
        <f t="shared" si="2"/>
        <v>324899.14</v>
      </c>
      <c r="J17" s="96">
        <f t="shared" si="2"/>
        <v>0</v>
      </c>
      <c r="K17" s="96">
        <f t="shared" si="2"/>
        <v>0</v>
      </c>
      <c r="L17" s="96">
        <f t="shared" si="2"/>
        <v>-188241.27</v>
      </c>
      <c r="M17" s="96">
        <f t="shared" si="2"/>
        <v>-518321.99939627689</v>
      </c>
      <c r="N17" s="1"/>
      <c r="O17" s="10"/>
    </row>
    <row r="18" spans="1:15" s="78" customFormat="1" x14ac:dyDescent="0.25">
      <c r="A18" s="42" t="s">
        <v>79</v>
      </c>
      <c r="B18" s="10">
        <f>SUM(B16:B17)</f>
        <v>0</v>
      </c>
      <c r="C18" s="10">
        <f t="shared" ref="C18:M18" si="3">SUM(C16:C17)</f>
        <v>128635</v>
      </c>
      <c r="D18" s="10">
        <f t="shared" si="3"/>
        <v>128635</v>
      </c>
      <c r="E18" s="10">
        <f t="shared" si="3"/>
        <v>128635</v>
      </c>
      <c r="F18" s="10">
        <f t="shared" si="3"/>
        <v>136486.91</v>
      </c>
      <c r="G18" s="10">
        <f t="shared" si="3"/>
        <v>139618.44</v>
      </c>
      <c r="H18" s="10">
        <f t="shared" si="3"/>
        <v>302679.92</v>
      </c>
      <c r="I18" s="10">
        <f t="shared" si="3"/>
        <v>627579.06000000006</v>
      </c>
      <c r="J18" s="10">
        <f t="shared" si="3"/>
        <v>627579.06000000006</v>
      </c>
      <c r="K18" s="10">
        <f t="shared" si="3"/>
        <v>627579.06000000006</v>
      </c>
      <c r="L18" s="10">
        <f t="shared" si="3"/>
        <v>439337.79000000004</v>
      </c>
      <c r="M18" s="10">
        <f t="shared" si="3"/>
        <v>-78984.209396276856</v>
      </c>
      <c r="N18" s="85"/>
      <c r="O18" s="10"/>
    </row>
    <row r="19" spans="1:15" x14ac:dyDescent="0.2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0"/>
    </row>
    <row r="20" spans="1:15" x14ac:dyDescent="0.25">
      <c r="A20" s="7" t="s">
        <v>13</v>
      </c>
      <c r="B20" s="73">
        <v>5.4899999999999997E-2</v>
      </c>
      <c r="C20" s="73">
        <v>5.4899999999999997E-2</v>
      </c>
      <c r="D20" s="73">
        <v>5.4899999999999997E-2</v>
      </c>
      <c r="E20" s="73">
        <v>5.4899999999999997E-2</v>
      </c>
      <c r="F20" s="73">
        <v>5.4899999999999997E-2</v>
      </c>
      <c r="G20" s="73">
        <v>5.4899999999999997E-2</v>
      </c>
      <c r="H20" s="73">
        <v>5.1999999999999998E-2</v>
      </c>
      <c r="I20" s="73">
        <v>5.1999999999999998E-2</v>
      </c>
      <c r="J20" s="73">
        <v>5.1999999999999998E-2</v>
      </c>
      <c r="K20" s="73">
        <v>4.3999999999999997E-2</v>
      </c>
      <c r="L20" s="73">
        <v>4.3999999999999997E-2</v>
      </c>
      <c r="M20" s="73">
        <v>4.3999999999999997E-2</v>
      </c>
      <c r="N20" s="1"/>
      <c r="O20" s="34">
        <f>(Summary!D7+Summary!E7+Summary!F7+Summary!G7)/4</f>
        <v>3.1550000000000002E-2</v>
      </c>
    </row>
    <row r="21" spans="1:15" x14ac:dyDescent="0.25">
      <c r="A21" s="7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0"/>
    </row>
    <row r="22" spans="1:15" x14ac:dyDescent="0.25">
      <c r="A22" s="7" t="s">
        <v>14</v>
      </c>
      <c r="B22" s="32">
        <v>0</v>
      </c>
      <c r="C22" s="32">
        <f>B24</f>
        <v>0</v>
      </c>
      <c r="D22" s="32">
        <f t="shared" ref="D22:M22" si="4">C24</f>
        <v>0</v>
      </c>
      <c r="E22" s="32">
        <f t="shared" si="4"/>
        <v>588.50512500000002</v>
      </c>
      <c r="F22" s="32">
        <f t="shared" si="4"/>
        <v>1177.01025</v>
      </c>
      <c r="G22" s="32">
        <f t="shared" si="4"/>
        <v>1765.5153749999999</v>
      </c>
      <c r="H22" s="32">
        <f t="shared" si="4"/>
        <v>2389.9429882499999</v>
      </c>
      <c r="I22" s="32">
        <f t="shared" si="4"/>
        <v>2994.9562282500001</v>
      </c>
      <c r="J22" s="32">
        <f t="shared" si="4"/>
        <v>4306.5692149166662</v>
      </c>
      <c r="K22" s="32">
        <f t="shared" si="4"/>
        <v>7026.0784749166669</v>
      </c>
      <c r="L22" s="32">
        <f t="shared" si="4"/>
        <v>9327.2016949166664</v>
      </c>
      <c r="M22" s="32">
        <f t="shared" si="4"/>
        <v>11628.324914916666</v>
      </c>
      <c r="N22" s="1"/>
      <c r="O22" s="32">
        <f t="shared" ref="O22" si="5">M24</f>
        <v>13239.230144916666</v>
      </c>
    </row>
    <row r="23" spans="1:15" x14ac:dyDescent="0.25">
      <c r="A23" s="7" t="s">
        <v>15</v>
      </c>
      <c r="B23" s="31">
        <f t="shared" ref="B23:M23" si="6">B16*B20/12</f>
        <v>0</v>
      </c>
      <c r="C23" s="31">
        <f t="shared" si="6"/>
        <v>0</v>
      </c>
      <c r="D23" s="31">
        <f t="shared" si="6"/>
        <v>588.50512500000002</v>
      </c>
      <c r="E23" s="31">
        <f t="shared" si="6"/>
        <v>588.50512500000002</v>
      </c>
      <c r="F23" s="31">
        <f t="shared" si="6"/>
        <v>588.50512500000002</v>
      </c>
      <c r="G23" s="31">
        <f t="shared" si="6"/>
        <v>624.42761325000004</v>
      </c>
      <c r="H23" s="31">
        <f t="shared" si="6"/>
        <v>605.01324</v>
      </c>
      <c r="I23" s="31">
        <f t="shared" si="6"/>
        <v>1311.6129866666665</v>
      </c>
      <c r="J23" s="31">
        <f t="shared" si="6"/>
        <v>2719.5092600000003</v>
      </c>
      <c r="K23" s="31">
        <f t="shared" si="6"/>
        <v>2301.1232199999999</v>
      </c>
      <c r="L23" s="31">
        <f t="shared" si="6"/>
        <v>2301.1232199999999</v>
      </c>
      <c r="M23" s="31">
        <f t="shared" si="6"/>
        <v>1610.9052300000001</v>
      </c>
      <c r="N23" s="1"/>
      <c r="O23" s="31">
        <f>M18*O20</f>
        <v>-2491.951806452535</v>
      </c>
    </row>
    <row r="24" spans="1:15" x14ac:dyDescent="0.25">
      <c r="A24" s="33" t="s">
        <v>16</v>
      </c>
      <c r="B24" s="11">
        <f>SUM(B22:B23)</f>
        <v>0</v>
      </c>
      <c r="C24" s="11">
        <f t="shared" ref="C24:M24" si="7">SUM(C22:C23)</f>
        <v>0</v>
      </c>
      <c r="D24" s="11">
        <f t="shared" si="7"/>
        <v>588.50512500000002</v>
      </c>
      <c r="E24" s="11">
        <f t="shared" si="7"/>
        <v>1177.01025</v>
      </c>
      <c r="F24" s="11">
        <f t="shared" si="7"/>
        <v>1765.5153749999999</v>
      </c>
      <c r="G24" s="11">
        <f t="shared" si="7"/>
        <v>2389.9429882499999</v>
      </c>
      <c r="H24" s="11">
        <f t="shared" si="7"/>
        <v>2994.9562282500001</v>
      </c>
      <c r="I24" s="11">
        <f t="shared" si="7"/>
        <v>4306.5692149166662</v>
      </c>
      <c r="J24" s="11">
        <f t="shared" si="7"/>
        <v>7026.0784749166669</v>
      </c>
      <c r="K24" s="11">
        <f t="shared" si="7"/>
        <v>9327.2016949166664</v>
      </c>
      <c r="L24" s="11">
        <f t="shared" si="7"/>
        <v>11628.324914916666</v>
      </c>
      <c r="M24" s="11">
        <f t="shared" si="7"/>
        <v>13239.230144916666</v>
      </c>
      <c r="N24" s="1"/>
      <c r="O24" s="11">
        <f>SUM(O22:O23)</f>
        <v>10747.278338464132</v>
      </c>
    </row>
    <row r="25" spans="1:15" x14ac:dyDescent="0.25">
      <c r="A25" s="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O25" s="30"/>
    </row>
    <row r="26" spans="1:15" x14ac:dyDescent="0.25">
      <c r="E26" s="13"/>
      <c r="F26" s="13"/>
      <c r="G26" s="13"/>
      <c r="H26" s="13"/>
      <c r="I26" s="13"/>
    </row>
    <row r="27" spans="1:15" x14ac:dyDescent="0.25">
      <c r="A27" s="12" t="s">
        <v>80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5" ht="45" x14ac:dyDescent="0.25">
      <c r="A28" s="14"/>
      <c r="B28" s="14" t="s">
        <v>36</v>
      </c>
      <c r="C28" s="14" t="s">
        <v>46</v>
      </c>
      <c r="D28" s="14" t="s">
        <v>49</v>
      </c>
      <c r="E28" s="13"/>
      <c r="F28" s="13"/>
      <c r="G28" s="13"/>
      <c r="H28" s="13"/>
      <c r="I28" s="13"/>
      <c r="J28" s="15"/>
      <c r="K28" s="15"/>
      <c r="L28" s="13"/>
    </row>
    <row r="29" spans="1:15" x14ac:dyDescent="0.25">
      <c r="A29" s="51" t="s">
        <v>34</v>
      </c>
      <c r="B29" s="52">
        <f>M18</f>
        <v>-78984.209396276856</v>
      </c>
      <c r="C29" s="52"/>
      <c r="D29" s="52">
        <f>B29+C29</f>
        <v>-78984.209396276856</v>
      </c>
      <c r="E29" s="13"/>
      <c r="F29" s="13"/>
      <c r="G29" s="13"/>
      <c r="H29" s="13"/>
      <c r="I29" s="13"/>
      <c r="J29" s="13"/>
      <c r="K29" s="13"/>
      <c r="L29" s="13"/>
    </row>
    <row r="30" spans="1:15" x14ac:dyDescent="0.25">
      <c r="A30" s="16" t="s">
        <v>35</v>
      </c>
      <c r="B30" s="56">
        <f>M24</f>
        <v>13239.230144916666</v>
      </c>
      <c r="C30" s="56">
        <f>O23</f>
        <v>-2491.951806452535</v>
      </c>
      <c r="D30" s="56">
        <f t="shared" ref="D30:D31" si="8">B30+C30</f>
        <v>10747.278338464132</v>
      </c>
      <c r="E30" s="13"/>
      <c r="F30" s="13"/>
      <c r="G30" s="13"/>
      <c r="H30" s="13"/>
      <c r="I30" s="13"/>
      <c r="J30" s="21"/>
      <c r="K30" s="21"/>
      <c r="L30" s="13"/>
    </row>
    <row r="31" spans="1:15" x14ac:dyDescent="0.25">
      <c r="A31" s="22" t="s">
        <v>17</v>
      </c>
      <c r="B31" s="53">
        <f>B30+B29</f>
        <v>-65744.979251360186</v>
      </c>
      <c r="C31" s="53">
        <f t="shared" ref="C31" si="9">C30+C29</f>
        <v>-2491.951806452535</v>
      </c>
      <c r="D31" s="53">
        <f t="shared" si="8"/>
        <v>-68236.931057812719</v>
      </c>
      <c r="E31" s="13"/>
      <c r="F31" s="13"/>
      <c r="G31" s="13"/>
      <c r="H31" s="13"/>
      <c r="I31" s="13"/>
      <c r="J31" s="13"/>
      <c r="K31" s="13"/>
      <c r="L31" s="13"/>
    </row>
    <row r="32" spans="1:1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4" spans="1:11" x14ac:dyDescent="0.25">
      <c r="A34" s="12" t="s">
        <v>143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14"/>
      <c r="B35" s="14" t="s">
        <v>18</v>
      </c>
      <c r="C35" s="14" t="s">
        <v>19</v>
      </c>
      <c r="D35" s="14" t="s">
        <v>25</v>
      </c>
      <c r="E35" s="14" t="s">
        <v>126</v>
      </c>
      <c r="F35" s="14" t="s">
        <v>127</v>
      </c>
      <c r="G35" s="14" t="s">
        <v>128</v>
      </c>
      <c r="H35" s="15"/>
      <c r="I35" s="15"/>
      <c r="J35" s="15"/>
      <c r="K35" s="13"/>
    </row>
    <row r="36" spans="1:11" x14ac:dyDescent="0.25">
      <c r="A36" s="16" t="s">
        <v>145</v>
      </c>
      <c r="B36" s="17" t="s">
        <v>130</v>
      </c>
      <c r="C36" s="120">
        <f>SUM(D36:G36)</f>
        <v>630.03</v>
      </c>
      <c r="D36" s="120">
        <v>338.9</v>
      </c>
      <c r="E36" s="120">
        <v>156.36000000000001</v>
      </c>
      <c r="F36" s="120">
        <v>19.14</v>
      </c>
      <c r="G36" s="120">
        <v>115.63</v>
      </c>
      <c r="H36" s="13"/>
      <c r="I36" s="13"/>
      <c r="J36" s="13"/>
      <c r="K36" s="13"/>
    </row>
    <row r="37" spans="1:11" x14ac:dyDescent="0.25">
      <c r="A37" s="16" t="s">
        <v>22</v>
      </c>
      <c r="B37" s="19" t="s">
        <v>20</v>
      </c>
      <c r="C37" s="20">
        <f>SUM(D37:G37)</f>
        <v>1</v>
      </c>
      <c r="D37" s="20">
        <f>D36/$C$36</f>
        <v>0.53791089313207308</v>
      </c>
      <c r="E37" s="20">
        <f t="shared" ref="E37:G37" si="10">E36/$C$36</f>
        <v>0.24817865815913531</v>
      </c>
      <c r="F37" s="20">
        <f t="shared" si="10"/>
        <v>3.0379505737822009E-2</v>
      </c>
      <c r="G37" s="20">
        <f t="shared" si="10"/>
        <v>0.18353094297096964</v>
      </c>
      <c r="H37" s="21"/>
      <c r="I37" s="21"/>
      <c r="J37" s="21"/>
      <c r="K37" s="13"/>
    </row>
    <row r="38" spans="1:11" x14ac:dyDescent="0.25">
      <c r="A38" s="22" t="s">
        <v>17</v>
      </c>
      <c r="B38" s="23" t="s">
        <v>21</v>
      </c>
      <c r="C38" s="24">
        <f>SUM(D38:G38)</f>
        <v>-68236.931057812733</v>
      </c>
      <c r="D38" s="24">
        <f>D37*($O$24+$M$18)</f>
        <v>-36705.388529899734</v>
      </c>
      <c r="E38" s="24">
        <f>E37*($O$24+$M$18)</f>
        <v>-16934.949986825388</v>
      </c>
      <c r="F38" s="24">
        <f>F37*($O$24+$M$18)</f>
        <v>-2073.0042386021864</v>
      </c>
      <c r="G38" s="24">
        <f>G37*($O$24+$M$18)</f>
        <v>-12523.588302485414</v>
      </c>
      <c r="H38" s="13"/>
      <c r="I38" s="13"/>
      <c r="J38" s="13"/>
      <c r="K38" s="13"/>
    </row>
    <row r="39" spans="1:1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1" spans="1:11" x14ac:dyDescent="0.25">
      <c r="A41" s="12" t="s">
        <v>146</v>
      </c>
      <c r="B41" s="13"/>
      <c r="C41" s="13"/>
      <c r="D41" s="13"/>
      <c r="E41" s="13"/>
      <c r="F41" s="13"/>
      <c r="G41" s="13"/>
      <c r="H41" s="13"/>
    </row>
    <row r="42" spans="1:11" x14ac:dyDescent="0.25">
      <c r="A42" s="14"/>
      <c r="B42" s="14" t="s">
        <v>18</v>
      </c>
      <c r="C42" s="14" t="s">
        <v>19</v>
      </c>
      <c r="D42" s="14" t="str">
        <f>D35</f>
        <v>Rate 1</v>
      </c>
      <c r="E42" s="14" t="str">
        <f t="shared" ref="E42:F42" si="11">E35</f>
        <v>Rate 6</v>
      </c>
      <c r="F42" s="14" t="str">
        <f t="shared" si="11"/>
        <v>Rate 11</v>
      </c>
      <c r="G42" s="14" t="s">
        <v>18</v>
      </c>
      <c r="H42" s="14" t="str">
        <f>G35</f>
        <v>Rate 16</v>
      </c>
    </row>
    <row r="43" spans="1:11" ht="16.5" x14ac:dyDescent="0.25">
      <c r="A43" s="16" t="s">
        <v>24</v>
      </c>
      <c r="B43" s="17" t="s">
        <v>27</v>
      </c>
      <c r="C43" s="113">
        <f>SUM(D43:F43)</f>
        <v>13162.189329134679</v>
      </c>
      <c r="D43" s="113">
        <f>'Load Forecast'!A7</f>
        <v>8867.7068751897095</v>
      </c>
      <c r="E43" s="113">
        <f>'Load Forecast'!B7</f>
        <v>2468.20098836847</v>
      </c>
      <c r="F43" s="113">
        <f>'Load Forecast'!C7</f>
        <v>1826.2814655764998</v>
      </c>
      <c r="G43" s="17" t="s">
        <v>131</v>
      </c>
      <c r="H43" s="113">
        <f>'Load Forecast'!D7</f>
        <v>95824</v>
      </c>
    </row>
    <row r="44" spans="1:11" x14ac:dyDescent="0.25">
      <c r="A44" s="16" t="s">
        <v>22</v>
      </c>
      <c r="B44" s="114" t="s">
        <v>20</v>
      </c>
      <c r="C44" s="115">
        <f>SUM(D44:H44)</f>
        <v>1</v>
      </c>
      <c r="D44" s="116">
        <f t="shared" ref="D44:F44" si="12">D37</f>
        <v>0.53791089313207308</v>
      </c>
      <c r="E44" s="116">
        <f t="shared" si="12"/>
        <v>0.24817865815913531</v>
      </c>
      <c r="F44" s="116">
        <f t="shared" si="12"/>
        <v>3.0379505737822009E-2</v>
      </c>
      <c r="G44" s="114" t="s">
        <v>20</v>
      </c>
      <c r="H44" s="116">
        <f>G37</f>
        <v>0.18353094297096964</v>
      </c>
    </row>
    <row r="45" spans="1:11" x14ac:dyDescent="0.25">
      <c r="A45" s="26" t="s">
        <v>17</v>
      </c>
      <c r="B45" s="27" t="s">
        <v>21</v>
      </c>
      <c r="C45" s="117">
        <f>SUM(D45:H45)</f>
        <v>-68236.772963327297</v>
      </c>
      <c r="D45" s="118">
        <f>D43*D46*10</f>
        <v>-36705.388529899734</v>
      </c>
      <c r="E45" s="118">
        <f t="shared" ref="E45:F45" si="13">E43*E46*10</f>
        <v>-16934.949986825384</v>
      </c>
      <c r="F45" s="118">
        <f t="shared" si="13"/>
        <v>-2073.0042386021864</v>
      </c>
      <c r="G45" s="27" t="s">
        <v>21</v>
      </c>
      <c r="H45" s="118">
        <f>H43*H46/100*12</f>
        <v>-12523.430207999998</v>
      </c>
    </row>
    <row r="46" spans="1:11" ht="17.25" x14ac:dyDescent="0.25">
      <c r="A46" s="22" t="s">
        <v>23</v>
      </c>
      <c r="B46" s="23" t="s">
        <v>28</v>
      </c>
      <c r="C46" s="29"/>
      <c r="D46" s="29">
        <f>D38/D43/10</f>
        <v>-0.41392198734708946</v>
      </c>
      <c r="E46" s="29">
        <f t="shared" ref="E46:F46" si="14">E38/E43/10</f>
        <v>-0.68612524128433017</v>
      </c>
      <c r="F46" s="29">
        <f t="shared" si="14"/>
        <v>-0.11350957000200426</v>
      </c>
      <c r="G46" s="23" t="s">
        <v>132</v>
      </c>
      <c r="H46" s="29">
        <f>ROUND(G38/H43*100/12,4)</f>
        <v>-1.0891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43D0-95FA-43AD-B2AE-970FB41B600A}">
  <sheetPr>
    <pageSetUpPr fitToPage="1"/>
  </sheetPr>
  <dimension ref="A1:O45"/>
  <sheetViews>
    <sheetView showGridLines="0" topLeftCell="A16" zoomScale="80" zoomScaleNormal="80" zoomScaleSheetLayoutView="85" workbookViewId="0">
      <selection activeCell="A34" sqref="A34:G37"/>
    </sheetView>
  </sheetViews>
  <sheetFormatPr defaultColWidth="12.5703125" defaultRowHeight="15" x14ac:dyDescent="0.25"/>
  <cols>
    <col min="1" max="1" width="35.7109375" customWidth="1"/>
    <col min="2" max="2" width="11.7109375" bestFit="1" customWidth="1"/>
    <col min="3" max="3" width="13.5703125" customWidth="1"/>
    <col min="4" max="4" width="12.42578125" customWidth="1"/>
    <col min="5" max="5" width="11.7109375" bestFit="1" customWidth="1"/>
    <col min="6" max="6" width="13.85546875" customWidth="1"/>
    <col min="7" max="7" width="12.140625" customWidth="1"/>
    <col min="8" max="8" width="11.28515625" bestFit="1" customWidth="1"/>
    <col min="9" max="13" width="11.7109375" bestFit="1" customWidth="1"/>
    <col min="14" max="14" width="1.5703125" customWidth="1"/>
    <col min="15" max="15" width="12.28515625" bestFit="1" customWidth="1"/>
  </cols>
  <sheetData>
    <row r="1" spans="1:15" s="2" customFormat="1" x14ac:dyDescent="0.25">
      <c r="A1" s="2" t="s">
        <v>0</v>
      </c>
    </row>
    <row r="2" spans="1:15" s="2" customFormat="1" x14ac:dyDescent="0.25">
      <c r="A2" s="2" t="s">
        <v>40</v>
      </c>
    </row>
    <row r="3" spans="1:15" s="2" customFormat="1" x14ac:dyDescent="0.25">
      <c r="A3" s="2" t="s">
        <v>87</v>
      </c>
    </row>
    <row r="4" spans="1:15" s="2" customFormat="1" x14ac:dyDescent="0.25">
      <c r="A4" s="2" t="s">
        <v>39</v>
      </c>
    </row>
    <row r="5" spans="1: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15" x14ac:dyDescent="0.25">
      <c r="A8" s="7" t="s">
        <v>93</v>
      </c>
      <c r="B8" s="9">
        <v>0</v>
      </c>
      <c r="C8" s="9">
        <v>-1231</v>
      </c>
      <c r="D8" s="9">
        <v>-1853</v>
      </c>
      <c r="E8" s="9">
        <v>-1618</v>
      </c>
      <c r="F8" s="9">
        <v>-1742</v>
      </c>
      <c r="G8" s="9">
        <v>0</v>
      </c>
      <c r="H8" s="9">
        <v>-1350</v>
      </c>
      <c r="I8" s="9">
        <v>-1349</v>
      </c>
      <c r="J8" s="9">
        <v>-1071</v>
      </c>
      <c r="K8" s="9">
        <v>-1121</v>
      </c>
      <c r="L8" s="9">
        <v>-1050</v>
      </c>
      <c r="M8" s="9">
        <v>0</v>
      </c>
      <c r="O8" s="36"/>
    </row>
    <row r="9" spans="1:15" x14ac:dyDescent="0.25">
      <c r="A9" s="7" t="s">
        <v>94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O9" s="36"/>
    </row>
    <row r="10" spans="1:15" x14ac:dyDescent="0.25">
      <c r="A10" s="7" t="s">
        <v>95</v>
      </c>
      <c r="B10" s="9">
        <v>-60</v>
      </c>
      <c r="C10" s="9">
        <v>-80</v>
      </c>
      <c r="D10" s="9">
        <v>-180</v>
      </c>
      <c r="E10" s="9">
        <v>-80</v>
      </c>
      <c r="F10" s="9">
        <v>-300</v>
      </c>
      <c r="G10" s="9">
        <v>-140</v>
      </c>
      <c r="H10" s="9">
        <v>0</v>
      </c>
      <c r="I10" s="9">
        <v>-100</v>
      </c>
      <c r="J10" s="9">
        <v>-60</v>
      </c>
      <c r="K10" s="9">
        <v>-100</v>
      </c>
      <c r="L10" s="9">
        <v>0</v>
      </c>
      <c r="M10" s="9">
        <v>-60</v>
      </c>
      <c r="O10" s="36"/>
    </row>
    <row r="11" spans="1:15" x14ac:dyDescent="0.25">
      <c r="A11" s="7" t="s">
        <v>96</v>
      </c>
      <c r="B11" s="9">
        <v>-630</v>
      </c>
      <c r="C11" s="9">
        <v>-560</v>
      </c>
      <c r="D11" s="9">
        <v>-385</v>
      </c>
      <c r="E11" s="9">
        <v>-735</v>
      </c>
      <c r="F11" s="9">
        <v>-910</v>
      </c>
      <c r="G11" s="9">
        <v>-770</v>
      </c>
      <c r="H11" s="9">
        <v>-945</v>
      </c>
      <c r="I11" s="9">
        <v>-980</v>
      </c>
      <c r="J11" s="9">
        <v>-140</v>
      </c>
      <c r="K11" s="9">
        <v>-1670</v>
      </c>
      <c r="L11" s="9">
        <v>-980</v>
      </c>
      <c r="M11" s="9">
        <v>-1050</v>
      </c>
      <c r="O11" s="8"/>
    </row>
    <row r="12" spans="1:15" x14ac:dyDescent="0.25">
      <c r="A12" s="7" t="s">
        <v>97</v>
      </c>
      <c r="B12" s="31">
        <v>105</v>
      </c>
      <c r="C12" s="31">
        <v>0</v>
      </c>
      <c r="D12" s="31">
        <v>0</v>
      </c>
      <c r="E12" s="31">
        <v>0</v>
      </c>
      <c r="F12" s="31">
        <v>-159</v>
      </c>
      <c r="G12" s="31">
        <v>0</v>
      </c>
      <c r="H12" s="31">
        <v>-4302</v>
      </c>
      <c r="I12" s="31">
        <v>-1430</v>
      </c>
      <c r="J12" s="31">
        <v>0</v>
      </c>
      <c r="K12" s="31">
        <v>728</v>
      </c>
      <c r="L12" s="31">
        <v>0</v>
      </c>
      <c r="M12" s="31">
        <v>0</v>
      </c>
      <c r="O12" s="8"/>
    </row>
    <row r="13" spans="1:15" s="78" customFormat="1" x14ac:dyDescent="0.25">
      <c r="A13" s="42" t="s">
        <v>92</v>
      </c>
      <c r="B13" s="10">
        <f>SUM(B8:B12)</f>
        <v>-585</v>
      </c>
      <c r="C13" s="10">
        <f t="shared" ref="C13:M13" si="0">SUM(C8:C12)</f>
        <v>-1871</v>
      </c>
      <c r="D13" s="10">
        <f t="shared" si="0"/>
        <v>-2418</v>
      </c>
      <c r="E13" s="10">
        <f t="shared" si="0"/>
        <v>-2433</v>
      </c>
      <c r="F13" s="10">
        <f t="shared" si="0"/>
        <v>-3111</v>
      </c>
      <c r="G13" s="10">
        <f t="shared" si="0"/>
        <v>-910</v>
      </c>
      <c r="H13" s="10">
        <f t="shared" si="0"/>
        <v>-6597</v>
      </c>
      <c r="I13" s="10">
        <f t="shared" si="0"/>
        <v>-3859</v>
      </c>
      <c r="J13" s="10">
        <f t="shared" si="0"/>
        <v>-1271</v>
      </c>
      <c r="K13" s="10">
        <f t="shared" si="0"/>
        <v>-2163</v>
      </c>
      <c r="L13" s="10">
        <f t="shared" si="0"/>
        <v>-2030</v>
      </c>
      <c r="M13" s="10">
        <f t="shared" si="0"/>
        <v>-1110</v>
      </c>
      <c r="O13" s="84"/>
    </row>
    <row r="14" spans="1:15" x14ac:dyDescent="0.25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O14" s="8"/>
    </row>
    <row r="15" spans="1:15" x14ac:dyDescent="0.25">
      <c r="A15" s="7" t="s">
        <v>88</v>
      </c>
      <c r="B15" s="32">
        <v>0</v>
      </c>
      <c r="C15" s="32">
        <f>B17</f>
        <v>-585</v>
      </c>
      <c r="D15" s="32">
        <f t="shared" ref="D15:M15" si="1">C17</f>
        <v>-2456</v>
      </c>
      <c r="E15" s="32">
        <f t="shared" si="1"/>
        <v>-4874</v>
      </c>
      <c r="F15" s="32">
        <f t="shared" si="1"/>
        <v>-7307</v>
      </c>
      <c r="G15" s="32">
        <f t="shared" si="1"/>
        <v>-10418</v>
      </c>
      <c r="H15" s="32">
        <f t="shared" si="1"/>
        <v>-11328</v>
      </c>
      <c r="I15" s="32">
        <f t="shared" si="1"/>
        <v>-17925</v>
      </c>
      <c r="J15" s="32">
        <f>I17</f>
        <v>-21784</v>
      </c>
      <c r="K15" s="32">
        <f t="shared" si="1"/>
        <v>-23055</v>
      </c>
      <c r="L15" s="32">
        <f t="shared" si="1"/>
        <v>-25218</v>
      </c>
      <c r="M15" s="32">
        <f t="shared" si="1"/>
        <v>-27248</v>
      </c>
      <c r="N15" s="1"/>
      <c r="O15" s="10"/>
    </row>
    <row r="16" spans="1:15" x14ac:dyDescent="0.25">
      <c r="A16" s="7" t="s">
        <v>89</v>
      </c>
      <c r="B16" s="31">
        <f>B13</f>
        <v>-585</v>
      </c>
      <c r="C16" s="31">
        <f t="shared" ref="C16:M16" si="2">C13</f>
        <v>-1871</v>
      </c>
      <c r="D16" s="31">
        <f t="shared" si="2"/>
        <v>-2418</v>
      </c>
      <c r="E16" s="31">
        <f t="shared" si="2"/>
        <v>-2433</v>
      </c>
      <c r="F16" s="31">
        <f t="shared" si="2"/>
        <v>-3111</v>
      </c>
      <c r="G16" s="31">
        <f t="shared" si="2"/>
        <v>-910</v>
      </c>
      <c r="H16" s="31">
        <f t="shared" si="2"/>
        <v>-6597</v>
      </c>
      <c r="I16" s="31">
        <f t="shared" si="2"/>
        <v>-3859</v>
      </c>
      <c r="J16" s="31">
        <f t="shared" si="2"/>
        <v>-1271</v>
      </c>
      <c r="K16" s="31">
        <f t="shared" si="2"/>
        <v>-2163</v>
      </c>
      <c r="L16" s="31">
        <f t="shared" si="2"/>
        <v>-2030</v>
      </c>
      <c r="M16" s="31">
        <f t="shared" si="2"/>
        <v>-1110</v>
      </c>
      <c r="N16" s="1"/>
      <c r="O16" s="10"/>
    </row>
    <row r="17" spans="1:15" s="78" customFormat="1" x14ac:dyDescent="0.25">
      <c r="A17" s="42" t="s">
        <v>90</v>
      </c>
      <c r="B17" s="10">
        <f>SUM(B15:B16)</f>
        <v>-585</v>
      </c>
      <c r="C17" s="10">
        <f t="shared" ref="C17:M17" si="3">SUM(C15:C16)</f>
        <v>-2456</v>
      </c>
      <c r="D17" s="10">
        <f t="shared" si="3"/>
        <v>-4874</v>
      </c>
      <c r="E17" s="10">
        <f t="shared" si="3"/>
        <v>-7307</v>
      </c>
      <c r="F17" s="10">
        <f t="shared" si="3"/>
        <v>-10418</v>
      </c>
      <c r="G17" s="10">
        <f t="shared" si="3"/>
        <v>-11328</v>
      </c>
      <c r="H17" s="10">
        <f t="shared" si="3"/>
        <v>-17925</v>
      </c>
      <c r="I17" s="10">
        <f t="shared" si="3"/>
        <v>-21784</v>
      </c>
      <c r="J17" s="10">
        <f t="shared" si="3"/>
        <v>-23055</v>
      </c>
      <c r="K17" s="10">
        <f t="shared" si="3"/>
        <v>-25218</v>
      </c>
      <c r="L17" s="10">
        <f t="shared" si="3"/>
        <v>-27248</v>
      </c>
      <c r="M17" s="10">
        <f t="shared" si="3"/>
        <v>-28358</v>
      </c>
      <c r="N17" s="85"/>
      <c r="O17" s="10"/>
    </row>
    <row r="18" spans="1:15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0"/>
    </row>
    <row r="19" spans="1:15" x14ac:dyDescent="0.25">
      <c r="A19" s="7" t="s">
        <v>13</v>
      </c>
      <c r="B19" s="73">
        <v>5.4899999999999997E-2</v>
      </c>
      <c r="C19" s="73">
        <v>5.4899999999999997E-2</v>
      </c>
      <c r="D19" s="73">
        <v>5.4899999999999997E-2</v>
      </c>
      <c r="E19" s="73">
        <v>5.4899999999999997E-2</v>
      </c>
      <c r="F19" s="73">
        <v>5.4899999999999997E-2</v>
      </c>
      <c r="G19" s="73">
        <v>5.4899999999999997E-2</v>
      </c>
      <c r="H19" s="73">
        <v>5.1999999999999998E-2</v>
      </c>
      <c r="I19" s="73">
        <v>5.1999999999999998E-2</v>
      </c>
      <c r="J19" s="73">
        <v>5.1999999999999998E-2</v>
      </c>
      <c r="K19" s="73">
        <v>4.3999999999999997E-2</v>
      </c>
      <c r="L19" s="73">
        <v>4.3999999999999997E-2</v>
      </c>
      <c r="M19" s="73">
        <v>4.3999999999999997E-2</v>
      </c>
      <c r="N19" s="1"/>
      <c r="O19" s="34">
        <f>(Summary!D7+Summary!E7+Summary!F7+Summary!G7)/4</f>
        <v>3.1550000000000002E-2</v>
      </c>
    </row>
    <row r="20" spans="1:15" x14ac:dyDescent="0.25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0"/>
    </row>
    <row r="21" spans="1:15" x14ac:dyDescent="0.25">
      <c r="A21" s="7" t="s">
        <v>14</v>
      </c>
      <c r="B21" s="32">
        <v>0</v>
      </c>
      <c r="C21" s="32">
        <f>B23</f>
        <v>0</v>
      </c>
      <c r="D21" s="32">
        <f t="shared" ref="D21:M21" si="4">C23</f>
        <v>-2.6763749999999997</v>
      </c>
      <c r="E21" s="32">
        <f t="shared" si="4"/>
        <v>-13.912574999999999</v>
      </c>
      <c r="F21" s="32">
        <f t="shared" si="4"/>
        <v>-36.211125000000003</v>
      </c>
      <c r="G21" s="32">
        <f t="shared" si="4"/>
        <v>-69.640649999999994</v>
      </c>
      <c r="H21" s="32">
        <f t="shared" si="4"/>
        <v>-117.303</v>
      </c>
      <c r="I21" s="32">
        <f t="shared" si="4"/>
        <v>-166.39099999999999</v>
      </c>
      <c r="J21" s="32">
        <f t="shared" si="4"/>
        <v>-244.06599999999997</v>
      </c>
      <c r="K21" s="32">
        <f t="shared" si="4"/>
        <v>-338.46333333333331</v>
      </c>
      <c r="L21" s="32">
        <f t="shared" si="4"/>
        <v>-422.99833333333333</v>
      </c>
      <c r="M21" s="32">
        <f t="shared" si="4"/>
        <v>-515.46433333333334</v>
      </c>
      <c r="N21" s="1"/>
      <c r="O21" s="32">
        <f t="shared" ref="O21" si="5">M23</f>
        <v>-615.37366666666662</v>
      </c>
    </row>
    <row r="22" spans="1:15" x14ac:dyDescent="0.25">
      <c r="A22" s="7" t="s">
        <v>15</v>
      </c>
      <c r="B22" s="31">
        <f t="shared" ref="B22:M22" si="6">B15*B19/12</f>
        <v>0</v>
      </c>
      <c r="C22" s="31">
        <f t="shared" si="6"/>
        <v>-2.6763749999999997</v>
      </c>
      <c r="D22" s="31">
        <f t="shared" si="6"/>
        <v>-11.236199999999998</v>
      </c>
      <c r="E22" s="31">
        <f t="shared" si="6"/>
        <v>-22.298550000000002</v>
      </c>
      <c r="F22" s="31">
        <f t="shared" si="6"/>
        <v>-33.429524999999998</v>
      </c>
      <c r="G22" s="31">
        <f t="shared" si="6"/>
        <v>-47.662349999999996</v>
      </c>
      <c r="H22" s="31">
        <f t="shared" si="6"/>
        <v>-49.087999999999994</v>
      </c>
      <c r="I22" s="31">
        <f t="shared" si="6"/>
        <v>-77.674999999999997</v>
      </c>
      <c r="J22" s="31">
        <f t="shared" si="6"/>
        <v>-94.397333333333336</v>
      </c>
      <c r="K22" s="31">
        <f t="shared" si="6"/>
        <v>-84.534999999999997</v>
      </c>
      <c r="L22" s="31">
        <f t="shared" si="6"/>
        <v>-92.465999999999994</v>
      </c>
      <c r="M22" s="31">
        <f t="shared" si="6"/>
        <v>-99.909333333333336</v>
      </c>
      <c r="N22" s="1"/>
      <c r="O22" s="31">
        <f>M17*O19</f>
        <v>-894.69490000000008</v>
      </c>
    </row>
    <row r="23" spans="1:15" x14ac:dyDescent="0.25">
      <c r="A23" s="33" t="s">
        <v>16</v>
      </c>
      <c r="B23" s="11">
        <f>SUM(B21:B22)</f>
        <v>0</v>
      </c>
      <c r="C23" s="11">
        <f t="shared" ref="C23:M23" si="7">SUM(C21:C22)</f>
        <v>-2.6763749999999997</v>
      </c>
      <c r="D23" s="11">
        <f t="shared" si="7"/>
        <v>-13.912574999999999</v>
      </c>
      <c r="E23" s="11">
        <f t="shared" si="7"/>
        <v>-36.211125000000003</v>
      </c>
      <c r="F23" s="11">
        <f t="shared" si="7"/>
        <v>-69.640649999999994</v>
      </c>
      <c r="G23" s="11">
        <f t="shared" si="7"/>
        <v>-117.303</v>
      </c>
      <c r="H23" s="11">
        <f t="shared" si="7"/>
        <v>-166.39099999999999</v>
      </c>
      <c r="I23" s="11">
        <f t="shared" si="7"/>
        <v>-244.06599999999997</v>
      </c>
      <c r="J23" s="11">
        <f t="shared" si="7"/>
        <v>-338.46333333333331</v>
      </c>
      <c r="K23" s="11">
        <f t="shared" si="7"/>
        <v>-422.99833333333333</v>
      </c>
      <c r="L23" s="11">
        <f t="shared" si="7"/>
        <v>-515.46433333333334</v>
      </c>
      <c r="M23" s="11">
        <f t="shared" si="7"/>
        <v>-615.37366666666662</v>
      </c>
      <c r="N23" s="1"/>
      <c r="O23" s="11">
        <f>SUM(O21:O22)</f>
        <v>-1510.0685666666668</v>
      </c>
    </row>
    <row r="24" spans="1:15" x14ac:dyDescent="0.25">
      <c r="A24" s="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O24" s="30"/>
    </row>
    <row r="25" spans="1:15" x14ac:dyDescent="0.25">
      <c r="E25" s="13"/>
      <c r="F25" s="13"/>
      <c r="G25" s="13"/>
      <c r="H25" s="13"/>
      <c r="I25" s="13"/>
    </row>
    <row r="26" spans="1:15" x14ac:dyDescent="0.25">
      <c r="A26" s="12" t="s">
        <v>91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5" ht="45" x14ac:dyDescent="0.25">
      <c r="A27" s="14"/>
      <c r="B27" s="14" t="s">
        <v>36</v>
      </c>
      <c r="C27" s="14" t="s">
        <v>46</v>
      </c>
      <c r="D27" s="14" t="s">
        <v>49</v>
      </c>
      <c r="E27" s="13"/>
      <c r="F27" s="13"/>
      <c r="G27" s="13"/>
      <c r="H27" s="13"/>
      <c r="I27" s="13"/>
      <c r="J27" s="15"/>
      <c r="K27" s="15"/>
      <c r="L27" s="13"/>
    </row>
    <row r="28" spans="1:15" x14ac:dyDescent="0.25">
      <c r="A28" s="51" t="s">
        <v>34</v>
      </c>
      <c r="B28" s="52">
        <f>M17</f>
        <v>-28358</v>
      </c>
      <c r="C28" s="52"/>
      <c r="D28" s="52">
        <f>B28+C28</f>
        <v>-28358</v>
      </c>
      <c r="E28" s="13"/>
      <c r="F28" s="13"/>
      <c r="G28" s="13"/>
      <c r="H28" s="13"/>
      <c r="I28" s="13"/>
      <c r="J28" s="13"/>
      <c r="K28" s="13"/>
      <c r="L28" s="13"/>
    </row>
    <row r="29" spans="1:15" x14ac:dyDescent="0.25">
      <c r="A29" s="16" t="s">
        <v>35</v>
      </c>
      <c r="B29" s="56">
        <f>M23</f>
        <v>-615.37366666666662</v>
      </c>
      <c r="C29" s="56">
        <f>O22</f>
        <v>-894.69490000000008</v>
      </c>
      <c r="D29" s="56">
        <f t="shared" ref="D29:D30" si="8">B29+C29</f>
        <v>-1510.0685666666668</v>
      </c>
      <c r="E29" s="13"/>
      <c r="F29" s="13"/>
      <c r="G29" s="13"/>
      <c r="H29" s="13"/>
      <c r="I29" s="13"/>
      <c r="J29" s="21"/>
      <c r="K29" s="21"/>
      <c r="L29" s="13"/>
    </row>
    <row r="30" spans="1:15" x14ac:dyDescent="0.25">
      <c r="A30" s="22" t="s">
        <v>17</v>
      </c>
      <c r="B30" s="53">
        <f>B29+B28</f>
        <v>-28973.373666666666</v>
      </c>
      <c r="C30" s="53">
        <f t="shared" ref="C30" si="9">C29+C28</f>
        <v>-894.69490000000008</v>
      </c>
      <c r="D30" s="53">
        <f t="shared" si="8"/>
        <v>-29868.068566666665</v>
      </c>
      <c r="E30" s="13"/>
      <c r="F30" s="13"/>
      <c r="G30" s="13"/>
      <c r="H30" s="13"/>
      <c r="I30" s="13"/>
      <c r="J30" s="13"/>
      <c r="K30" s="13"/>
      <c r="L30" s="13"/>
    </row>
    <row r="31" spans="1:1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3" spans="1:11" x14ac:dyDescent="0.25">
      <c r="A33" s="12" t="s">
        <v>147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14"/>
      <c r="B34" s="14" t="s">
        <v>18</v>
      </c>
      <c r="C34" s="14" t="s">
        <v>19</v>
      </c>
      <c r="D34" s="14" t="s">
        <v>25</v>
      </c>
      <c r="E34" s="14" t="s">
        <v>126</v>
      </c>
      <c r="F34" s="14" t="s">
        <v>127</v>
      </c>
      <c r="G34" s="14" t="s">
        <v>128</v>
      </c>
      <c r="H34" s="15"/>
      <c r="I34" s="15"/>
      <c r="J34" s="15"/>
      <c r="K34" s="13"/>
    </row>
    <row r="35" spans="1:11" x14ac:dyDescent="0.25">
      <c r="A35" s="16" t="s">
        <v>148</v>
      </c>
      <c r="B35" s="17" t="s">
        <v>130</v>
      </c>
      <c r="C35" s="119">
        <f>SUM(D35:G35)</f>
        <v>5653.0058427267941</v>
      </c>
      <c r="D35" s="119">
        <v>4159.7097863344798</v>
      </c>
      <c r="E35" s="119">
        <v>937.74458738480428</v>
      </c>
      <c r="F35" s="119">
        <v>228.82156612918939</v>
      </c>
      <c r="G35" s="119">
        <v>326.72990287832044</v>
      </c>
      <c r="H35" s="13"/>
      <c r="I35" s="13"/>
      <c r="J35" s="13"/>
      <c r="K35" s="13"/>
    </row>
    <row r="36" spans="1:11" x14ac:dyDescent="0.25">
      <c r="A36" s="16" t="s">
        <v>22</v>
      </c>
      <c r="B36" s="19" t="s">
        <v>20</v>
      </c>
      <c r="C36" s="20">
        <f>SUM(D36:G36)</f>
        <v>1</v>
      </c>
      <c r="D36" s="20">
        <f>D35/$C$35</f>
        <v>0.73584034796043918</v>
      </c>
      <c r="E36" s="20">
        <f t="shared" ref="E36:G36" si="10">E35/$C$35</f>
        <v>0.16588424167141355</v>
      </c>
      <c r="F36" s="20">
        <f t="shared" si="10"/>
        <v>4.0477857708849388E-2</v>
      </c>
      <c r="G36" s="20">
        <f t="shared" si="10"/>
        <v>5.7797552659297875E-2</v>
      </c>
      <c r="H36" s="21"/>
      <c r="I36" s="21"/>
      <c r="J36" s="21"/>
      <c r="K36" s="13"/>
    </row>
    <row r="37" spans="1:11" x14ac:dyDescent="0.25">
      <c r="A37" s="22" t="s">
        <v>17</v>
      </c>
      <c r="B37" s="23" t="s">
        <v>21</v>
      </c>
      <c r="C37" s="24">
        <f>SUM(D37:G37)</f>
        <v>-29868.068566666669</v>
      </c>
      <c r="D37" s="24">
        <f>D36*($D$30)</f>
        <v>-21978.129967002256</v>
      </c>
      <c r="E37" s="24">
        <f t="shared" ref="E37:G37" si="11">E36*($D$30)</f>
        <v>-4954.641904371284</v>
      </c>
      <c r="F37" s="24">
        <f t="shared" si="11"/>
        <v>-1208.9954294796903</v>
      </c>
      <c r="G37" s="24">
        <f t="shared" si="11"/>
        <v>-1726.3012658134362</v>
      </c>
      <c r="H37" s="13"/>
      <c r="I37" s="13"/>
      <c r="J37" s="13"/>
      <c r="K37" s="13"/>
    </row>
    <row r="38" spans="1:1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40" spans="1:11" x14ac:dyDescent="0.25">
      <c r="A40" s="12" t="s">
        <v>149</v>
      </c>
      <c r="B40" s="13"/>
      <c r="C40" s="13"/>
      <c r="D40" s="13"/>
      <c r="E40" s="13"/>
      <c r="F40" s="13"/>
      <c r="G40" s="13"/>
      <c r="H40" s="13"/>
    </row>
    <row r="41" spans="1:11" x14ac:dyDescent="0.25">
      <c r="A41" s="14"/>
      <c r="B41" s="14" t="s">
        <v>18</v>
      </c>
      <c r="C41" s="14" t="s">
        <v>19</v>
      </c>
      <c r="D41" s="14" t="str">
        <f>D34</f>
        <v>Rate 1</v>
      </c>
      <c r="E41" s="14" t="str">
        <f t="shared" ref="E41:F41" si="12">E34</f>
        <v>Rate 6</v>
      </c>
      <c r="F41" s="14" t="str">
        <f t="shared" si="12"/>
        <v>Rate 11</v>
      </c>
      <c r="G41" s="14" t="s">
        <v>18</v>
      </c>
      <c r="H41" s="14" t="str">
        <f>G34</f>
        <v>Rate 16</v>
      </c>
    </row>
    <row r="42" spans="1:11" ht="16.5" x14ac:dyDescent="0.25">
      <c r="A42" s="16" t="s">
        <v>24</v>
      </c>
      <c r="B42" s="17" t="s">
        <v>27</v>
      </c>
      <c r="C42" s="113">
        <f>SUM(D42:F42)</f>
        <v>13162.189329134679</v>
      </c>
      <c r="D42" s="113">
        <f>'Load Forecast'!A7</f>
        <v>8867.7068751897095</v>
      </c>
      <c r="E42" s="113">
        <f>'Load Forecast'!B7</f>
        <v>2468.20098836847</v>
      </c>
      <c r="F42" s="113">
        <f>'Load Forecast'!C7</f>
        <v>1826.2814655764998</v>
      </c>
      <c r="G42" s="17" t="s">
        <v>131</v>
      </c>
      <c r="H42" s="113">
        <f>'Load Forecast'!D7</f>
        <v>95824</v>
      </c>
    </row>
    <row r="43" spans="1:11" x14ac:dyDescent="0.25">
      <c r="A43" s="16" t="s">
        <v>22</v>
      </c>
      <c r="B43" s="114" t="s">
        <v>20</v>
      </c>
      <c r="C43" s="115">
        <f>SUM(D43:H43)</f>
        <v>1</v>
      </c>
      <c r="D43" s="116">
        <f t="shared" ref="D43:F43" si="13">D36</f>
        <v>0.73584034796043918</v>
      </c>
      <c r="E43" s="116">
        <f t="shared" si="13"/>
        <v>0.16588424167141355</v>
      </c>
      <c r="F43" s="116">
        <f t="shared" si="13"/>
        <v>4.0477857708849388E-2</v>
      </c>
      <c r="G43" s="114" t="s">
        <v>20</v>
      </c>
      <c r="H43" s="116">
        <f>G36</f>
        <v>5.7797552659297875E-2</v>
      </c>
    </row>
    <row r="44" spans="1:11" x14ac:dyDescent="0.25">
      <c r="A44" s="26" t="s">
        <v>17</v>
      </c>
      <c r="B44" s="27" t="s">
        <v>21</v>
      </c>
      <c r="C44" s="117">
        <f>SUM(D44:H44)</f>
        <v>-29867.749188853231</v>
      </c>
      <c r="D44" s="118">
        <f>D42*D45*10</f>
        <v>-21978.129967002256</v>
      </c>
      <c r="E44" s="118">
        <f t="shared" ref="E44:F44" si="14">E42*E45*10</f>
        <v>-4954.641904371284</v>
      </c>
      <c r="F44" s="118">
        <f t="shared" si="14"/>
        <v>-1208.9954294796903</v>
      </c>
      <c r="G44" s="27" t="s">
        <v>21</v>
      </c>
      <c r="H44" s="118">
        <f>H42*H45/100*12</f>
        <v>-1725.9818880000003</v>
      </c>
    </row>
    <row r="45" spans="1:11" ht="17.25" x14ac:dyDescent="0.25">
      <c r="A45" s="22" t="s">
        <v>23</v>
      </c>
      <c r="B45" s="23" t="s">
        <v>28</v>
      </c>
      <c r="C45" s="29"/>
      <c r="D45" s="29">
        <f>D37/D42/10</f>
        <v>-0.24784456992475939</v>
      </c>
      <c r="E45" s="29">
        <f t="shared" ref="E45:F45" si="15">E37/E42/10</f>
        <v>-0.2007389968531858</v>
      </c>
      <c r="F45" s="29">
        <f t="shared" si="15"/>
        <v>-6.6199841167311438E-2</v>
      </c>
      <c r="G45" s="23" t="s">
        <v>132</v>
      </c>
      <c r="H45" s="29">
        <f>ROUND(G37/H42*100/12,4)</f>
        <v>-0.15010000000000001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92CC-DA81-4162-8ABD-78CE5DC8F000}">
  <sheetPr>
    <pageSetUpPr fitToPage="1"/>
  </sheetPr>
  <dimension ref="A1:O47"/>
  <sheetViews>
    <sheetView showGridLines="0" zoomScale="80" zoomScaleNormal="80" zoomScaleSheetLayoutView="85" workbookViewId="0">
      <selection activeCell="Q23" sqref="Q23"/>
    </sheetView>
  </sheetViews>
  <sheetFormatPr defaultColWidth="12.5703125" defaultRowHeight="14.25" x14ac:dyDescent="0.2"/>
  <cols>
    <col min="1" max="1" width="35.7109375" style="58" customWidth="1"/>
    <col min="2" max="2" width="13.7109375" style="58" bestFit="1" customWidth="1"/>
    <col min="3" max="3" width="13.5703125" style="58" customWidth="1"/>
    <col min="4" max="4" width="12.42578125" style="58" customWidth="1"/>
    <col min="5" max="6" width="11.7109375" style="58" bestFit="1" customWidth="1"/>
    <col min="7" max="8" width="11.28515625" style="58" bestFit="1" customWidth="1"/>
    <col min="9" max="13" width="11.7109375" style="58" bestFit="1" customWidth="1"/>
    <col min="14" max="14" width="1.5703125" style="58" customWidth="1"/>
    <col min="15" max="15" width="12.28515625" style="58" bestFit="1" customWidth="1"/>
    <col min="16" max="16384" width="12.5703125" style="58"/>
  </cols>
  <sheetData>
    <row r="1" spans="1:15" s="2" customFormat="1" ht="15" x14ac:dyDescent="0.25">
      <c r="A1" s="2" t="s">
        <v>0</v>
      </c>
    </row>
    <row r="2" spans="1:15" s="2" customFormat="1" ht="15" x14ac:dyDescent="0.25">
      <c r="A2" s="2" t="s">
        <v>40</v>
      </c>
    </row>
    <row r="3" spans="1:15" s="2" customFormat="1" ht="15" x14ac:dyDescent="0.25">
      <c r="A3" s="2" t="s">
        <v>98</v>
      </c>
    </row>
    <row r="4" spans="1:15" s="2" customFormat="1" ht="15" x14ac:dyDescent="0.25">
      <c r="A4" s="2" t="s">
        <v>39</v>
      </c>
    </row>
    <row r="5" spans="1:15" ht="15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15" ht="15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15" x14ac:dyDescent="0.2">
      <c r="A7" s="7"/>
      <c r="B7" s="133"/>
      <c r="C7" s="133"/>
      <c r="D7" s="133"/>
      <c r="E7" s="133"/>
      <c r="F7" s="134"/>
      <c r="G7" s="134"/>
      <c r="H7" s="37"/>
      <c r="I7" s="134"/>
      <c r="J7" s="134"/>
      <c r="K7" s="134"/>
      <c r="L7" s="134"/>
      <c r="M7" s="134"/>
      <c r="O7" s="134"/>
    </row>
    <row r="8" spans="1:15" x14ac:dyDescent="0.2">
      <c r="A8" s="7" t="s">
        <v>103</v>
      </c>
      <c r="B8" s="31">
        <v>66198.104398808966</v>
      </c>
      <c r="C8" s="31">
        <v>109481.52036272653</v>
      </c>
      <c r="D8" s="31">
        <v>93815.389474598807</v>
      </c>
      <c r="E8" s="31">
        <v>43179.825777359889</v>
      </c>
      <c r="F8" s="31">
        <v>44493.439438630463</v>
      </c>
      <c r="G8" s="31">
        <v>25213.441404804922</v>
      </c>
      <c r="H8" s="31">
        <v>17994.701769103427</v>
      </c>
      <c r="I8" s="31">
        <v>17657.086969480253</v>
      </c>
      <c r="J8" s="31">
        <v>20332.076018935477</v>
      </c>
      <c r="K8" s="31">
        <v>32922.121598108381</v>
      </c>
      <c r="L8" s="31">
        <v>12971.443213370891</v>
      </c>
      <c r="M8" s="31">
        <v>68344.976585987664</v>
      </c>
      <c r="O8" s="135"/>
    </row>
    <row r="9" spans="1:15" s="48" customFormat="1" ht="15" x14ac:dyDescent="0.25">
      <c r="A9" s="42" t="s">
        <v>92</v>
      </c>
      <c r="B9" s="10">
        <f t="shared" ref="B9:M9" si="0">SUM(B8:B8)</f>
        <v>66198.104398808966</v>
      </c>
      <c r="C9" s="10">
        <f t="shared" si="0"/>
        <v>109481.52036272653</v>
      </c>
      <c r="D9" s="10">
        <f t="shared" si="0"/>
        <v>93815.389474598807</v>
      </c>
      <c r="E9" s="10">
        <f t="shared" si="0"/>
        <v>43179.825777359889</v>
      </c>
      <c r="F9" s="10">
        <f t="shared" si="0"/>
        <v>44493.439438630463</v>
      </c>
      <c r="G9" s="10">
        <f t="shared" si="0"/>
        <v>25213.441404804922</v>
      </c>
      <c r="H9" s="10">
        <f t="shared" si="0"/>
        <v>17994.701769103427</v>
      </c>
      <c r="I9" s="10">
        <f t="shared" si="0"/>
        <v>17657.086969480253</v>
      </c>
      <c r="J9" s="10">
        <f t="shared" si="0"/>
        <v>20332.076018935477</v>
      </c>
      <c r="K9" s="10">
        <f t="shared" si="0"/>
        <v>32922.121598108381</v>
      </c>
      <c r="L9" s="10">
        <f t="shared" si="0"/>
        <v>12971.443213370891</v>
      </c>
      <c r="M9" s="10">
        <f t="shared" si="0"/>
        <v>68344.976585987664</v>
      </c>
      <c r="O9" s="84"/>
    </row>
    <row r="10" spans="1:15" x14ac:dyDescent="0.2">
      <c r="A10" s="7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O10" s="135"/>
    </row>
    <row r="11" spans="1:15" ht="15" x14ac:dyDescent="0.25">
      <c r="A11" s="7" t="s">
        <v>99</v>
      </c>
      <c r="B11" s="83">
        <v>0</v>
      </c>
      <c r="C11" s="83">
        <f>B13</f>
        <v>66198.104398808966</v>
      </c>
      <c r="D11" s="83">
        <f t="shared" ref="D11:M11" si="1">C13</f>
        <v>175679.6247615355</v>
      </c>
      <c r="E11" s="83">
        <f t="shared" si="1"/>
        <v>269495.0142361343</v>
      </c>
      <c r="F11" s="83">
        <f t="shared" si="1"/>
        <v>312674.84001349419</v>
      </c>
      <c r="G11" s="83">
        <f t="shared" si="1"/>
        <v>357168.27945212467</v>
      </c>
      <c r="H11" s="83">
        <f t="shared" si="1"/>
        <v>382381.72085692961</v>
      </c>
      <c r="I11" s="83">
        <f t="shared" si="1"/>
        <v>400376.42262603302</v>
      </c>
      <c r="J11" s="83">
        <f>I13</f>
        <v>418033.50959551329</v>
      </c>
      <c r="K11" s="83">
        <f t="shared" si="1"/>
        <v>438365.58561444876</v>
      </c>
      <c r="L11" s="83">
        <f t="shared" si="1"/>
        <v>471287.70721255714</v>
      </c>
      <c r="M11" s="83">
        <f t="shared" si="1"/>
        <v>484259.15042592806</v>
      </c>
      <c r="N11" s="65"/>
      <c r="O11" s="10"/>
    </row>
    <row r="12" spans="1:15" ht="15" x14ac:dyDescent="0.25">
      <c r="A12" s="7" t="s">
        <v>100</v>
      </c>
      <c r="B12" s="31">
        <f>B9</f>
        <v>66198.104398808966</v>
      </c>
      <c r="C12" s="31">
        <f t="shared" ref="C12:M12" si="2">C9</f>
        <v>109481.52036272653</v>
      </c>
      <c r="D12" s="31">
        <f t="shared" si="2"/>
        <v>93815.389474598807</v>
      </c>
      <c r="E12" s="31">
        <f t="shared" si="2"/>
        <v>43179.825777359889</v>
      </c>
      <c r="F12" s="31">
        <f t="shared" si="2"/>
        <v>44493.439438630463</v>
      </c>
      <c r="G12" s="31">
        <f t="shared" si="2"/>
        <v>25213.441404804922</v>
      </c>
      <c r="H12" s="31">
        <f t="shared" si="2"/>
        <v>17994.701769103427</v>
      </c>
      <c r="I12" s="31">
        <f t="shared" si="2"/>
        <v>17657.086969480253</v>
      </c>
      <c r="J12" s="31">
        <f t="shared" si="2"/>
        <v>20332.076018935477</v>
      </c>
      <c r="K12" s="31">
        <f t="shared" si="2"/>
        <v>32922.121598108381</v>
      </c>
      <c r="L12" s="31">
        <f t="shared" si="2"/>
        <v>12971.443213370891</v>
      </c>
      <c r="M12" s="31">
        <f t="shared" si="2"/>
        <v>68344.976585987664</v>
      </c>
      <c r="N12" s="65"/>
      <c r="O12" s="10"/>
    </row>
    <row r="13" spans="1:15" s="48" customFormat="1" ht="15" x14ac:dyDescent="0.25">
      <c r="A13" s="42" t="s">
        <v>101</v>
      </c>
      <c r="B13" s="10">
        <f>SUM(B11:B12)</f>
        <v>66198.104398808966</v>
      </c>
      <c r="C13" s="10">
        <f t="shared" ref="C13:M13" si="3">SUM(C11:C12)</f>
        <v>175679.6247615355</v>
      </c>
      <c r="D13" s="10">
        <f t="shared" si="3"/>
        <v>269495.0142361343</v>
      </c>
      <c r="E13" s="10">
        <f t="shared" si="3"/>
        <v>312674.84001349419</v>
      </c>
      <c r="F13" s="10">
        <f t="shared" si="3"/>
        <v>357168.27945212467</v>
      </c>
      <c r="G13" s="10">
        <f t="shared" si="3"/>
        <v>382381.72085692961</v>
      </c>
      <c r="H13" s="10">
        <f t="shared" si="3"/>
        <v>400376.42262603302</v>
      </c>
      <c r="I13" s="10">
        <f t="shared" si="3"/>
        <v>418033.50959551329</v>
      </c>
      <c r="J13" s="10">
        <f t="shared" si="3"/>
        <v>438365.58561444876</v>
      </c>
      <c r="K13" s="10">
        <f t="shared" si="3"/>
        <v>471287.70721255714</v>
      </c>
      <c r="L13" s="10">
        <f t="shared" si="3"/>
        <v>484259.15042592806</v>
      </c>
      <c r="M13" s="10">
        <f t="shared" si="3"/>
        <v>552604.12701191567</v>
      </c>
      <c r="N13" s="77"/>
      <c r="O13" s="10"/>
    </row>
    <row r="14" spans="1:15" ht="15" x14ac:dyDescent="0.25">
      <c r="A14" s="7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5"/>
      <c r="O14" s="10"/>
    </row>
    <row r="15" spans="1:15" x14ac:dyDescent="0.2">
      <c r="A15" s="7" t="s">
        <v>13</v>
      </c>
      <c r="B15" s="136">
        <v>5.4899999999999997E-2</v>
      </c>
      <c r="C15" s="136">
        <v>5.4899999999999997E-2</v>
      </c>
      <c r="D15" s="136">
        <v>5.4899999999999997E-2</v>
      </c>
      <c r="E15" s="136">
        <v>5.4899999999999997E-2</v>
      </c>
      <c r="F15" s="136">
        <v>5.4899999999999997E-2</v>
      </c>
      <c r="G15" s="136">
        <v>5.4899999999999997E-2</v>
      </c>
      <c r="H15" s="136">
        <v>5.1999999999999998E-2</v>
      </c>
      <c r="I15" s="136">
        <v>5.1999999999999998E-2</v>
      </c>
      <c r="J15" s="136">
        <v>5.1999999999999998E-2</v>
      </c>
      <c r="K15" s="136">
        <v>4.3999999999999997E-2</v>
      </c>
      <c r="L15" s="136">
        <v>4.3999999999999997E-2</v>
      </c>
      <c r="M15" s="136">
        <v>4.3999999999999997E-2</v>
      </c>
      <c r="N15" s="65"/>
      <c r="O15" s="137">
        <f>(Summary!D7+Summary!E7+Summary!F7+Summary!G7)/4</f>
        <v>3.1550000000000002E-2</v>
      </c>
    </row>
    <row r="16" spans="1:15" ht="15" x14ac:dyDescent="0.25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5"/>
      <c r="O16" s="10"/>
    </row>
    <row r="17" spans="1:15" x14ac:dyDescent="0.2">
      <c r="A17" s="7" t="s">
        <v>14</v>
      </c>
      <c r="B17" s="83">
        <v>0</v>
      </c>
      <c r="C17" s="83">
        <f>B19</f>
        <v>0</v>
      </c>
      <c r="D17" s="83">
        <f t="shared" ref="D17:M17" si="4">C19</f>
        <v>302.856327624551</v>
      </c>
      <c r="E17" s="83">
        <f t="shared" si="4"/>
        <v>1106.5906109085759</v>
      </c>
      <c r="F17" s="83">
        <f t="shared" si="4"/>
        <v>2339.5303010388902</v>
      </c>
      <c r="G17" s="83">
        <f t="shared" si="4"/>
        <v>3770.0176941006262</v>
      </c>
      <c r="H17" s="83">
        <f t="shared" si="4"/>
        <v>5404.0625725940963</v>
      </c>
      <c r="I17" s="83">
        <f t="shared" si="4"/>
        <v>7061.0500296407909</v>
      </c>
      <c r="J17" s="83">
        <f t="shared" si="4"/>
        <v>8796.0145276869334</v>
      </c>
      <c r="K17" s="83">
        <f t="shared" si="4"/>
        <v>10607.493069267492</v>
      </c>
      <c r="L17" s="83">
        <f t="shared" si="4"/>
        <v>12214.833549853804</v>
      </c>
      <c r="M17" s="83">
        <f t="shared" si="4"/>
        <v>13942.888476299846</v>
      </c>
      <c r="N17" s="65"/>
      <c r="O17" s="83">
        <f t="shared" ref="O17" si="5">M19</f>
        <v>15718.505361194915</v>
      </c>
    </row>
    <row r="18" spans="1:15" x14ac:dyDescent="0.2">
      <c r="A18" s="7" t="s">
        <v>15</v>
      </c>
      <c r="B18" s="31">
        <f t="shared" ref="B18:M18" si="6">B11*B15/12</f>
        <v>0</v>
      </c>
      <c r="C18" s="31">
        <f t="shared" si="6"/>
        <v>302.856327624551</v>
      </c>
      <c r="D18" s="31">
        <f t="shared" si="6"/>
        <v>803.73428328402485</v>
      </c>
      <c r="E18" s="31">
        <f t="shared" si="6"/>
        <v>1232.9396901303144</v>
      </c>
      <c r="F18" s="31">
        <f t="shared" si="6"/>
        <v>1430.4873930617359</v>
      </c>
      <c r="G18" s="31">
        <f t="shared" si="6"/>
        <v>1634.0448784934704</v>
      </c>
      <c r="H18" s="31">
        <f t="shared" si="6"/>
        <v>1656.9874570466948</v>
      </c>
      <c r="I18" s="31">
        <f t="shared" si="6"/>
        <v>1734.9644980461428</v>
      </c>
      <c r="J18" s="31">
        <f t="shared" si="6"/>
        <v>1811.4785415805575</v>
      </c>
      <c r="K18" s="31">
        <f t="shared" si="6"/>
        <v>1607.340480586312</v>
      </c>
      <c r="L18" s="31">
        <f t="shared" si="6"/>
        <v>1728.0549264460426</v>
      </c>
      <c r="M18" s="31">
        <f t="shared" si="6"/>
        <v>1775.6168848950695</v>
      </c>
      <c r="N18" s="65"/>
      <c r="O18" s="31">
        <f>M13*O15</f>
        <v>17434.660207225941</v>
      </c>
    </row>
    <row r="19" spans="1:15" ht="15" x14ac:dyDescent="0.25">
      <c r="A19" s="33" t="s">
        <v>16</v>
      </c>
      <c r="B19" s="11">
        <f>SUM(B17:B18)</f>
        <v>0</v>
      </c>
      <c r="C19" s="11">
        <f t="shared" ref="C19:M19" si="7">SUM(C17:C18)</f>
        <v>302.856327624551</v>
      </c>
      <c r="D19" s="11">
        <f t="shared" si="7"/>
        <v>1106.5906109085759</v>
      </c>
      <c r="E19" s="11">
        <f t="shared" si="7"/>
        <v>2339.5303010388902</v>
      </c>
      <c r="F19" s="11">
        <f t="shared" si="7"/>
        <v>3770.0176941006262</v>
      </c>
      <c r="G19" s="11">
        <f t="shared" si="7"/>
        <v>5404.0625725940963</v>
      </c>
      <c r="H19" s="11">
        <f t="shared" si="7"/>
        <v>7061.0500296407909</v>
      </c>
      <c r="I19" s="11">
        <f t="shared" si="7"/>
        <v>8796.0145276869334</v>
      </c>
      <c r="J19" s="11">
        <f t="shared" si="7"/>
        <v>10607.493069267492</v>
      </c>
      <c r="K19" s="11">
        <f t="shared" si="7"/>
        <v>12214.833549853804</v>
      </c>
      <c r="L19" s="11">
        <f t="shared" si="7"/>
        <v>13942.888476299846</v>
      </c>
      <c r="M19" s="11">
        <f t="shared" si="7"/>
        <v>15718.505361194915</v>
      </c>
      <c r="N19" s="65"/>
      <c r="O19" s="11">
        <f>SUM(O17:O18)</f>
        <v>33153.165568420853</v>
      </c>
    </row>
    <row r="20" spans="1:15" ht="15" x14ac:dyDescent="0.25">
      <c r="A20" s="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O20" s="30"/>
    </row>
    <row r="21" spans="1:15" x14ac:dyDescent="0.2">
      <c r="E21" s="86"/>
      <c r="F21" s="86"/>
      <c r="G21" s="86"/>
      <c r="H21" s="86"/>
      <c r="I21" s="86"/>
    </row>
    <row r="22" spans="1:15" ht="15" x14ac:dyDescent="0.25">
      <c r="A22" s="12" t="s">
        <v>102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1:15" ht="45" x14ac:dyDescent="0.2">
      <c r="A23" s="14"/>
      <c r="B23" s="14" t="s">
        <v>36</v>
      </c>
      <c r="C23" s="14" t="s">
        <v>46</v>
      </c>
      <c r="D23" s="14" t="s">
        <v>49</v>
      </c>
      <c r="E23" s="86"/>
      <c r="F23" s="86"/>
      <c r="G23" s="86"/>
      <c r="H23" s="86"/>
      <c r="I23" s="86"/>
      <c r="J23" s="138"/>
      <c r="K23" s="138"/>
      <c r="L23" s="86"/>
    </row>
    <row r="24" spans="1:15" x14ac:dyDescent="0.2">
      <c r="A24" s="51" t="s">
        <v>34</v>
      </c>
      <c r="B24" s="52">
        <f>M13</f>
        <v>552604.12701191567</v>
      </c>
      <c r="C24" s="52"/>
      <c r="D24" s="52">
        <f>B24+C24</f>
        <v>552604.12701191567</v>
      </c>
      <c r="E24" s="86"/>
      <c r="F24" s="86"/>
      <c r="G24" s="86"/>
      <c r="H24" s="86"/>
      <c r="I24" s="86"/>
      <c r="J24" s="86"/>
      <c r="K24" s="86"/>
      <c r="L24" s="86"/>
    </row>
    <row r="25" spans="1:15" x14ac:dyDescent="0.2">
      <c r="A25" s="16" t="s">
        <v>35</v>
      </c>
      <c r="B25" s="56">
        <f>M19</f>
        <v>15718.505361194915</v>
      </c>
      <c r="C25" s="56">
        <f>O18</f>
        <v>17434.660207225941</v>
      </c>
      <c r="D25" s="56">
        <f t="shared" ref="D25:D26" si="8">B25+C25</f>
        <v>33153.165568420853</v>
      </c>
      <c r="E25" s="86"/>
      <c r="F25" s="86"/>
      <c r="G25" s="86"/>
      <c r="H25" s="86"/>
      <c r="I25" s="86"/>
      <c r="J25" s="139"/>
      <c r="K25" s="139"/>
      <c r="L25" s="86"/>
    </row>
    <row r="26" spans="1:15" ht="15" x14ac:dyDescent="0.25">
      <c r="A26" s="22" t="s">
        <v>17</v>
      </c>
      <c r="B26" s="53">
        <f>B25+B24</f>
        <v>568322.63237311062</v>
      </c>
      <c r="C26" s="53">
        <f t="shared" ref="C26" si="9">C25+C24</f>
        <v>17434.660207225941</v>
      </c>
      <c r="D26" s="53">
        <f t="shared" si="8"/>
        <v>585757.29258033657</v>
      </c>
      <c r="E26" s="86"/>
      <c r="F26" s="86"/>
      <c r="G26" s="86"/>
      <c r="H26" s="86"/>
      <c r="I26" s="86"/>
      <c r="J26" s="86"/>
      <c r="K26" s="86"/>
      <c r="L26" s="86"/>
    </row>
    <row r="27" spans="1:15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</row>
    <row r="29" spans="1:15" ht="15" x14ac:dyDescent="0.25">
      <c r="A29" s="12" t="s">
        <v>154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5" ht="15" x14ac:dyDescent="0.2">
      <c r="A30" s="14"/>
      <c r="B30" s="14" t="s">
        <v>18</v>
      </c>
      <c r="C30" s="14" t="s">
        <v>19</v>
      </c>
      <c r="D30" s="14" t="s">
        <v>25</v>
      </c>
      <c r="E30" s="14" t="s">
        <v>126</v>
      </c>
      <c r="F30" s="138"/>
      <c r="G30" s="138"/>
      <c r="H30" s="86"/>
    </row>
    <row r="31" spans="1:15" ht="16.5" x14ac:dyDescent="0.2">
      <c r="A31" s="16" t="s">
        <v>24</v>
      </c>
      <c r="B31" s="17" t="s">
        <v>27</v>
      </c>
      <c r="C31" s="18">
        <f>SUM(D31:E31)</f>
        <v>552604.12701191555</v>
      </c>
      <c r="D31" s="18">
        <f>C45</f>
        <v>531683.12268763653</v>
      </c>
      <c r="E31" s="18">
        <f>C46</f>
        <v>20921.004324279056</v>
      </c>
      <c r="F31" s="86"/>
      <c r="G31" s="86"/>
      <c r="H31" s="86"/>
    </row>
    <row r="32" spans="1:15" x14ac:dyDescent="0.2">
      <c r="A32" s="16" t="s">
        <v>22</v>
      </c>
      <c r="B32" s="19" t="s">
        <v>20</v>
      </c>
      <c r="C32" s="20">
        <f>SUM(D32:E32)</f>
        <v>1</v>
      </c>
      <c r="D32" s="20">
        <f>D45</f>
        <v>0.9621410639160356</v>
      </c>
      <c r="E32" s="20">
        <f>D46</f>
        <v>3.7858936083964401E-2</v>
      </c>
      <c r="F32" s="139"/>
      <c r="G32" s="139"/>
      <c r="H32" s="86"/>
    </row>
    <row r="33" spans="1:8" ht="15" x14ac:dyDescent="0.25">
      <c r="A33" s="22" t="s">
        <v>17</v>
      </c>
      <c r="B33" s="23" t="s">
        <v>21</v>
      </c>
      <c r="C33" s="24">
        <f>SUM(D33:E33)</f>
        <v>585757.29258033657</v>
      </c>
      <c r="D33" s="24">
        <f>D32*($O$19+$M$13)</f>
        <v>563581.14467982156</v>
      </c>
      <c r="E33" s="24">
        <f>E32*($O$19+$M$13)</f>
        <v>22176.147900514996</v>
      </c>
      <c r="F33" s="86"/>
      <c r="G33" s="86"/>
      <c r="H33" s="86"/>
    </row>
    <row r="34" spans="1:8" x14ac:dyDescent="0.2">
      <c r="A34" s="86"/>
      <c r="B34" s="86"/>
      <c r="C34" s="86"/>
      <c r="D34" s="86"/>
      <c r="E34" s="86"/>
      <c r="F34" s="86"/>
      <c r="G34" s="86"/>
      <c r="H34" s="86"/>
    </row>
    <row r="36" spans="1:8" ht="15" x14ac:dyDescent="0.25">
      <c r="A36" s="12" t="s">
        <v>155</v>
      </c>
      <c r="B36" s="86"/>
      <c r="C36" s="86"/>
      <c r="D36" s="86"/>
      <c r="E36" s="86"/>
      <c r="F36" s="86"/>
      <c r="G36" s="86"/>
      <c r="H36" s="86"/>
    </row>
    <row r="37" spans="1:8" ht="15" x14ac:dyDescent="0.2">
      <c r="A37" s="14"/>
      <c r="B37" s="14" t="s">
        <v>18</v>
      </c>
      <c r="C37" s="14" t="s">
        <v>19</v>
      </c>
      <c r="D37" s="14" t="s">
        <v>25</v>
      </c>
      <c r="E37" s="14" t="s">
        <v>126</v>
      </c>
    </row>
    <row r="38" spans="1:8" x14ac:dyDescent="0.2">
      <c r="A38" s="16" t="s">
        <v>159</v>
      </c>
      <c r="B38" s="17" t="s">
        <v>160</v>
      </c>
      <c r="C38" s="18">
        <f>SUM(D38:E38)</f>
        <v>5574</v>
      </c>
      <c r="D38" s="18">
        <f>'Load Forecast'!A12</f>
        <v>5503</v>
      </c>
      <c r="E38" s="18">
        <f>'Load Forecast'!B12</f>
        <v>71</v>
      </c>
    </row>
    <row r="39" spans="1:8" x14ac:dyDescent="0.2">
      <c r="A39" s="16" t="s">
        <v>22</v>
      </c>
      <c r="B39" s="19" t="s">
        <v>20</v>
      </c>
      <c r="C39" s="20">
        <f>SUM(D39:E39)</f>
        <v>1</v>
      </c>
      <c r="D39" s="25">
        <f t="shared" ref="D39:E39" si="10">D32</f>
        <v>0.9621410639160356</v>
      </c>
      <c r="E39" s="25">
        <f t="shared" si="10"/>
        <v>3.7858936083964401E-2</v>
      </c>
    </row>
    <row r="40" spans="1:8" ht="15" x14ac:dyDescent="0.25">
      <c r="A40" s="26" t="s">
        <v>17</v>
      </c>
      <c r="B40" s="27" t="s">
        <v>21</v>
      </c>
      <c r="C40" s="57">
        <f>SUM(D40:E40)</f>
        <v>585757.29258033657</v>
      </c>
      <c r="D40" s="28">
        <f>D38*D41*12</f>
        <v>563581.14467982156</v>
      </c>
      <c r="E40" s="28">
        <f>E38*E41*12</f>
        <v>22176.147900514996</v>
      </c>
    </row>
    <row r="41" spans="1:8" ht="15" x14ac:dyDescent="0.25">
      <c r="A41" s="22" t="s">
        <v>23</v>
      </c>
      <c r="B41" s="23" t="s">
        <v>161</v>
      </c>
      <c r="C41" s="29"/>
      <c r="D41" s="132">
        <f>D33/D38/12</f>
        <v>8.53445309649012</v>
      </c>
      <c r="E41" s="132">
        <f>E33/E38/12</f>
        <v>26.028342606238258</v>
      </c>
    </row>
    <row r="44" spans="1:8" ht="30" x14ac:dyDescent="0.2">
      <c r="A44" s="131" t="s">
        <v>158</v>
      </c>
      <c r="B44" s="14" t="s">
        <v>156</v>
      </c>
      <c r="C44" s="14" t="s">
        <v>157</v>
      </c>
      <c r="D44" s="14" t="s">
        <v>22</v>
      </c>
    </row>
    <row r="45" spans="1:8" x14ac:dyDescent="0.2">
      <c r="A45" s="122" t="s">
        <v>33</v>
      </c>
      <c r="B45" s="123">
        <v>1063366.2453752731</v>
      </c>
      <c r="C45" s="123">
        <f>B45/2</f>
        <v>531683.12268763653</v>
      </c>
      <c r="D45" s="128">
        <f>C45/$C$47</f>
        <v>0.9621410639160356</v>
      </c>
    </row>
    <row r="46" spans="1:8" ht="16.5" x14ac:dyDescent="0.35">
      <c r="A46" s="124" t="s">
        <v>134</v>
      </c>
      <c r="B46" s="127">
        <v>41842.008648558112</v>
      </c>
      <c r="C46" s="127">
        <f>B46/2</f>
        <v>20921.004324279056</v>
      </c>
      <c r="D46" s="130">
        <f t="shared" ref="D46:D47" si="11">C46/$C$47</f>
        <v>3.7858936083964401E-2</v>
      </c>
    </row>
    <row r="47" spans="1:8" ht="15" x14ac:dyDescent="0.25">
      <c r="A47" s="125" t="s">
        <v>17</v>
      </c>
      <c r="B47" s="126">
        <f>SUM(B45:B46)</f>
        <v>1105208.2540238311</v>
      </c>
      <c r="C47" s="126">
        <f>SUM(C45:C46)</f>
        <v>552604.12701191555</v>
      </c>
      <c r="D47" s="129">
        <f t="shared" si="11"/>
        <v>1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9"/>
  <sheetViews>
    <sheetView showGridLines="0" zoomScale="85" zoomScaleNormal="85" zoomScaleSheetLayoutView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4.25" x14ac:dyDescent="0.2"/>
  <cols>
    <col min="1" max="1" width="44.5703125" style="38" customWidth="1"/>
    <col min="2" max="6" width="11.7109375" style="38" bestFit="1" customWidth="1"/>
    <col min="7" max="7" width="12.5703125" style="38" customWidth="1"/>
    <col min="8" max="8" width="10.7109375" style="38" bestFit="1" customWidth="1"/>
    <col min="9" max="13" width="11.7109375" style="38" bestFit="1" customWidth="1"/>
    <col min="14" max="18" width="11.7109375" style="38" customWidth="1"/>
    <col min="19" max="19" width="10.7109375" style="38" customWidth="1"/>
    <col min="20" max="21" width="10" style="38" customWidth="1"/>
    <col min="22" max="25" width="11.7109375" style="38" customWidth="1"/>
    <col min="26" max="26" width="11.7109375" style="38" customWidth="1" collapsed="1"/>
    <col min="27" max="30" width="11.7109375" style="38" customWidth="1"/>
    <col min="31" max="31" width="11" style="38" customWidth="1"/>
    <col min="32" max="32" width="10.7109375" style="38" customWidth="1"/>
    <col min="33" max="33" width="10" style="38" customWidth="1"/>
    <col min="34" max="37" width="11.7109375" style="38" customWidth="1"/>
    <col min="38" max="42" width="11.7109375" style="38" bestFit="1" customWidth="1"/>
    <col min="43" max="43" width="10" style="38" bestFit="1" customWidth="1"/>
    <col min="44" max="44" width="10.7109375" style="38" bestFit="1" customWidth="1"/>
    <col min="45" max="48" width="11.7109375" style="38" bestFit="1" customWidth="1"/>
    <col min="49" max="49" width="12.140625" style="38" bestFit="1" customWidth="1"/>
    <col min="50" max="50" width="10" style="38" bestFit="1" customWidth="1"/>
    <col min="51" max="51" width="9.28515625" style="38" bestFit="1" customWidth="1"/>
    <col min="52" max="16384" width="9.140625" style="38"/>
  </cols>
  <sheetData>
    <row r="1" spans="1:14" ht="15" x14ac:dyDescent="0.25">
      <c r="A1" s="2" t="str">
        <f>CIACVA!A1</f>
        <v>EPCOR Natural Gas Limited Partnership</v>
      </c>
    </row>
    <row r="2" spans="1:14" ht="15" x14ac:dyDescent="0.25">
      <c r="A2" s="2" t="str">
        <f>CIACVA!A2</f>
        <v>EB-2025-0177</v>
      </c>
    </row>
    <row r="3" spans="1:14" ht="15" x14ac:dyDescent="0.25">
      <c r="A3" s="2" t="s">
        <v>41</v>
      </c>
    </row>
    <row r="4" spans="1:14" ht="15" x14ac:dyDescent="0.25">
      <c r="A4" s="2" t="str">
        <f>CIACVA!A4</f>
        <v>Continuity Schedule</v>
      </c>
    </row>
    <row r="5" spans="1:14" ht="15" x14ac:dyDescent="0.25">
      <c r="A5" s="40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N5" s="4">
        <v>2025</v>
      </c>
    </row>
    <row r="6" spans="1:14" ht="15" x14ac:dyDescent="0.25">
      <c r="A6" s="41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6" t="s">
        <v>29</v>
      </c>
    </row>
    <row r="7" spans="1:14" ht="15" x14ac:dyDescent="0.25">
      <c r="A7" s="44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s="48" customFormat="1" ht="15" x14ac:dyDescent="0.25">
      <c r="A8" s="44" t="s">
        <v>104</v>
      </c>
      <c r="B8" s="10">
        <v>-9889.7149611474943</v>
      </c>
      <c r="C8" s="10">
        <v>5763.0556522623983</v>
      </c>
      <c r="D8" s="10">
        <v>-14671.573385288259</v>
      </c>
      <c r="E8" s="10">
        <v>782.95808235542586</v>
      </c>
      <c r="F8" s="10">
        <v>-5311.887100891624</v>
      </c>
      <c r="G8" s="10">
        <v>-3906.6776836875079</v>
      </c>
      <c r="H8" s="10">
        <v>-1079.3599893020912</v>
      </c>
      <c r="I8" s="10">
        <v>-3729.1693166252207</v>
      </c>
      <c r="J8" s="10">
        <v>230.58240115797031</v>
      </c>
      <c r="K8" s="10">
        <v>-5713.7716641725156</v>
      </c>
      <c r="L8" s="10">
        <v>-235.29320475933034</v>
      </c>
      <c r="M8" s="10">
        <v>4332.5844210283649</v>
      </c>
      <c r="N8" s="77"/>
    </row>
    <row r="9" spans="1:14" x14ac:dyDescent="0.2">
      <c r="A9" s="6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1"/>
    </row>
    <row r="10" spans="1:14" ht="15" x14ac:dyDescent="0.25">
      <c r="A10" s="65" t="s">
        <v>30</v>
      </c>
      <c r="B10" s="10">
        <v>-46484.690742176404</v>
      </c>
      <c r="C10" s="9">
        <f>B12</f>
        <v>-56374.405703323901</v>
      </c>
      <c r="D10" s="9">
        <f t="shared" ref="D10:M10" si="0">C12</f>
        <v>-50611.350051061505</v>
      </c>
      <c r="E10" s="9">
        <f t="shared" si="0"/>
        <v>-65282.923436349767</v>
      </c>
      <c r="F10" s="9">
        <f t="shared" si="0"/>
        <v>-64499.965353994339</v>
      </c>
      <c r="G10" s="9">
        <f t="shared" si="0"/>
        <v>-69811.852454885957</v>
      </c>
      <c r="H10" s="9">
        <f t="shared" si="0"/>
        <v>-73718.530138573464</v>
      </c>
      <c r="I10" s="9">
        <f t="shared" si="0"/>
        <v>-74797.890127875551</v>
      </c>
      <c r="J10" s="9">
        <f t="shared" si="0"/>
        <v>-78527.059444500774</v>
      </c>
      <c r="K10" s="9">
        <f t="shared" si="0"/>
        <v>-78296.477043342806</v>
      </c>
      <c r="L10" s="9">
        <f t="shared" si="0"/>
        <v>-84010.248707515319</v>
      </c>
      <c r="M10" s="9">
        <f t="shared" si="0"/>
        <v>-84245.541912274653</v>
      </c>
      <c r="N10" s="41"/>
    </row>
    <row r="11" spans="1:14" ht="15" x14ac:dyDescent="0.25">
      <c r="A11" s="65" t="s">
        <v>50</v>
      </c>
      <c r="B11" s="31">
        <f>B8</f>
        <v>-9889.7149611474943</v>
      </c>
      <c r="C11" s="31">
        <f t="shared" ref="C11:M11" si="1">C8</f>
        <v>5763.0556522623983</v>
      </c>
      <c r="D11" s="31">
        <f t="shared" si="1"/>
        <v>-14671.573385288259</v>
      </c>
      <c r="E11" s="31">
        <f t="shared" si="1"/>
        <v>782.95808235542586</v>
      </c>
      <c r="F11" s="31">
        <f t="shared" si="1"/>
        <v>-5311.887100891624</v>
      </c>
      <c r="G11" s="31">
        <f t="shared" si="1"/>
        <v>-3906.6776836875079</v>
      </c>
      <c r="H11" s="31">
        <f t="shared" si="1"/>
        <v>-1079.3599893020912</v>
      </c>
      <c r="I11" s="31">
        <f t="shared" si="1"/>
        <v>-3729.1693166252207</v>
      </c>
      <c r="J11" s="31">
        <f t="shared" si="1"/>
        <v>230.58240115797031</v>
      </c>
      <c r="K11" s="31">
        <f t="shared" si="1"/>
        <v>-5713.7716641725156</v>
      </c>
      <c r="L11" s="31">
        <f t="shared" si="1"/>
        <v>-235.29320475933034</v>
      </c>
      <c r="M11" s="31">
        <f t="shared" si="1"/>
        <v>4332.5844210283649</v>
      </c>
      <c r="N11" s="41"/>
    </row>
    <row r="12" spans="1:14" ht="15" x14ac:dyDescent="0.25">
      <c r="A12" s="65" t="s">
        <v>31</v>
      </c>
      <c r="B12" s="72">
        <f t="shared" ref="B12:M12" si="2">B10+B11</f>
        <v>-56374.405703323901</v>
      </c>
      <c r="C12" s="72">
        <f t="shared" si="2"/>
        <v>-50611.350051061505</v>
      </c>
      <c r="D12" s="72">
        <f t="shared" si="2"/>
        <v>-65282.923436349767</v>
      </c>
      <c r="E12" s="72">
        <f t="shared" si="2"/>
        <v>-64499.965353994339</v>
      </c>
      <c r="F12" s="72">
        <f t="shared" si="2"/>
        <v>-69811.852454885957</v>
      </c>
      <c r="G12" s="72">
        <f t="shared" si="2"/>
        <v>-73718.530138573464</v>
      </c>
      <c r="H12" s="72">
        <f t="shared" si="2"/>
        <v>-74797.890127875551</v>
      </c>
      <c r="I12" s="72">
        <f t="shared" si="2"/>
        <v>-78527.059444500774</v>
      </c>
      <c r="J12" s="72">
        <f t="shared" si="2"/>
        <v>-78296.477043342806</v>
      </c>
      <c r="K12" s="72">
        <f t="shared" si="2"/>
        <v>-84010.248707515319</v>
      </c>
      <c r="L12" s="72">
        <f t="shared" si="2"/>
        <v>-84245.541912274653</v>
      </c>
      <c r="M12" s="98">
        <f t="shared" si="2"/>
        <v>-79912.957491246285</v>
      </c>
      <c r="N12" s="41"/>
    </row>
    <row r="13" spans="1:14" x14ac:dyDescent="0.2">
      <c r="A13" s="6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1"/>
    </row>
    <row r="14" spans="1:14" ht="15" x14ac:dyDescent="0.25">
      <c r="A14" s="44" t="s">
        <v>32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1"/>
    </row>
    <row r="15" spans="1:14" x14ac:dyDescent="0.2">
      <c r="A15" s="79" t="s">
        <v>13</v>
      </c>
      <c r="B15" s="73">
        <v>5.4899999999999997E-2</v>
      </c>
      <c r="C15" s="73">
        <v>5.4899999999999997E-2</v>
      </c>
      <c r="D15" s="73">
        <v>5.4899999999999997E-2</v>
      </c>
      <c r="E15" s="73">
        <v>5.4899999999999997E-2</v>
      </c>
      <c r="F15" s="73">
        <v>5.4899999999999997E-2</v>
      </c>
      <c r="G15" s="73">
        <v>5.4899999999999997E-2</v>
      </c>
      <c r="H15" s="73">
        <v>5.1999999999999998E-2</v>
      </c>
      <c r="I15" s="73">
        <v>5.1999999999999998E-2</v>
      </c>
      <c r="J15" s="73">
        <v>5.1999999999999998E-2</v>
      </c>
      <c r="K15" s="73">
        <v>4.3999999999999997E-2</v>
      </c>
      <c r="L15" s="73">
        <v>4.3999999999999997E-2</v>
      </c>
      <c r="M15" s="73">
        <v>4.3999999999999997E-2</v>
      </c>
      <c r="N15" s="73">
        <f>CIACVA!O16</f>
        <v>3.1550000000000002E-2</v>
      </c>
    </row>
    <row r="16" spans="1:14" x14ac:dyDescent="0.2">
      <c r="A16" s="80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5"/>
    </row>
    <row r="17" spans="1:48" x14ac:dyDescent="0.2">
      <c r="A17" s="79" t="s">
        <v>14</v>
      </c>
      <c r="B17" s="72">
        <v>-5405.1399999999994</v>
      </c>
      <c r="C17" s="72">
        <f t="shared" ref="C17:M17" si="3">B19</f>
        <v>-5617.8074601454564</v>
      </c>
      <c r="D17" s="72">
        <f t="shared" si="3"/>
        <v>-5875.7203662381635</v>
      </c>
      <c r="E17" s="72">
        <f t="shared" si="3"/>
        <v>-6107.26729272177</v>
      </c>
      <c r="F17" s="72">
        <f t="shared" si="3"/>
        <v>-6405.9366674430703</v>
      </c>
      <c r="G17" s="72">
        <f t="shared" si="3"/>
        <v>-6701.0240089375948</v>
      </c>
      <c r="H17" s="72">
        <f t="shared" si="3"/>
        <v>-7020.4132339186981</v>
      </c>
      <c r="I17" s="72">
        <f t="shared" si="3"/>
        <v>-7339.8601978525166</v>
      </c>
      <c r="J17" s="72">
        <f t="shared" si="3"/>
        <v>-7663.984388406644</v>
      </c>
      <c r="K17" s="72">
        <f t="shared" si="3"/>
        <v>-8004.2683126661477</v>
      </c>
      <c r="L17" s="72">
        <f t="shared" si="3"/>
        <v>-8291.3553951584054</v>
      </c>
      <c r="M17" s="72">
        <f t="shared" si="3"/>
        <v>-8599.3929737526287</v>
      </c>
      <c r="N17" s="72">
        <f>M19</f>
        <v>-8908.2932940976352</v>
      </c>
    </row>
    <row r="18" spans="1:48" x14ac:dyDescent="0.2">
      <c r="A18" s="81" t="s">
        <v>15</v>
      </c>
      <c r="B18" s="76">
        <f t="shared" ref="B18:M18" si="4">B10*B15/12</f>
        <v>-212.66746014545706</v>
      </c>
      <c r="C18" s="76">
        <f t="shared" si="4"/>
        <v>-257.91290609270681</v>
      </c>
      <c r="D18" s="76">
        <f t="shared" si="4"/>
        <v>-231.54692648360637</v>
      </c>
      <c r="E18" s="76">
        <f t="shared" si="4"/>
        <v>-298.66937472130019</v>
      </c>
      <c r="F18" s="76">
        <f t="shared" si="4"/>
        <v>-295.08734149452408</v>
      </c>
      <c r="G18" s="76">
        <f t="shared" si="4"/>
        <v>-319.38922498110327</v>
      </c>
      <c r="H18" s="76">
        <f t="shared" si="4"/>
        <v>-319.44696393381832</v>
      </c>
      <c r="I18" s="76">
        <f t="shared" si="4"/>
        <v>-324.12419055412738</v>
      </c>
      <c r="J18" s="76">
        <f t="shared" si="4"/>
        <v>-340.28392425950335</v>
      </c>
      <c r="K18" s="76">
        <f t="shared" si="4"/>
        <v>-287.08708249225691</v>
      </c>
      <c r="L18" s="76">
        <f t="shared" si="4"/>
        <v>-308.03757859422279</v>
      </c>
      <c r="M18" s="76">
        <f t="shared" si="4"/>
        <v>-308.90032034500706</v>
      </c>
      <c r="N18" s="76">
        <f>N15*M12</f>
        <v>-2521.2538088488204</v>
      </c>
    </row>
    <row r="19" spans="1:48" ht="15" x14ac:dyDescent="0.25">
      <c r="A19" s="97" t="s">
        <v>16</v>
      </c>
      <c r="B19" s="74">
        <f t="shared" ref="B19:N19" si="5">B17+B18</f>
        <v>-5617.8074601454564</v>
      </c>
      <c r="C19" s="74">
        <f t="shared" si="5"/>
        <v>-5875.7203662381635</v>
      </c>
      <c r="D19" s="74">
        <f t="shared" si="5"/>
        <v>-6107.26729272177</v>
      </c>
      <c r="E19" s="74">
        <f t="shared" si="5"/>
        <v>-6405.9366674430703</v>
      </c>
      <c r="F19" s="74">
        <f t="shared" si="5"/>
        <v>-6701.0240089375948</v>
      </c>
      <c r="G19" s="74">
        <f t="shared" si="5"/>
        <v>-7020.4132339186981</v>
      </c>
      <c r="H19" s="74">
        <f t="shared" si="5"/>
        <v>-7339.8601978525166</v>
      </c>
      <c r="I19" s="74">
        <f t="shared" si="5"/>
        <v>-7663.984388406644</v>
      </c>
      <c r="J19" s="74">
        <f t="shared" si="5"/>
        <v>-8004.2683126661477</v>
      </c>
      <c r="K19" s="74">
        <f t="shared" si="5"/>
        <v>-8291.3553951584054</v>
      </c>
      <c r="L19" s="74">
        <f t="shared" si="5"/>
        <v>-8599.3929737526287</v>
      </c>
      <c r="M19" s="74">
        <f t="shared" si="5"/>
        <v>-8908.2932940976352</v>
      </c>
      <c r="N19" s="75">
        <f t="shared" si="5"/>
        <v>-11429.547102946455</v>
      </c>
    </row>
    <row r="20" spans="1:48" x14ac:dyDescent="0.2">
      <c r="J20" s="39"/>
      <c r="K20" s="39"/>
      <c r="L20" s="39"/>
      <c r="M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</row>
    <row r="21" spans="1:48" x14ac:dyDescent="0.2">
      <c r="J21" s="39"/>
      <c r="K21" s="39"/>
      <c r="L21" s="39"/>
      <c r="M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</row>
    <row r="22" spans="1:48" customFormat="1" ht="15" x14ac:dyDescent="0.25">
      <c r="A22" s="12" t="s">
        <v>37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48" customFormat="1" ht="45" x14ac:dyDescent="0.25">
      <c r="A23" s="14"/>
      <c r="B23" s="14" t="s">
        <v>36</v>
      </c>
      <c r="C23" s="14" t="s">
        <v>46</v>
      </c>
      <c r="D23" s="14" t="s">
        <v>49</v>
      </c>
      <c r="E23" s="13"/>
      <c r="F23" s="13"/>
      <c r="G23" s="13"/>
      <c r="H23" s="13"/>
      <c r="I23" s="13"/>
      <c r="J23" s="15"/>
      <c r="K23" s="15"/>
      <c r="L23" s="13"/>
    </row>
    <row r="24" spans="1:48" customFormat="1" ht="15" x14ac:dyDescent="0.25">
      <c r="A24" s="51" t="s">
        <v>34</v>
      </c>
      <c r="B24" s="52">
        <f>M12</f>
        <v>-79912.957491246285</v>
      </c>
      <c r="C24" s="52"/>
      <c r="D24" s="52">
        <f>B24+C24</f>
        <v>-79912.957491246285</v>
      </c>
      <c r="E24" s="13"/>
      <c r="F24" s="13"/>
      <c r="G24" s="13"/>
      <c r="H24" s="13"/>
      <c r="I24" s="13"/>
      <c r="J24" s="13"/>
      <c r="K24" s="13"/>
      <c r="L24" s="13"/>
    </row>
    <row r="25" spans="1:48" customFormat="1" ht="15" x14ac:dyDescent="0.25">
      <c r="A25" s="16" t="s">
        <v>35</v>
      </c>
      <c r="B25" s="56">
        <f>M19</f>
        <v>-8908.2932940976352</v>
      </c>
      <c r="C25" s="56">
        <f>N18</f>
        <v>-2521.2538088488204</v>
      </c>
      <c r="D25" s="56">
        <f t="shared" ref="D25:D26" si="6">B25+C25</f>
        <v>-11429.547102946455</v>
      </c>
      <c r="E25" s="13"/>
      <c r="F25" s="13"/>
      <c r="G25" s="13"/>
      <c r="H25" s="13"/>
      <c r="I25" s="21"/>
      <c r="J25" s="21"/>
      <c r="K25" s="13"/>
    </row>
    <row r="26" spans="1:48" customFormat="1" ht="15" x14ac:dyDescent="0.25">
      <c r="A26" s="22" t="s">
        <v>17</v>
      </c>
      <c r="B26" s="53">
        <f>B25+B24</f>
        <v>-88821.250785343917</v>
      </c>
      <c r="C26" s="53">
        <f t="shared" ref="C26" si="7">C25+C24</f>
        <v>-2521.2538088488204</v>
      </c>
      <c r="D26" s="53">
        <f t="shared" si="6"/>
        <v>-91342.504594192738</v>
      </c>
      <c r="E26" s="13"/>
      <c r="F26" s="13"/>
      <c r="G26" s="13"/>
      <c r="H26" s="13"/>
      <c r="I26" s="13"/>
      <c r="J26" s="13"/>
      <c r="K26" s="13"/>
    </row>
    <row r="27" spans="1:48" customFormat="1" ht="15" x14ac:dyDescent="0.25">
      <c r="A27" s="54"/>
      <c r="B27" s="55"/>
      <c r="C27" s="55"/>
      <c r="D27" s="55"/>
      <c r="E27" s="13"/>
      <c r="F27" s="13"/>
      <c r="G27" s="13"/>
      <c r="H27" s="13"/>
      <c r="I27" s="13"/>
      <c r="J27" s="13"/>
      <c r="K27" s="13"/>
    </row>
    <row r="28" spans="1:48" customFormat="1" ht="15" x14ac:dyDescent="0.25">
      <c r="A28" s="12" t="s">
        <v>151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48" customFormat="1" ht="15" x14ac:dyDescent="0.25">
      <c r="A29" s="14"/>
      <c r="B29" s="14" t="s">
        <v>18</v>
      </c>
      <c r="C29" s="14" t="s">
        <v>19</v>
      </c>
      <c r="D29" s="14" t="s">
        <v>25</v>
      </c>
      <c r="E29" s="14" t="s">
        <v>126</v>
      </c>
      <c r="F29" s="14" t="s">
        <v>127</v>
      </c>
      <c r="G29" s="14" t="s">
        <v>128</v>
      </c>
      <c r="H29" s="15"/>
      <c r="I29" s="15"/>
      <c r="J29" s="15"/>
      <c r="K29" s="13"/>
    </row>
    <row r="30" spans="1:48" customFormat="1" ht="16.5" x14ac:dyDescent="0.25">
      <c r="A30" s="16" t="s">
        <v>24</v>
      </c>
      <c r="B30" s="17" t="s">
        <v>27</v>
      </c>
      <c r="C30" s="18">
        <f>SUM(D30:G30)</f>
        <v>28970.883907698513</v>
      </c>
      <c r="D30" s="18">
        <f>'Load Forecast'!A19</f>
        <v>16496.69333820328</v>
      </c>
      <c r="E30" s="18">
        <f>'Load Forecast'!B19</f>
        <v>4578.0031727657351</v>
      </c>
      <c r="F30" s="18">
        <f>'Load Forecast'!C19</f>
        <v>5478.8443967294997</v>
      </c>
      <c r="G30" s="18">
        <f>'Load Forecast'!D19</f>
        <v>2417.3429999999998</v>
      </c>
      <c r="H30" s="13"/>
      <c r="I30" s="13"/>
      <c r="J30" s="13"/>
      <c r="K30" s="13"/>
    </row>
    <row r="31" spans="1:48" customFormat="1" ht="15" x14ac:dyDescent="0.25">
      <c r="A31" s="16" t="s">
        <v>22</v>
      </c>
      <c r="B31" s="19" t="s">
        <v>20</v>
      </c>
      <c r="C31" s="20">
        <f>SUM(D31:G31)</f>
        <v>0.99999999999999989</v>
      </c>
      <c r="D31" s="20">
        <f>D30/$C$30</f>
        <v>0.56942319712308009</v>
      </c>
      <c r="E31" s="20">
        <f t="shared" ref="E31:G31" si="8">E30/$C$30</f>
        <v>0.15802083178929896</v>
      </c>
      <c r="F31" s="20">
        <f t="shared" si="8"/>
        <v>0.1891155414582843</v>
      </c>
      <c r="G31" s="20">
        <f t="shared" si="8"/>
        <v>8.3440429629336663E-2</v>
      </c>
      <c r="H31" s="21"/>
      <c r="I31" s="21"/>
      <c r="J31" s="21"/>
      <c r="K31" s="13"/>
    </row>
    <row r="32" spans="1:48" customFormat="1" ht="15" x14ac:dyDescent="0.25">
      <c r="A32" s="22" t="s">
        <v>17</v>
      </c>
      <c r="B32" s="23" t="s">
        <v>21</v>
      </c>
      <c r="C32" s="24">
        <f>SUM(D32:G32)</f>
        <v>-91342.504594192738</v>
      </c>
      <c r="D32" s="24">
        <f>D31*($D$26)</f>
        <v>-52012.540999254859</v>
      </c>
      <c r="E32" s="24">
        <f t="shared" ref="E32:G32" si="9">E31*($D$26)</f>
        <v>-14434.018553692198</v>
      </c>
      <c r="F32" s="24">
        <f t="shared" si="9"/>
        <v>-17274.28721448658</v>
      </c>
      <c r="G32" s="24">
        <f t="shared" si="9"/>
        <v>-7621.6578267591003</v>
      </c>
      <c r="H32" s="13"/>
      <c r="I32" s="13"/>
      <c r="J32" s="13"/>
      <c r="K32" s="13"/>
    </row>
    <row r="33" spans="1:11" customFormat="1" ht="1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customFormat="1" ht="15" x14ac:dyDescent="0.25">
      <c r="A34" s="12" t="s">
        <v>153</v>
      </c>
      <c r="B34" s="13"/>
      <c r="C34" s="13"/>
      <c r="D34" s="13"/>
      <c r="E34" s="13"/>
      <c r="F34" s="13"/>
      <c r="G34" s="13"/>
    </row>
    <row r="35" spans="1:11" customFormat="1" ht="15" x14ac:dyDescent="0.25">
      <c r="A35" s="14"/>
      <c r="B35" s="14" t="s">
        <v>18</v>
      </c>
      <c r="C35" s="14" t="s">
        <v>19</v>
      </c>
      <c r="D35" s="14" t="s">
        <v>25</v>
      </c>
      <c r="E35" s="14" t="s">
        <v>126</v>
      </c>
      <c r="F35" s="14" t="s">
        <v>127</v>
      </c>
      <c r="G35" s="14" t="s">
        <v>18</v>
      </c>
      <c r="H35" s="14" t="s">
        <v>128</v>
      </c>
    </row>
    <row r="36" spans="1:11" customFormat="1" ht="16.5" x14ac:dyDescent="0.25">
      <c r="A36" s="16" t="s">
        <v>24</v>
      </c>
      <c r="B36" s="17" t="s">
        <v>27</v>
      </c>
      <c r="C36" s="113">
        <f>SUM(D36:F36)</f>
        <v>13162.189329134679</v>
      </c>
      <c r="D36" s="113">
        <f>'Load Forecast'!A7</f>
        <v>8867.7068751897095</v>
      </c>
      <c r="E36" s="113">
        <f>'Load Forecast'!B7</f>
        <v>2468.20098836847</v>
      </c>
      <c r="F36" s="113">
        <f>'Load Forecast'!C7</f>
        <v>1826.2814655764998</v>
      </c>
      <c r="G36" s="17" t="s">
        <v>131</v>
      </c>
      <c r="H36" s="113">
        <f>'Load Forecast'!D7</f>
        <v>95824</v>
      </c>
    </row>
    <row r="37" spans="1:11" customFormat="1" ht="15" x14ac:dyDescent="0.25">
      <c r="A37" s="16" t="s">
        <v>22</v>
      </c>
      <c r="B37" s="114" t="s">
        <v>20</v>
      </c>
      <c r="C37" s="115">
        <f>SUM(D37:H37)</f>
        <v>0.99999999999999989</v>
      </c>
      <c r="D37" s="116">
        <f>D31</f>
        <v>0.56942319712308009</v>
      </c>
      <c r="E37" s="116">
        <f t="shared" ref="E37:F37" si="10">E31</f>
        <v>0.15802083178929896</v>
      </c>
      <c r="F37" s="116">
        <f t="shared" si="10"/>
        <v>0.1891155414582843</v>
      </c>
      <c r="G37" s="114" t="s">
        <v>20</v>
      </c>
      <c r="H37" s="116">
        <f>G31</f>
        <v>8.3440429629336663E-2</v>
      </c>
    </row>
    <row r="38" spans="1:11" customFormat="1" ht="15" x14ac:dyDescent="0.25">
      <c r="A38" s="26" t="s">
        <v>17</v>
      </c>
      <c r="B38" s="27" t="s">
        <v>21</v>
      </c>
      <c r="C38" s="117">
        <f>SUM(D38:H38)</f>
        <v>-91342.304431433629</v>
      </c>
      <c r="D38" s="118">
        <f>D36*D39*10</f>
        <v>-52012.540999254852</v>
      </c>
      <c r="E38" s="118">
        <f t="shared" ref="E38:F38" si="11">E36*E39*10</f>
        <v>-14434.018553692196</v>
      </c>
      <c r="F38" s="118">
        <f t="shared" si="11"/>
        <v>-17274.28721448658</v>
      </c>
      <c r="G38" s="27" t="s">
        <v>21</v>
      </c>
      <c r="H38" s="118">
        <f>H36*H39/100*12</f>
        <v>-7621.4576639999996</v>
      </c>
    </row>
    <row r="39" spans="1:11" customFormat="1" ht="17.25" x14ac:dyDescent="0.25">
      <c r="A39" s="22" t="s">
        <v>23</v>
      </c>
      <c r="B39" s="23" t="s">
        <v>28</v>
      </c>
      <c r="C39" s="29"/>
      <c r="D39" s="29">
        <f>D32/D36/10</f>
        <v>-0.58653879442922086</v>
      </c>
      <c r="E39" s="29">
        <f t="shared" ref="E39:F39" si="12">E32/E36/10</f>
        <v>-0.5847991562159357</v>
      </c>
      <c r="F39" s="29">
        <f t="shared" si="12"/>
        <v>-0.94587211993818432</v>
      </c>
      <c r="G39" s="23" t="s">
        <v>132</v>
      </c>
      <c r="H39" s="29">
        <f>ROUND(G32/H36*100/12,4)</f>
        <v>-0.66279999999999994</v>
      </c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63" fitToWidth="3" orientation="landscape" r:id="rId1"/>
  <rowBreaks count="1" manualBreakCount="1">
    <brk id="6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55C1-80FE-417F-AF56-5F50CD6AFF18}">
  <sheetPr>
    <pageSetUpPr fitToPage="1"/>
  </sheetPr>
  <dimension ref="A1:AB72"/>
  <sheetViews>
    <sheetView showGridLines="0" zoomScale="80" zoomScaleNormal="80" zoomScaleSheetLayoutView="85" workbookViewId="0">
      <selection activeCell="H31" sqref="H31"/>
    </sheetView>
  </sheetViews>
  <sheetFormatPr defaultColWidth="12.5703125" defaultRowHeight="15" x14ac:dyDescent="0.25"/>
  <cols>
    <col min="1" max="1" width="37.85546875" customWidth="1"/>
    <col min="2" max="4" width="13" bestFit="1" customWidth="1"/>
    <col min="5" max="5" width="14.42578125" bestFit="1" customWidth="1"/>
    <col min="6" max="13" width="13" bestFit="1" customWidth="1"/>
    <col min="14" max="14" width="1.5703125" customWidth="1"/>
    <col min="15" max="15" width="12.28515625" bestFit="1" customWidth="1"/>
  </cols>
  <sheetData>
    <row r="1" spans="1:28" s="2" customFormat="1" x14ac:dyDescent="0.25">
      <c r="A1" s="2" t="s">
        <v>0</v>
      </c>
    </row>
    <row r="2" spans="1:28" s="2" customFormat="1" x14ac:dyDescent="0.25">
      <c r="A2" s="2" t="s">
        <v>40</v>
      </c>
    </row>
    <row r="3" spans="1:28" s="2" customFormat="1" x14ac:dyDescent="0.25">
      <c r="A3" s="2" t="s">
        <v>121</v>
      </c>
    </row>
    <row r="4" spans="1:28" s="2" customFormat="1" x14ac:dyDescent="0.25">
      <c r="A4" s="2" t="s">
        <v>39</v>
      </c>
    </row>
    <row r="5" spans="1:28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28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28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28" x14ac:dyDescent="0.25">
      <c r="A8" s="7" t="s">
        <v>110</v>
      </c>
      <c r="B8" s="83">
        <v>7177.07</v>
      </c>
      <c r="C8" s="83">
        <v>7183.8799999999992</v>
      </c>
      <c r="D8" s="83">
        <v>7186.96</v>
      </c>
      <c r="E8" s="83">
        <v>7184.94</v>
      </c>
      <c r="F8" s="83">
        <v>7211.49</v>
      </c>
      <c r="G8" s="83">
        <v>7136.97</v>
      </c>
      <c r="H8" s="83">
        <v>7123.09</v>
      </c>
      <c r="I8" s="83">
        <v>7155.92</v>
      </c>
      <c r="J8" s="83">
        <v>7155.51</v>
      </c>
      <c r="K8" s="83">
        <v>7083.33</v>
      </c>
      <c r="L8" s="83">
        <v>7112.13</v>
      </c>
      <c r="M8" s="83">
        <v>7197.33</v>
      </c>
      <c r="O8" s="8"/>
    </row>
    <row r="9" spans="1:28" x14ac:dyDescent="0.25">
      <c r="A9" s="7" t="s">
        <v>111</v>
      </c>
      <c r="B9" s="83">
        <v>25381.135802214903</v>
      </c>
      <c r="C9" s="83">
        <v>25361.394895995603</v>
      </c>
      <c r="D9" s="83">
        <v>30372.700063215598</v>
      </c>
      <c r="E9" s="83">
        <v>39962.646098203622</v>
      </c>
      <c r="F9" s="83">
        <v>25196.032318655329</v>
      </c>
      <c r="G9" s="83">
        <v>25057.427655228465</v>
      </c>
      <c r="H9" s="83">
        <v>25176.834213617312</v>
      </c>
      <c r="I9" s="83">
        <v>25139.521332909171</v>
      </c>
      <c r="J9" s="83">
        <v>25150.176407315019</v>
      </c>
      <c r="K9" s="83">
        <v>26058.568804305833</v>
      </c>
      <c r="L9" s="83">
        <v>25943.481657333181</v>
      </c>
      <c r="M9" s="83">
        <v>26185.937798967374</v>
      </c>
      <c r="O9" s="8"/>
    </row>
    <row r="10" spans="1:28" x14ac:dyDescent="0.25">
      <c r="A10" s="7" t="s">
        <v>112</v>
      </c>
      <c r="B10" s="83">
        <v>5927.4113854431998</v>
      </c>
      <c r="C10" s="83">
        <v>5485.949497476</v>
      </c>
      <c r="D10" s="83">
        <v>5216.9199048201863</v>
      </c>
      <c r="E10" s="83">
        <v>4471.4782019863997</v>
      </c>
      <c r="F10" s="83">
        <v>3830.4385929367991</v>
      </c>
      <c r="G10" s="83">
        <v>3622.6326372623998</v>
      </c>
      <c r="H10" s="83">
        <v>3698.6183518600001</v>
      </c>
      <c r="I10" s="83">
        <v>3775.5308586407996</v>
      </c>
      <c r="J10" s="83">
        <v>3798.8676041527997</v>
      </c>
      <c r="K10" s="83">
        <v>5603.2282810048</v>
      </c>
      <c r="L10" s="83">
        <v>5335.6665205855998</v>
      </c>
      <c r="M10" s="83">
        <v>6189.4968019488006</v>
      </c>
      <c r="O10" s="8"/>
    </row>
    <row r="11" spans="1:28" x14ac:dyDescent="0.25">
      <c r="A11" s="7" t="s">
        <v>113</v>
      </c>
      <c r="B11" s="83">
        <v>15750.25</v>
      </c>
      <c r="C11" s="83">
        <v>15750.25</v>
      </c>
      <c r="D11" s="83">
        <v>15750.25</v>
      </c>
      <c r="E11" s="83">
        <v>15750.25</v>
      </c>
      <c r="F11" s="83">
        <v>15750.25</v>
      </c>
      <c r="G11" s="83">
        <v>15750.25</v>
      </c>
      <c r="H11" s="83">
        <v>15750.25</v>
      </c>
      <c r="I11" s="83">
        <v>15750.25</v>
      </c>
      <c r="J11" s="83">
        <v>15750.25</v>
      </c>
      <c r="K11" s="83">
        <v>15750.25</v>
      </c>
      <c r="L11" s="83">
        <v>15750.25</v>
      </c>
      <c r="M11" s="83">
        <v>15750.25</v>
      </c>
      <c r="O11" s="8"/>
    </row>
    <row r="12" spans="1:28" x14ac:dyDescent="0.25">
      <c r="A12" s="7" t="s">
        <v>114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13603.79</v>
      </c>
      <c r="L12" s="83">
        <v>77424.139684399997</v>
      </c>
      <c r="M12" s="83">
        <v>36305.248688</v>
      </c>
      <c r="O12" s="8"/>
    </row>
    <row r="13" spans="1:28" x14ac:dyDescent="0.25">
      <c r="A13" s="7" t="s">
        <v>115</v>
      </c>
      <c r="B13" s="31">
        <v>19163.045050862296</v>
      </c>
      <c r="C13" s="31">
        <v>19163.045050862296</v>
      </c>
      <c r="D13" s="31">
        <v>19163.045050862296</v>
      </c>
      <c r="E13" s="31">
        <v>19163.045050862296</v>
      </c>
      <c r="F13" s="31">
        <v>19163.045050862296</v>
      </c>
      <c r="G13" s="31">
        <v>19163.045050862296</v>
      </c>
      <c r="H13" s="31">
        <v>19163.045050862296</v>
      </c>
      <c r="I13" s="31">
        <v>19163.045050862296</v>
      </c>
      <c r="J13" s="31">
        <v>19163.045050862296</v>
      </c>
      <c r="K13" s="31">
        <v>19163.045050862296</v>
      </c>
      <c r="L13" s="31">
        <v>19163.045050862296</v>
      </c>
      <c r="M13" s="31">
        <v>19163.045050862296</v>
      </c>
      <c r="O13" s="8"/>
    </row>
    <row r="14" spans="1:28" x14ac:dyDescent="0.25">
      <c r="A14" s="7" t="s">
        <v>116</v>
      </c>
      <c r="B14" s="83">
        <f>SUM(B8:B13)</f>
        <v>73398.912238520395</v>
      </c>
      <c r="C14" s="83">
        <f t="shared" ref="C14:M14" si="0">SUM(C8:C13)</f>
        <v>72944.519444333899</v>
      </c>
      <c r="D14" s="83">
        <f t="shared" si="0"/>
        <v>77689.875018898078</v>
      </c>
      <c r="E14" s="83">
        <f t="shared" si="0"/>
        <v>86532.359351052321</v>
      </c>
      <c r="F14" s="83">
        <f t="shared" si="0"/>
        <v>71151.255962454423</v>
      </c>
      <c r="G14" s="83">
        <f t="shared" si="0"/>
        <v>70730.325343353164</v>
      </c>
      <c r="H14" s="83">
        <f t="shared" si="0"/>
        <v>70911.837616339617</v>
      </c>
      <c r="I14" s="83">
        <f t="shared" si="0"/>
        <v>70984.267242412257</v>
      </c>
      <c r="J14" s="83">
        <f t="shared" si="0"/>
        <v>71017.849062330119</v>
      </c>
      <c r="K14" s="83">
        <f t="shared" si="0"/>
        <v>87262.212136172922</v>
      </c>
      <c r="L14" s="83">
        <f t="shared" si="0"/>
        <v>150728.71291318108</v>
      </c>
      <c r="M14" s="83">
        <f t="shared" si="0"/>
        <v>110791.30833977848</v>
      </c>
      <c r="O14" s="8"/>
    </row>
    <row r="15" spans="1:28" x14ac:dyDescent="0.25">
      <c r="A15" s="7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O15" s="8"/>
    </row>
    <row r="16" spans="1:28" x14ac:dyDescent="0.25">
      <c r="A16" s="7" t="s">
        <v>119</v>
      </c>
      <c r="B16" s="83">
        <v>-41233</v>
      </c>
      <c r="C16" s="83">
        <v>-54349</v>
      </c>
      <c r="D16" s="83">
        <v>-43007</v>
      </c>
      <c r="E16" s="83">
        <v>-41547.169999999933</v>
      </c>
      <c r="F16" s="83">
        <v>-22558.370000000003</v>
      </c>
      <c r="G16" s="83">
        <v>-10908.41999999994</v>
      </c>
      <c r="H16" s="83">
        <v>-5653.2800000000307</v>
      </c>
      <c r="I16" s="83">
        <v>-6089.9400000000051</v>
      </c>
      <c r="J16" s="83">
        <v>-5916.810000000014</v>
      </c>
      <c r="K16" s="83">
        <v>-5474.8800000000083</v>
      </c>
      <c r="L16" s="83">
        <v>-32388.879999999979</v>
      </c>
      <c r="M16" s="83">
        <v>-36154.1499999999</v>
      </c>
      <c r="O16" s="8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</row>
    <row r="17" spans="1:28" x14ac:dyDescent="0.25">
      <c r="A17" s="7" t="s">
        <v>120</v>
      </c>
      <c r="B17" s="31">
        <v>-19114</v>
      </c>
      <c r="C17" s="31">
        <v>-29035</v>
      </c>
      <c r="D17" s="31">
        <v>-23034</v>
      </c>
      <c r="E17" s="31">
        <v>-22267.999999999967</v>
      </c>
      <c r="F17" s="31">
        <v>-12084.819999999636</v>
      </c>
      <c r="G17" s="31">
        <v>-5831.4699999998793</v>
      </c>
      <c r="H17" s="31">
        <v>-3032.3599999999601</v>
      </c>
      <c r="I17" s="31">
        <v>-2755.4299999999771</v>
      </c>
      <c r="J17" s="31">
        <v>-3062.9899999999684</v>
      </c>
      <c r="K17" s="31">
        <v>-2796.0199999999654</v>
      </c>
      <c r="L17" s="31">
        <v>-8708.3799999997937</v>
      </c>
      <c r="M17" s="31">
        <v>-17583.319999999851</v>
      </c>
      <c r="O17" s="8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1:28" s="78" customFormat="1" x14ac:dyDescent="0.25">
      <c r="A18" s="42" t="s">
        <v>92</v>
      </c>
      <c r="B18" s="10">
        <f>B14+B16+B17</f>
        <v>13051.912238520395</v>
      </c>
      <c r="C18" s="10">
        <f t="shared" ref="C18:M18" si="1">C14+C16+C17</f>
        <v>-10439.480555666101</v>
      </c>
      <c r="D18" s="10">
        <f t="shared" si="1"/>
        <v>11648.875018898078</v>
      </c>
      <c r="E18" s="10">
        <f t="shared" si="1"/>
        <v>22717.189351052421</v>
      </c>
      <c r="F18" s="10">
        <f t="shared" si="1"/>
        <v>36508.065962454784</v>
      </c>
      <c r="G18" s="10">
        <f t="shared" si="1"/>
        <v>53990.435343353347</v>
      </c>
      <c r="H18" s="10">
        <f t="shared" si="1"/>
        <v>62226.197616339632</v>
      </c>
      <c r="I18" s="10">
        <f t="shared" si="1"/>
        <v>62138.897242412277</v>
      </c>
      <c r="J18" s="10">
        <f t="shared" si="1"/>
        <v>62038.049062330138</v>
      </c>
      <c r="K18" s="10">
        <f t="shared" si="1"/>
        <v>78991.312136172957</v>
      </c>
      <c r="L18" s="10">
        <f t="shared" si="1"/>
        <v>109631.4529131813</v>
      </c>
      <c r="M18" s="10">
        <f t="shared" si="1"/>
        <v>57053.838339778726</v>
      </c>
      <c r="O18" s="84"/>
    </row>
    <row r="19" spans="1:28" x14ac:dyDescent="0.25">
      <c r="A19" s="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O19" s="8"/>
    </row>
    <row r="20" spans="1:28" x14ac:dyDescent="0.25">
      <c r="A20" s="7" t="s">
        <v>122</v>
      </c>
      <c r="B20" s="32">
        <v>2712190.012146038</v>
      </c>
      <c r="C20" s="32">
        <f>B22</f>
        <v>2725241.9243845586</v>
      </c>
      <c r="D20" s="32">
        <f t="shared" ref="D20:M20" si="2">C22</f>
        <v>2714802.4438288924</v>
      </c>
      <c r="E20" s="32">
        <f t="shared" si="2"/>
        <v>2726451.3188477904</v>
      </c>
      <c r="F20" s="32">
        <f t="shared" si="2"/>
        <v>2749168.5081988429</v>
      </c>
      <c r="G20" s="32">
        <f t="shared" si="2"/>
        <v>2785676.5741612976</v>
      </c>
      <c r="H20" s="32">
        <f t="shared" si="2"/>
        <v>2839667.0095046512</v>
      </c>
      <c r="I20" s="32">
        <f t="shared" si="2"/>
        <v>2901893.2071209908</v>
      </c>
      <c r="J20" s="32">
        <f>I22</f>
        <v>2964032.1043634033</v>
      </c>
      <c r="K20" s="32">
        <f t="shared" si="2"/>
        <v>3026070.1534257336</v>
      </c>
      <c r="L20" s="32">
        <f t="shared" si="2"/>
        <v>3105061.4655619063</v>
      </c>
      <c r="M20" s="32">
        <f t="shared" si="2"/>
        <v>3214692.9184750877</v>
      </c>
      <c r="N20" s="1"/>
      <c r="O20" s="10"/>
    </row>
    <row r="21" spans="1:28" x14ac:dyDescent="0.25">
      <c r="A21" s="7" t="s">
        <v>123</v>
      </c>
      <c r="B21" s="31">
        <f>B18</f>
        <v>13051.912238520395</v>
      </c>
      <c r="C21" s="31">
        <f t="shared" ref="C21:M21" si="3">C18</f>
        <v>-10439.480555666101</v>
      </c>
      <c r="D21" s="31">
        <f t="shared" si="3"/>
        <v>11648.875018898078</v>
      </c>
      <c r="E21" s="31">
        <f t="shared" si="3"/>
        <v>22717.189351052421</v>
      </c>
      <c r="F21" s="31">
        <f t="shared" si="3"/>
        <v>36508.065962454784</v>
      </c>
      <c r="G21" s="31">
        <f t="shared" si="3"/>
        <v>53990.435343353347</v>
      </c>
      <c r="H21" s="31">
        <f t="shared" si="3"/>
        <v>62226.197616339632</v>
      </c>
      <c r="I21" s="31">
        <f t="shared" si="3"/>
        <v>62138.897242412277</v>
      </c>
      <c r="J21" s="31">
        <f t="shared" si="3"/>
        <v>62038.049062330138</v>
      </c>
      <c r="K21" s="31">
        <f t="shared" si="3"/>
        <v>78991.312136172957</v>
      </c>
      <c r="L21" s="31">
        <f t="shared" si="3"/>
        <v>109631.4529131813</v>
      </c>
      <c r="M21" s="31">
        <f t="shared" si="3"/>
        <v>57053.838339778726</v>
      </c>
      <c r="N21" s="1"/>
      <c r="O21" s="10"/>
    </row>
    <row r="22" spans="1:28" s="78" customFormat="1" x14ac:dyDescent="0.25">
      <c r="A22" s="42" t="s">
        <v>124</v>
      </c>
      <c r="B22" s="10">
        <f>SUM(B20:B21)</f>
        <v>2725241.9243845586</v>
      </c>
      <c r="C22" s="10">
        <f t="shared" ref="C22:M22" si="4">SUM(C20:C21)</f>
        <v>2714802.4438288924</v>
      </c>
      <c r="D22" s="10">
        <f t="shared" si="4"/>
        <v>2726451.3188477904</v>
      </c>
      <c r="E22" s="10">
        <f t="shared" si="4"/>
        <v>2749168.5081988429</v>
      </c>
      <c r="F22" s="10">
        <f t="shared" si="4"/>
        <v>2785676.5741612976</v>
      </c>
      <c r="G22" s="10">
        <f t="shared" si="4"/>
        <v>2839667.0095046512</v>
      </c>
      <c r="H22" s="10">
        <f t="shared" si="4"/>
        <v>2901893.2071209908</v>
      </c>
      <c r="I22" s="10">
        <f t="shared" si="4"/>
        <v>2964032.1043634033</v>
      </c>
      <c r="J22" s="10">
        <f t="shared" si="4"/>
        <v>3026070.1534257336</v>
      </c>
      <c r="K22" s="10">
        <f t="shared" si="4"/>
        <v>3105061.4655619063</v>
      </c>
      <c r="L22" s="10">
        <f t="shared" si="4"/>
        <v>3214692.9184750877</v>
      </c>
      <c r="M22" s="10">
        <f t="shared" si="4"/>
        <v>3271746.7568148663</v>
      </c>
      <c r="N22" s="85"/>
      <c r="O22" s="10"/>
    </row>
    <row r="23" spans="1:28" x14ac:dyDescent="0.25">
      <c r="A23" s="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"/>
      <c r="O23" s="10"/>
    </row>
    <row r="24" spans="1:28" x14ac:dyDescent="0.25">
      <c r="A24" s="7" t="s">
        <v>13</v>
      </c>
      <c r="B24" s="73">
        <v>3.7199999999999997E-2</v>
      </c>
      <c r="C24" s="73">
        <v>3.7199999999999997E-2</v>
      </c>
      <c r="D24" s="73">
        <v>3.7199999999999997E-2</v>
      </c>
      <c r="E24" s="73">
        <v>3.7199999999999997E-2</v>
      </c>
      <c r="F24" s="73">
        <v>3.7199999999999997E-2</v>
      </c>
      <c r="G24" s="73">
        <v>3.7199999999999997E-2</v>
      </c>
      <c r="H24" s="73">
        <v>3.7199999999999997E-2</v>
      </c>
      <c r="I24" s="73">
        <v>3.7199999999999997E-2</v>
      </c>
      <c r="J24" s="73">
        <v>3.7199999999999997E-2</v>
      </c>
      <c r="K24" s="73">
        <v>3.7199999999999997E-2</v>
      </c>
      <c r="L24" s="73">
        <v>3.7199999999999997E-2</v>
      </c>
      <c r="M24" s="73">
        <v>3.7199999999999997E-2</v>
      </c>
      <c r="N24" s="73">
        <v>3.7199999999999997E-2</v>
      </c>
      <c r="O24" s="34">
        <f>M24</f>
        <v>3.7199999999999997E-2</v>
      </c>
    </row>
    <row r="25" spans="1:28" x14ac:dyDescent="0.25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"/>
      <c r="O25" s="10"/>
    </row>
    <row r="26" spans="1:28" x14ac:dyDescent="0.25">
      <c r="A26" s="7" t="s">
        <v>14</v>
      </c>
      <c r="B26" s="32">
        <v>201622.37</v>
      </c>
      <c r="C26" s="32">
        <f>B28</f>
        <v>210030.15903765272</v>
      </c>
      <c r="D26" s="32">
        <f t="shared" ref="D26:M26" si="5">C28</f>
        <v>218478.40900324486</v>
      </c>
      <c r="E26" s="32">
        <f t="shared" si="5"/>
        <v>226894.29657911442</v>
      </c>
      <c r="F26" s="32">
        <f t="shared" si="5"/>
        <v>235346.29566754258</v>
      </c>
      <c r="G26" s="32">
        <f t="shared" si="5"/>
        <v>243868.71804295899</v>
      </c>
      <c r="H26" s="32">
        <f t="shared" si="5"/>
        <v>252504.31542285901</v>
      </c>
      <c r="I26" s="32">
        <f t="shared" si="5"/>
        <v>261307.28315232342</v>
      </c>
      <c r="J26" s="32">
        <f t="shared" si="5"/>
        <v>270303.15209439851</v>
      </c>
      <c r="K26" s="32">
        <f t="shared" si="5"/>
        <v>279491.65161792503</v>
      </c>
      <c r="L26" s="32">
        <f t="shared" si="5"/>
        <v>288872.46909354482</v>
      </c>
      <c r="M26" s="32">
        <f t="shared" si="5"/>
        <v>298498.15963678673</v>
      </c>
      <c r="N26" s="1"/>
      <c r="O26" s="32">
        <f t="shared" ref="O26" si="6">M28</f>
        <v>308463.70768405951</v>
      </c>
    </row>
    <row r="27" spans="1:28" x14ac:dyDescent="0.25">
      <c r="A27" s="7" t="s">
        <v>15</v>
      </c>
      <c r="B27" s="31">
        <f>B20*B24/12</f>
        <v>8407.7890376527175</v>
      </c>
      <c r="C27" s="31">
        <f t="shared" ref="C27:N27" si="7">C20*C24/12</f>
        <v>8448.249965592131</v>
      </c>
      <c r="D27" s="31">
        <f t="shared" si="7"/>
        <v>8415.8875758695667</v>
      </c>
      <c r="E27" s="31">
        <f t="shared" si="7"/>
        <v>8451.9990884281488</v>
      </c>
      <c r="F27" s="31">
        <f t="shared" si="7"/>
        <v>8522.4223754164123</v>
      </c>
      <c r="G27" s="31">
        <f t="shared" si="7"/>
        <v>8635.5973799000221</v>
      </c>
      <c r="H27" s="31">
        <f t="shared" si="7"/>
        <v>8802.9677294644189</v>
      </c>
      <c r="I27" s="31">
        <f t="shared" si="7"/>
        <v>8995.8689420750707</v>
      </c>
      <c r="J27" s="31">
        <f t="shared" si="7"/>
        <v>9188.4995235265505</v>
      </c>
      <c r="K27" s="31">
        <f t="shared" si="7"/>
        <v>9380.8174756197732</v>
      </c>
      <c r="L27" s="31">
        <f t="shared" si="7"/>
        <v>9625.6905432419098</v>
      </c>
      <c r="M27" s="31">
        <f t="shared" si="7"/>
        <v>9965.5480472727704</v>
      </c>
      <c r="N27" s="31">
        <f t="shared" si="7"/>
        <v>0</v>
      </c>
      <c r="O27" s="31">
        <f>M22*O24</f>
        <v>121708.97935351302</v>
      </c>
    </row>
    <row r="28" spans="1:28" x14ac:dyDescent="0.25">
      <c r="A28" s="33" t="s">
        <v>16</v>
      </c>
      <c r="B28" s="11">
        <f>SUM(B26:B27)</f>
        <v>210030.15903765272</v>
      </c>
      <c r="C28" s="11">
        <f t="shared" ref="C28:M28" si="8">SUM(C26:C27)</f>
        <v>218478.40900324486</v>
      </c>
      <c r="D28" s="11">
        <f t="shared" si="8"/>
        <v>226894.29657911442</v>
      </c>
      <c r="E28" s="11">
        <f t="shared" si="8"/>
        <v>235346.29566754258</v>
      </c>
      <c r="F28" s="11">
        <f t="shared" si="8"/>
        <v>243868.71804295899</v>
      </c>
      <c r="G28" s="11">
        <f t="shared" si="8"/>
        <v>252504.31542285901</v>
      </c>
      <c r="H28" s="11">
        <f t="shared" si="8"/>
        <v>261307.28315232342</v>
      </c>
      <c r="I28" s="11">
        <f t="shared" si="8"/>
        <v>270303.15209439851</v>
      </c>
      <c r="J28" s="11">
        <f t="shared" si="8"/>
        <v>279491.65161792503</v>
      </c>
      <c r="K28" s="11">
        <f t="shared" si="8"/>
        <v>288872.46909354482</v>
      </c>
      <c r="L28" s="11">
        <f t="shared" si="8"/>
        <v>298498.15963678673</v>
      </c>
      <c r="M28" s="11">
        <f t="shared" si="8"/>
        <v>308463.70768405951</v>
      </c>
      <c r="N28" s="1"/>
      <c r="O28" s="11">
        <f>SUM(O26:O27)</f>
        <v>430172.6870375725</v>
      </c>
    </row>
    <row r="29" spans="1:28" x14ac:dyDescent="0.25">
      <c r="A29" s="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O29" s="30"/>
    </row>
    <row r="30" spans="1:28" x14ac:dyDescent="0.25">
      <c r="E30" s="13"/>
      <c r="F30" s="13"/>
      <c r="G30" s="13"/>
      <c r="H30" s="13"/>
      <c r="I30" s="13"/>
    </row>
    <row r="31" spans="1:28" x14ac:dyDescent="0.25">
      <c r="A31" s="12" t="s">
        <v>125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8" ht="45" x14ac:dyDescent="0.25">
      <c r="A32" s="14"/>
      <c r="B32" s="14" t="s">
        <v>36</v>
      </c>
      <c r="C32" s="14" t="s">
        <v>46</v>
      </c>
      <c r="D32" s="14" t="s">
        <v>49</v>
      </c>
      <c r="E32" s="13"/>
      <c r="F32" s="13"/>
      <c r="G32" s="13"/>
      <c r="H32" s="13"/>
      <c r="I32" s="13"/>
      <c r="J32" s="15"/>
      <c r="K32" s="15"/>
      <c r="L32" s="13"/>
    </row>
    <row r="33" spans="1:12" x14ac:dyDescent="0.25">
      <c r="A33" s="51" t="s">
        <v>34</v>
      </c>
      <c r="B33" s="52">
        <f>M22</f>
        <v>3271746.7568148663</v>
      </c>
      <c r="C33" s="52"/>
      <c r="D33" s="52">
        <f>B33+C33</f>
        <v>3271746.7568148663</v>
      </c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6" t="s">
        <v>35</v>
      </c>
      <c r="B34" s="56">
        <f>M28</f>
        <v>308463.70768405951</v>
      </c>
      <c r="C34" s="56">
        <f>O27</f>
        <v>121708.97935351302</v>
      </c>
      <c r="D34" s="56">
        <f t="shared" ref="D34:D35" si="9">B34+C34</f>
        <v>430172.6870375725</v>
      </c>
      <c r="E34" s="13"/>
      <c r="F34" s="13"/>
      <c r="G34" s="13"/>
      <c r="H34" s="13"/>
      <c r="I34" s="13"/>
      <c r="J34" s="21"/>
      <c r="K34" s="21"/>
      <c r="L34" s="13"/>
    </row>
    <row r="35" spans="1:12" x14ac:dyDescent="0.25">
      <c r="A35" s="22" t="s">
        <v>17</v>
      </c>
      <c r="B35" s="53">
        <f>B34+B33</f>
        <v>3580210.464498926</v>
      </c>
      <c r="C35" s="53">
        <f t="shared" ref="C35" si="10">C34+C33</f>
        <v>121708.97935351302</v>
      </c>
      <c r="D35" s="53">
        <f t="shared" si="9"/>
        <v>3701919.4438524391</v>
      </c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8" spans="1:12" x14ac:dyDescent="0.25">
      <c r="A38" s="12" t="s">
        <v>173</v>
      </c>
      <c r="B38" s="13"/>
      <c r="C38" s="13"/>
      <c r="D38" s="13"/>
      <c r="E38" s="13"/>
      <c r="F38" s="13"/>
      <c r="G38" s="13"/>
      <c r="H38" s="13"/>
      <c r="I38" s="13"/>
      <c r="J38" s="13"/>
    </row>
    <row r="39" spans="1:12" x14ac:dyDescent="0.25">
      <c r="A39" s="14"/>
      <c r="B39" s="14" t="s">
        <v>18</v>
      </c>
      <c r="C39" s="14" t="s">
        <v>19</v>
      </c>
      <c r="D39" s="14" t="s">
        <v>25</v>
      </c>
      <c r="E39" s="14" t="s">
        <v>126</v>
      </c>
      <c r="F39" s="14" t="s">
        <v>127</v>
      </c>
      <c r="G39" s="15"/>
      <c r="H39" s="15"/>
      <c r="I39" s="15"/>
      <c r="J39" s="13"/>
    </row>
    <row r="40" spans="1:12" ht="16.5" x14ac:dyDescent="0.25">
      <c r="A40" s="16" t="s">
        <v>24</v>
      </c>
      <c r="B40" s="17" t="s">
        <v>27</v>
      </c>
      <c r="C40" s="18">
        <f>SUM(D40:F40)</f>
        <v>127860.781</v>
      </c>
      <c r="D40" s="18">
        <f>90784357/1000</f>
        <v>90784.357000000004</v>
      </c>
      <c r="E40" s="18">
        <f>26452811/1000</f>
        <v>26452.811000000002</v>
      </c>
      <c r="F40" s="18">
        <f>10623613/1000</f>
        <v>10623.612999999999</v>
      </c>
      <c r="G40" s="13"/>
      <c r="H40" s="13"/>
      <c r="I40" s="13"/>
      <c r="J40" s="13"/>
    </row>
    <row r="41" spans="1:12" x14ac:dyDescent="0.25">
      <c r="A41" s="16" t="s">
        <v>22</v>
      </c>
      <c r="B41" s="19" t="s">
        <v>20</v>
      </c>
      <c r="C41" s="20">
        <f>SUM(D41:F41)</f>
        <v>0.99999999999999989</v>
      </c>
      <c r="D41" s="20">
        <f>D40/$C$40</f>
        <v>0.71002504669512378</v>
      </c>
      <c r="E41" s="20">
        <f t="shared" ref="E41:F41" si="11">E40/$C$40</f>
        <v>0.20688760691990454</v>
      </c>
      <c r="F41" s="20">
        <f t="shared" si="11"/>
        <v>8.308734638497163E-2</v>
      </c>
      <c r="G41" s="21"/>
      <c r="H41" s="21"/>
      <c r="I41" s="21"/>
      <c r="J41" s="13"/>
    </row>
    <row r="42" spans="1:12" x14ac:dyDescent="0.25">
      <c r="A42" s="22" t="s">
        <v>17</v>
      </c>
      <c r="B42" s="23" t="s">
        <v>21</v>
      </c>
      <c r="C42" s="24">
        <v>2592738.5928722164</v>
      </c>
      <c r="D42" s="24">
        <f>D41*$C$42</f>
        <v>1840909.340472345</v>
      </c>
      <c r="E42" s="24">
        <f t="shared" ref="E42:F42" si="12">E41*$C$42</f>
        <v>536405.48284821352</v>
      </c>
      <c r="F42" s="24">
        <f t="shared" si="12"/>
        <v>215423.76955165778</v>
      </c>
      <c r="G42" s="13"/>
      <c r="H42" s="13"/>
      <c r="I42" s="13"/>
      <c r="J42" s="13"/>
    </row>
    <row r="43" spans="1:12" x14ac:dyDescent="0.25">
      <c r="A43" s="54"/>
      <c r="B43" s="146"/>
      <c r="C43" s="147"/>
      <c r="D43" s="147"/>
      <c r="E43" s="147"/>
      <c r="F43" s="147"/>
      <c r="G43" s="13"/>
      <c r="H43" s="13"/>
      <c r="I43" s="13"/>
      <c r="J43" s="13"/>
    </row>
    <row r="44" spans="1:1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2" x14ac:dyDescent="0.25">
      <c r="A45" s="12" t="s">
        <v>172</v>
      </c>
      <c r="B45" s="13"/>
      <c r="C45" s="13"/>
      <c r="D45" s="13"/>
      <c r="E45" s="13"/>
      <c r="F45" s="13"/>
    </row>
    <row r="46" spans="1:12" x14ac:dyDescent="0.25">
      <c r="A46" s="14"/>
      <c r="B46" s="14" t="s">
        <v>18</v>
      </c>
      <c r="C46" s="14" t="s">
        <v>19</v>
      </c>
      <c r="D46" s="14" t="s">
        <v>25</v>
      </c>
      <c r="E46" s="14" t="s">
        <v>126</v>
      </c>
      <c r="F46" s="14" t="s">
        <v>127</v>
      </c>
    </row>
    <row r="47" spans="1:12" x14ac:dyDescent="0.25">
      <c r="A47" s="16" t="s">
        <v>24</v>
      </c>
      <c r="B47" s="17" t="s">
        <v>130</v>
      </c>
      <c r="C47" s="18">
        <f>SUM(D47:F47)</f>
        <v>2538.0602369971775</v>
      </c>
      <c r="D47" s="18">
        <v>1578.7796557271608</v>
      </c>
      <c r="E47" s="18">
        <v>959.28058127001668</v>
      </c>
      <c r="F47" s="18">
        <v>0</v>
      </c>
    </row>
    <row r="48" spans="1:12" x14ac:dyDescent="0.25">
      <c r="A48" s="16" t="s">
        <v>22</v>
      </c>
      <c r="B48" s="19" t="s">
        <v>20</v>
      </c>
      <c r="C48" s="20">
        <f>SUM(D48:F48)</f>
        <v>1</v>
      </c>
      <c r="D48" s="20">
        <f>D47/$C$47</f>
        <v>0.6220418383745856</v>
      </c>
      <c r="E48" s="20">
        <f t="shared" ref="E48:F48" si="13">E47/$C$47</f>
        <v>0.37795816162541435</v>
      </c>
      <c r="F48" s="20">
        <f t="shared" si="13"/>
        <v>0</v>
      </c>
    </row>
    <row r="49" spans="1:6" x14ac:dyDescent="0.25">
      <c r="A49" s="22" t="s">
        <v>17</v>
      </c>
      <c r="B49" s="23" t="s">
        <v>21</v>
      </c>
      <c r="C49" s="24">
        <v>1109180.85851961</v>
      </c>
      <c r="D49" s="24">
        <f>D48*$C$49</f>
        <v>689956.90032343939</v>
      </c>
      <c r="E49" s="24">
        <f t="shared" ref="E49:F49" si="14">E48*$C$49</f>
        <v>419223.95819617063</v>
      </c>
      <c r="F49" s="24">
        <f t="shared" si="14"/>
        <v>0</v>
      </c>
    </row>
    <row r="50" spans="1:6" x14ac:dyDescent="0.25">
      <c r="A50" s="54"/>
      <c r="B50" s="146"/>
      <c r="C50" s="147"/>
      <c r="D50" s="147"/>
      <c r="E50" s="147"/>
      <c r="F50" s="147"/>
    </row>
    <row r="52" spans="1:6" x14ac:dyDescent="0.25">
      <c r="A52" s="12" t="s">
        <v>174</v>
      </c>
      <c r="B52" s="13"/>
      <c r="C52" s="13"/>
      <c r="D52" s="13"/>
      <c r="E52" s="13"/>
      <c r="F52" s="13"/>
    </row>
    <row r="53" spans="1:6" x14ac:dyDescent="0.25">
      <c r="A53" s="14"/>
      <c r="B53" s="14" t="s">
        <v>18</v>
      </c>
      <c r="C53" s="14" t="s">
        <v>19</v>
      </c>
      <c r="D53" s="14" t="s">
        <v>25</v>
      </c>
      <c r="E53" s="14" t="s">
        <v>126</v>
      </c>
      <c r="F53" s="14" t="s">
        <v>127</v>
      </c>
    </row>
    <row r="54" spans="1:6" x14ac:dyDescent="0.25">
      <c r="A54" s="16" t="s">
        <v>22</v>
      </c>
      <c r="B54" s="19" t="s">
        <v>20</v>
      </c>
      <c r="C54" s="20">
        <f>SUM(D54:F54)</f>
        <v>1</v>
      </c>
      <c r="D54" s="20">
        <f>D55/$C$55</f>
        <v>0.68366323849759725</v>
      </c>
      <c r="E54" s="20">
        <f t="shared" ref="E54:F54" si="15">E55/$C$55</f>
        <v>0.25814430961891732</v>
      </c>
      <c r="F54" s="20">
        <f t="shared" si="15"/>
        <v>5.8192451883485471E-2</v>
      </c>
    </row>
    <row r="55" spans="1:6" x14ac:dyDescent="0.25">
      <c r="A55" s="22" t="s">
        <v>17</v>
      </c>
      <c r="B55" s="23" t="s">
        <v>21</v>
      </c>
      <c r="C55" s="24">
        <f>SUM(D55:F55)</f>
        <v>3701919.4513918264</v>
      </c>
      <c r="D55" s="24">
        <f>D42+D49</f>
        <v>2530866.2407957846</v>
      </c>
      <c r="E55" s="24">
        <f t="shared" ref="E55:F55" si="16">E42+E49</f>
        <v>955629.44104438415</v>
      </c>
      <c r="F55" s="24">
        <f t="shared" si="16"/>
        <v>215423.76955165778</v>
      </c>
    </row>
    <row r="56" spans="1:6" x14ac:dyDescent="0.25">
      <c r="A56" s="54"/>
      <c r="B56" s="146"/>
      <c r="C56" s="147"/>
      <c r="D56" s="147"/>
      <c r="E56" s="147"/>
      <c r="F56" s="147"/>
    </row>
    <row r="58" spans="1:6" x14ac:dyDescent="0.25">
      <c r="A58" s="12" t="s">
        <v>171</v>
      </c>
      <c r="B58" s="13"/>
      <c r="C58" s="13"/>
      <c r="D58" s="13"/>
      <c r="E58" s="13"/>
      <c r="F58" s="13"/>
    </row>
    <row r="59" spans="1:6" x14ac:dyDescent="0.25">
      <c r="A59" s="14"/>
      <c r="B59" s="14" t="s">
        <v>18</v>
      </c>
      <c r="C59" s="14" t="s">
        <v>19</v>
      </c>
      <c r="D59" s="14" t="s">
        <v>25</v>
      </c>
      <c r="E59" s="14" t="s">
        <v>126</v>
      </c>
      <c r="F59" s="14" t="s">
        <v>127</v>
      </c>
    </row>
    <row r="60" spans="1:6" ht="16.5" x14ac:dyDescent="0.25">
      <c r="A60" s="16" t="s">
        <v>24</v>
      </c>
      <c r="B60" s="17" t="s">
        <v>27</v>
      </c>
      <c r="C60" s="18">
        <f>SUM(D60:F60)</f>
        <v>13162.189329134679</v>
      </c>
      <c r="D60" s="18">
        <f>'Load Forecast'!A7</f>
        <v>8867.7068751897095</v>
      </c>
      <c r="E60" s="18">
        <f>'Load Forecast'!B7</f>
        <v>2468.20098836847</v>
      </c>
      <c r="F60" s="18">
        <f>'Load Forecast'!C7</f>
        <v>1826.2814655764998</v>
      </c>
    </row>
    <row r="61" spans="1:6" x14ac:dyDescent="0.25">
      <c r="A61" s="16" t="s">
        <v>22</v>
      </c>
      <c r="B61" s="19" t="s">
        <v>20</v>
      </c>
      <c r="C61" s="20">
        <f>SUM(D61:F61)</f>
        <v>1</v>
      </c>
      <c r="D61" s="25">
        <f>D54</f>
        <v>0.68366323849759725</v>
      </c>
      <c r="E61" s="25">
        <f t="shared" ref="E61:F61" si="17">E54</f>
        <v>0.25814430961891732</v>
      </c>
      <c r="F61" s="25">
        <f t="shared" si="17"/>
        <v>5.8192451883485471E-2</v>
      </c>
    </row>
    <row r="62" spans="1:6" x14ac:dyDescent="0.25">
      <c r="A62" s="26" t="s">
        <v>17</v>
      </c>
      <c r="B62" s="27" t="s">
        <v>21</v>
      </c>
      <c r="C62" s="57">
        <f>SUM(D62:F62)</f>
        <v>148572.01811605998</v>
      </c>
      <c r="D62" s="28">
        <f>D60*D63*10</f>
        <v>101573.22705534924</v>
      </c>
      <c r="E62" s="28">
        <f t="shared" ref="E62:F62" si="18">E60*E63*10</f>
        <v>38353.021045259571</v>
      </c>
      <c r="F62" s="28">
        <f t="shared" si="18"/>
        <v>8645.7700154511476</v>
      </c>
    </row>
    <row r="63" spans="1:6" ht="17.25" x14ac:dyDescent="0.25">
      <c r="A63" s="22" t="s">
        <v>23</v>
      </c>
      <c r="B63" s="23" t="s">
        <v>28</v>
      </c>
      <c r="C63" s="29"/>
      <c r="D63" s="29">
        <f>D55/D60/10*12/299</f>
        <v>1.1454283332203203</v>
      </c>
      <c r="E63" s="29">
        <f t="shared" ref="E63:F63" si="19">E55/E60/10*12/299</f>
        <v>1.5538856529918044</v>
      </c>
      <c r="F63" s="29">
        <f t="shared" si="19"/>
        <v>0.47340840820075614</v>
      </c>
    </row>
    <row r="65" spans="1:5" x14ac:dyDescent="0.25">
      <c r="A65" s="58" t="s">
        <v>162</v>
      </c>
      <c r="B65" s="140">
        <v>44154</v>
      </c>
      <c r="C65" s="58"/>
    </row>
    <row r="66" spans="1:5" x14ac:dyDescent="0.25">
      <c r="A66" s="58" t="s">
        <v>163</v>
      </c>
      <c r="B66" s="140">
        <v>55111</v>
      </c>
      <c r="C66" s="58" t="s">
        <v>170</v>
      </c>
    </row>
    <row r="67" spans="1:5" x14ac:dyDescent="0.25">
      <c r="E67" s="145"/>
    </row>
    <row r="68" spans="1:5" x14ac:dyDescent="0.25">
      <c r="A68" s="58" t="s">
        <v>164</v>
      </c>
      <c r="B68" s="140">
        <v>46023</v>
      </c>
    </row>
    <row r="69" spans="1:5" x14ac:dyDescent="0.25">
      <c r="A69" s="58" t="s">
        <v>165</v>
      </c>
      <c r="B69" s="140">
        <f>B66</f>
        <v>55111</v>
      </c>
    </row>
    <row r="70" spans="1:5" x14ac:dyDescent="0.25">
      <c r="A70" s="58" t="s">
        <v>166</v>
      </c>
      <c r="B70" s="141">
        <v>299</v>
      </c>
      <c r="D70" s="142"/>
      <c r="E70" s="144"/>
    </row>
    <row r="71" spans="1:5" x14ac:dyDescent="0.25">
      <c r="B71" s="143"/>
      <c r="E71" s="145"/>
    </row>
    <row r="72" spans="1:5" x14ac:dyDescent="0.25">
      <c r="D72" s="142"/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C565-10D7-4E2E-96F4-94DA5BE9843F}">
  <sheetPr>
    <pageSetUpPr fitToPage="1"/>
  </sheetPr>
  <dimension ref="A1:AB57"/>
  <sheetViews>
    <sheetView showGridLines="0" zoomScale="80" zoomScaleNormal="80" zoomScaleSheetLayoutView="85" workbookViewId="0">
      <selection activeCell="F35" sqref="F35"/>
    </sheetView>
  </sheetViews>
  <sheetFormatPr defaultColWidth="12.5703125" defaultRowHeight="15" x14ac:dyDescent="0.25"/>
  <cols>
    <col min="1" max="1" width="37.85546875" customWidth="1"/>
    <col min="2" max="2" width="14" customWidth="1"/>
    <col min="3" max="3" width="13.5703125" customWidth="1"/>
    <col min="4" max="4" width="14.28515625" bestFit="1" customWidth="1"/>
    <col min="5" max="6" width="11.7109375" bestFit="1" customWidth="1"/>
    <col min="7" max="8" width="11.28515625" bestFit="1" customWidth="1"/>
    <col min="9" max="12" width="11.7109375" bestFit="1" customWidth="1"/>
    <col min="13" max="13" width="11.7109375" customWidth="1"/>
    <col min="14" max="14" width="1.5703125" customWidth="1"/>
    <col min="15" max="15" width="12.28515625" bestFit="1" customWidth="1"/>
  </cols>
  <sheetData>
    <row r="1" spans="1:28" s="2" customFormat="1" x14ac:dyDescent="0.25">
      <c r="A1" s="2" t="s">
        <v>0</v>
      </c>
    </row>
    <row r="2" spans="1:28" s="2" customFormat="1" x14ac:dyDescent="0.25">
      <c r="A2" s="2" t="s">
        <v>40</v>
      </c>
    </row>
    <row r="3" spans="1:28" s="2" customFormat="1" x14ac:dyDescent="0.25">
      <c r="A3" s="2" t="s">
        <v>105</v>
      </c>
    </row>
    <row r="4" spans="1:28" s="2" customFormat="1" x14ac:dyDescent="0.25">
      <c r="A4" s="2" t="s">
        <v>39</v>
      </c>
    </row>
    <row r="5" spans="1:28" x14ac:dyDescent="0.25">
      <c r="A5" s="3"/>
      <c r="B5" s="4">
        <v>2024</v>
      </c>
      <c r="C5" s="4">
        <v>2024</v>
      </c>
      <c r="D5" s="4">
        <v>2024</v>
      </c>
      <c r="E5" s="4">
        <v>2024</v>
      </c>
      <c r="F5" s="4">
        <v>2024</v>
      </c>
      <c r="G5" s="4">
        <v>2024</v>
      </c>
      <c r="H5" s="4">
        <v>2024</v>
      </c>
      <c r="I5" s="4">
        <v>2024</v>
      </c>
      <c r="J5" s="4">
        <v>2024</v>
      </c>
      <c r="K5" s="4">
        <v>2024</v>
      </c>
      <c r="L5" s="4">
        <v>2024</v>
      </c>
      <c r="M5" s="4">
        <v>2024</v>
      </c>
      <c r="O5" s="4">
        <v>2025</v>
      </c>
    </row>
    <row r="6" spans="1:28" x14ac:dyDescent="0.25">
      <c r="A6" s="5"/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O6" s="6" t="s">
        <v>26</v>
      </c>
    </row>
    <row r="7" spans="1:28" x14ac:dyDescent="0.25">
      <c r="A7" s="7"/>
      <c r="B7" s="35"/>
      <c r="C7" s="35"/>
      <c r="D7" s="35"/>
      <c r="E7" s="35"/>
      <c r="F7" s="36"/>
      <c r="G7" s="36"/>
      <c r="H7" s="37"/>
      <c r="I7" s="36"/>
      <c r="J7" s="36"/>
      <c r="K7" s="36"/>
      <c r="L7" s="36"/>
      <c r="M7" s="36"/>
      <c r="O7" s="36"/>
    </row>
    <row r="8" spans="1:28" x14ac:dyDescent="0.25">
      <c r="A8" s="7" t="s">
        <v>110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O8" s="8"/>
    </row>
    <row r="9" spans="1:28" x14ac:dyDescent="0.25">
      <c r="A9" s="7" t="s">
        <v>111</v>
      </c>
      <c r="B9" s="83">
        <v>19285.872197785102</v>
      </c>
      <c r="C9" s="83">
        <v>19224.199104004409</v>
      </c>
      <c r="D9" s="83">
        <v>19313.135936784409</v>
      </c>
      <c r="E9" s="83">
        <v>28585.626901796379</v>
      </c>
      <c r="F9" s="83">
        <v>20404.087681344678</v>
      </c>
      <c r="G9" s="83">
        <v>20428.104344771542</v>
      </c>
      <c r="H9" s="83">
        <v>20363.481786382683</v>
      </c>
      <c r="I9" s="83">
        <v>20401.952667090827</v>
      </c>
      <c r="J9" s="83">
        <v>20384.591592684978</v>
      </c>
      <c r="K9" s="83">
        <v>19697.819195694159</v>
      </c>
      <c r="L9" s="83">
        <v>19776.442342666811</v>
      </c>
      <c r="M9" s="83">
        <v>19673.206201032615</v>
      </c>
      <c r="O9" s="8"/>
    </row>
    <row r="10" spans="1:28" x14ac:dyDescent="0.25">
      <c r="A10" s="7" t="s">
        <v>112</v>
      </c>
      <c r="B10" s="83">
        <v>3201.4286145567999</v>
      </c>
      <c r="C10" s="83">
        <v>2602.010502524</v>
      </c>
      <c r="D10" s="83">
        <v>2668.5600951798133</v>
      </c>
      <c r="E10" s="83">
        <v>2490.6817980136007</v>
      </c>
      <c r="F10" s="83">
        <v>2690.5614070632005</v>
      </c>
      <c r="G10" s="83">
        <v>1881.2873627376005</v>
      </c>
      <c r="H10" s="83">
        <v>2234.5816481400002</v>
      </c>
      <c r="I10" s="83">
        <v>2297.4891413592004</v>
      </c>
      <c r="J10" s="83">
        <v>2216.8723958472001</v>
      </c>
      <c r="K10" s="83">
        <v>2632.9517189951998</v>
      </c>
      <c r="L10" s="83">
        <v>2607.7534794144003</v>
      </c>
      <c r="M10" s="83">
        <v>3009.1631980511993</v>
      </c>
      <c r="O10" s="8"/>
    </row>
    <row r="11" spans="1:28" x14ac:dyDescent="0.25">
      <c r="A11" s="7" t="s">
        <v>113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O11" s="8"/>
    </row>
    <row r="12" spans="1:28" x14ac:dyDescent="0.25">
      <c r="A12" s="7" t="s">
        <v>114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O12" s="8"/>
    </row>
    <row r="13" spans="1:28" x14ac:dyDescent="0.25">
      <c r="A13" s="7" t="s">
        <v>115</v>
      </c>
      <c r="B13" s="31">
        <v>12439.766974402555</v>
      </c>
      <c r="C13" s="31">
        <v>12439.766974402555</v>
      </c>
      <c r="D13" s="31">
        <v>12439.766974402555</v>
      </c>
      <c r="E13" s="31">
        <v>12439.766974402555</v>
      </c>
      <c r="F13" s="31">
        <v>12439.766974402555</v>
      </c>
      <c r="G13" s="31">
        <v>12439.766974402555</v>
      </c>
      <c r="H13" s="31">
        <v>12439.766974402555</v>
      </c>
      <c r="I13" s="31">
        <v>12439.766974402555</v>
      </c>
      <c r="J13" s="31">
        <v>12439.766974402555</v>
      </c>
      <c r="K13" s="31">
        <v>12439.766974402555</v>
      </c>
      <c r="L13" s="31">
        <v>12439.766974402555</v>
      </c>
      <c r="M13" s="31">
        <v>12439.766974402555</v>
      </c>
      <c r="O13" s="8"/>
    </row>
    <row r="14" spans="1:28" x14ac:dyDescent="0.25">
      <c r="A14" s="7" t="s">
        <v>116</v>
      </c>
      <c r="B14" s="83">
        <f>SUM(B8:B13)</f>
        <v>34927.067786744461</v>
      </c>
      <c r="C14" s="83">
        <f t="shared" ref="C14:M14" si="0">SUM(C8:C13)</f>
        <v>34265.976580930961</v>
      </c>
      <c r="D14" s="83">
        <f t="shared" si="0"/>
        <v>34421.463006366779</v>
      </c>
      <c r="E14" s="83">
        <f t="shared" si="0"/>
        <v>43516.075674212538</v>
      </c>
      <c r="F14" s="83">
        <f t="shared" si="0"/>
        <v>35534.416062810429</v>
      </c>
      <c r="G14" s="83">
        <f t="shared" si="0"/>
        <v>34749.158681911693</v>
      </c>
      <c r="H14" s="83">
        <f t="shared" si="0"/>
        <v>35037.830408925234</v>
      </c>
      <c r="I14" s="83">
        <f t="shared" si="0"/>
        <v>35139.208782852584</v>
      </c>
      <c r="J14" s="83">
        <f t="shared" si="0"/>
        <v>35041.230962934729</v>
      </c>
      <c r="K14" s="83">
        <f t="shared" si="0"/>
        <v>34770.537889091909</v>
      </c>
      <c r="L14" s="83">
        <f t="shared" si="0"/>
        <v>34823.962796483771</v>
      </c>
      <c r="M14" s="83">
        <f t="shared" si="0"/>
        <v>35122.13637348637</v>
      </c>
      <c r="O14" s="8"/>
    </row>
    <row r="15" spans="1:28" x14ac:dyDescent="0.25">
      <c r="A15" s="7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O15" s="8"/>
    </row>
    <row r="16" spans="1:28" x14ac:dyDescent="0.25">
      <c r="A16" s="7" t="s">
        <v>117</v>
      </c>
      <c r="B16" s="83">
        <v>-17535.699999999997</v>
      </c>
      <c r="C16" s="83">
        <v>-17535.699999999997</v>
      </c>
      <c r="D16" s="83">
        <v>-17535.699999999997</v>
      </c>
      <c r="E16" s="83">
        <v>-17535.699999999997</v>
      </c>
      <c r="F16" s="83">
        <v>-17535.699999999997</v>
      </c>
      <c r="G16" s="83">
        <v>-17535.699999999997</v>
      </c>
      <c r="H16" s="83">
        <v>-17535.699999999997</v>
      </c>
      <c r="I16" s="83">
        <v>-17535.699999999997</v>
      </c>
      <c r="J16" s="83">
        <v>-17535.699999999997</v>
      </c>
      <c r="K16" s="83">
        <v>-17535.699999999997</v>
      </c>
      <c r="L16" s="83">
        <v>-17535.699999999997</v>
      </c>
      <c r="M16" s="83">
        <v>-17535.699999999997</v>
      </c>
      <c r="O16" s="8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</row>
    <row r="17" spans="1:28" x14ac:dyDescent="0.25">
      <c r="A17" s="7" t="s">
        <v>118</v>
      </c>
      <c r="B17" s="31">
        <v>-13648.6</v>
      </c>
      <c r="C17" s="31">
        <v>-13648.6</v>
      </c>
      <c r="D17" s="31">
        <v>-13648.6</v>
      </c>
      <c r="E17" s="31">
        <v>-13648.6</v>
      </c>
      <c r="F17" s="31">
        <v>-13648.6</v>
      </c>
      <c r="G17" s="31">
        <v>-13648.6</v>
      </c>
      <c r="H17" s="31">
        <v>-13648.6</v>
      </c>
      <c r="I17" s="31">
        <v>-13648.6</v>
      </c>
      <c r="J17" s="31">
        <v>-13648.6</v>
      </c>
      <c r="K17" s="31">
        <v>-13648.6</v>
      </c>
      <c r="L17" s="31">
        <v>-13648.6</v>
      </c>
      <c r="M17" s="31">
        <v>-13648.6</v>
      </c>
      <c r="O17" s="8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1:28" s="78" customFormat="1" x14ac:dyDescent="0.25">
      <c r="A18" s="42" t="s">
        <v>92</v>
      </c>
      <c r="B18" s="10">
        <f>B14+B16+B17</f>
        <v>3742.7677867444636</v>
      </c>
      <c r="C18" s="10">
        <f t="shared" ref="C18:M18" si="1">C14+C16+C17</f>
        <v>3081.6765809309636</v>
      </c>
      <c r="D18" s="10">
        <f t="shared" si="1"/>
        <v>3237.1630063667817</v>
      </c>
      <c r="E18" s="10">
        <f t="shared" si="1"/>
        <v>12331.77567421254</v>
      </c>
      <c r="F18" s="10">
        <f t="shared" si="1"/>
        <v>4350.1160628104317</v>
      </c>
      <c r="G18" s="10">
        <f t="shared" si="1"/>
        <v>3564.8586819116954</v>
      </c>
      <c r="H18" s="10">
        <f t="shared" si="1"/>
        <v>3853.5304089252368</v>
      </c>
      <c r="I18" s="10">
        <f t="shared" si="1"/>
        <v>3954.9087828525862</v>
      </c>
      <c r="J18" s="10">
        <f t="shared" si="1"/>
        <v>3856.9309629347317</v>
      </c>
      <c r="K18" s="10">
        <f t="shared" si="1"/>
        <v>3586.2378890919117</v>
      </c>
      <c r="L18" s="10">
        <f t="shared" si="1"/>
        <v>3639.6627964837735</v>
      </c>
      <c r="M18" s="10">
        <f t="shared" si="1"/>
        <v>3937.8363734863724</v>
      </c>
      <c r="O18" s="84"/>
    </row>
    <row r="19" spans="1:28" x14ac:dyDescent="0.25">
      <c r="A19" s="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O19" s="8"/>
    </row>
    <row r="20" spans="1:28" x14ac:dyDescent="0.25">
      <c r="A20" s="7" t="s">
        <v>106</v>
      </c>
      <c r="B20" s="32">
        <v>328814.90549601638</v>
      </c>
      <c r="C20" s="32">
        <f>B22</f>
        <v>332557.67328276084</v>
      </c>
      <c r="D20" s="32">
        <f t="shared" ref="D20:M20" si="2">C22</f>
        <v>335639.34986369178</v>
      </c>
      <c r="E20" s="32">
        <f t="shared" si="2"/>
        <v>338876.51287005853</v>
      </c>
      <c r="F20" s="32">
        <f t="shared" si="2"/>
        <v>351208.28854427108</v>
      </c>
      <c r="G20" s="32">
        <f t="shared" si="2"/>
        <v>355558.40460708149</v>
      </c>
      <c r="H20" s="32">
        <f t="shared" si="2"/>
        <v>359123.26328899321</v>
      </c>
      <c r="I20" s="32">
        <f t="shared" si="2"/>
        <v>362976.79369791847</v>
      </c>
      <c r="J20" s="32">
        <f>I22</f>
        <v>366931.70248077105</v>
      </c>
      <c r="K20" s="32">
        <f t="shared" si="2"/>
        <v>370788.6334437058</v>
      </c>
      <c r="L20" s="32">
        <f t="shared" si="2"/>
        <v>374374.87133279769</v>
      </c>
      <c r="M20" s="32">
        <f t="shared" si="2"/>
        <v>378014.53412928147</v>
      </c>
      <c r="N20" s="1"/>
      <c r="O20" s="10"/>
    </row>
    <row r="21" spans="1:28" x14ac:dyDescent="0.25">
      <c r="A21" s="7" t="s">
        <v>107</v>
      </c>
      <c r="B21" s="31">
        <f>B18</f>
        <v>3742.7677867444636</v>
      </c>
      <c r="C21" s="31">
        <f t="shared" ref="C21:M21" si="3">C18</f>
        <v>3081.6765809309636</v>
      </c>
      <c r="D21" s="31">
        <f t="shared" si="3"/>
        <v>3237.1630063667817</v>
      </c>
      <c r="E21" s="31">
        <f t="shared" si="3"/>
        <v>12331.77567421254</v>
      </c>
      <c r="F21" s="31">
        <f t="shared" si="3"/>
        <v>4350.1160628104317</v>
      </c>
      <c r="G21" s="31">
        <f t="shared" si="3"/>
        <v>3564.8586819116954</v>
      </c>
      <c r="H21" s="31">
        <f t="shared" si="3"/>
        <v>3853.5304089252368</v>
      </c>
      <c r="I21" s="31">
        <f t="shared" si="3"/>
        <v>3954.9087828525862</v>
      </c>
      <c r="J21" s="31">
        <f t="shared" si="3"/>
        <v>3856.9309629347317</v>
      </c>
      <c r="K21" s="31">
        <f t="shared" si="3"/>
        <v>3586.2378890919117</v>
      </c>
      <c r="L21" s="31">
        <f t="shared" si="3"/>
        <v>3639.6627964837735</v>
      </c>
      <c r="M21" s="31">
        <f t="shared" si="3"/>
        <v>3937.8363734863724</v>
      </c>
      <c r="N21" s="1"/>
      <c r="O21" s="10"/>
    </row>
    <row r="22" spans="1:28" s="78" customFormat="1" x14ac:dyDescent="0.25">
      <c r="A22" s="42" t="s">
        <v>108</v>
      </c>
      <c r="B22" s="10">
        <f>SUM(B20:B21)</f>
        <v>332557.67328276084</v>
      </c>
      <c r="C22" s="10">
        <f t="shared" ref="C22:M22" si="4">SUM(C20:C21)</f>
        <v>335639.34986369178</v>
      </c>
      <c r="D22" s="10">
        <f t="shared" si="4"/>
        <v>338876.51287005853</v>
      </c>
      <c r="E22" s="10">
        <f t="shared" si="4"/>
        <v>351208.28854427108</v>
      </c>
      <c r="F22" s="10">
        <f t="shared" si="4"/>
        <v>355558.40460708149</v>
      </c>
      <c r="G22" s="10">
        <f t="shared" si="4"/>
        <v>359123.26328899321</v>
      </c>
      <c r="H22" s="10">
        <f t="shared" si="4"/>
        <v>362976.79369791847</v>
      </c>
      <c r="I22" s="10">
        <f t="shared" si="4"/>
        <v>366931.70248077105</v>
      </c>
      <c r="J22" s="10">
        <f t="shared" si="4"/>
        <v>370788.6334437058</v>
      </c>
      <c r="K22" s="10">
        <f t="shared" si="4"/>
        <v>374374.87133279769</v>
      </c>
      <c r="L22" s="10">
        <f t="shared" si="4"/>
        <v>378014.53412928147</v>
      </c>
      <c r="M22" s="10">
        <f t="shared" si="4"/>
        <v>381952.37050276785</v>
      </c>
      <c r="N22" s="85"/>
      <c r="O22" s="10"/>
    </row>
    <row r="23" spans="1:28" x14ac:dyDescent="0.25">
      <c r="A23" s="7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"/>
      <c r="O23" s="10"/>
    </row>
    <row r="24" spans="1:28" x14ac:dyDescent="0.25">
      <c r="A24" s="7" t="s">
        <v>13</v>
      </c>
      <c r="B24" s="73">
        <v>3.7199999999999997E-2</v>
      </c>
      <c r="C24" s="73">
        <v>3.7199999999999997E-2</v>
      </c>
      <c r="D24" s="73">
        <v>3.7199999999999997E-2</v>
      </c>
      <c r="E24" s="73">
        <v>3.7199999999999997E-2</v>
      </c>
      <c r="F24" s="73">
        <v>3.7199999999999997E-2</v>
      </c>
      <c r="G24" s="73">
        <v>3.7199999999999997E-2</v>
      </c>
      <c r="H24" s="73">
        <v>3.7199999999999997E-2</v>
      </c>
      <c r="I24" s="73">
        <v>3.7199999999999997E-2</v>
      </c>
      <c r="J24" s="73">
        <v>3.7199999999999997E-2</v>
      </c>
      <c r="K24" s="73">
        <v>3.7199999999999997E-2</v>
      </c>
      <c r="L24" s="73">
        <v>3.7199999999999997E-2</v>
      </c>
      <c r="M24" s="73">
        <v>3.7199999999999997E-2</v>
      </c>
      <c r="N24" s="73">
        <v>3.7199999999999997E-2</v>
      </c>
      <c r="O24" s="34">
        <f>M24</f>
        <v>3.7199999999999997E-2</v>
      </c>
    </row>
    <row r="25" spans="1:28" x14ac:dyDescent="0.25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"/>
      <c r="O25" s="10"/>
    </row>
    <row r="26" spans="1:28" x14ac:dyDescent="0.25">
      <c r="A26" s="7" t="s">
        <v>14</v>
      </c>
      <c r="B26" s="32">
        <v>34930.439999999995</v>
      </c>
      <c r="C26" s="32">
        <f>B28</f>
        <v>35949.766207037646</v>
      </c>
      <c r="D26" s="32">
        <f t="shared" ref="D26:M26" si="5">C28</f>
        <v>36980.694994214202</v>
      </c>
      <c r="E26" s="32">
        <f t="shared" si="5"/>
        <v>38021.176978791649</v>
      </c>
      <c r="F26" s="32">
        <f t="shared" si="5"/>
        <v>39071.694168688831</v>
      </c>
      <c r="G26" s="32">
        <f t="shared" si="5"/>
        <v>40160.439863176071</v>
      </c>
      <c r="H26" s="32">
        <f t="shared" si="5"/>
        <v>41262.670917458025</v>
      </c>
      <c r="I26" s="32">
        <f t="shared" si="5"/>
        <v>42375.953033653903</v>
      </c>
      <c r="J26" s="32">
        <f t="shared" si="5"/>
        <v>43501.181094117448</v>
      </c>
      <c r="K26" s="32">
        <f t="shared" si="5"/>
        <v>44638.669371807839</v>
      </c>
      <c r="L26" s="32">
        <f t="shared" si="5"/>
        <v>45788.114135483323</v>
      </c>
      <c r="M26" s="32">
        <f t="shared" si="5"/>
        <v>46948.676236615</v>
      </c>
      <c r="N26" s="1"/>
      <c r="O26" s="32">
        <f t="shared" ref="O26" si="6">M28</f>
        <v>48120.521292415775</v>
      </c>
    </row>
    <row r="27" spans="1:28" x14ac:dyDescent="0.25">
      <c r="A27" s="7" t="s">
        <v>15</v>
      </c>
      <c r="B27" s="31">
        <f>B20*B24/12</f>
        <v>1019.3262070376508</v>
      </c>
      <c r="C27" s="31">
        <f t="shared" ref="C27:M27" si="7">C20*C24/12</f>
        <v>1030.9287871765584</v>
      </c>
      <c r="D27" s="31">
        <f t="shared" si="7"/>
        <v>1040.4819845774443</v>
      </c>
      <c r="E27" s="31">
        <f t="shared" si="7"/>
        <v>1050.5171898971814</v>
      </c>
      <c r="F27" s="31">
        <f t="shared" si="7"/>
        <v>1088.7456944872404</v>
      </c>
      <c r="G27" s="31">
        <f t="shared" si="7"/>
        <v>1102.2310542819525</v>
      </c>
      <c r="H27" s="31">
        <f t="shared" si="7"/>
        <v>1113.2821161958789</v>
      </c>
      <c r="I27" s="31">
        <f t="shared" si="7"/>
        <v>1125.2280604635473</v>
      </c>
      <c r="J27" s="31">
        <f t="shared" si="7"/>
        <v>1137.4882776903903</v>
      </c>
      <c r="K27" s="31">
        <f t="shared" si="7"/>
        <v>1149.4447636754878</v>
      </c>
      <c r="L27" s="31">
        <f t="shared" si="7"/>
        <v>1160.5621011316728</v>
      </c>
      <c r="M27" s="31">
        <f t="shared" si="7"/>
        <v>1171.8450558007723</v>
      </c>
      <c r="N27" s="31">
        <f t="shared" ref="N27" si="8">N22*N24/12</f>
        <v>0</v>
      </c>
      <c r="O27" s="31">
        <f>M22*O24</f>
        <v>14208.628182702963</v>
      </c>
    </row>
    <row r="28" spans="1:28" x14ac:dyDescent="0.25">
      <c r="A28" s="33" t="s">
        <v>16</v>
      </c>
      <c r="B28" s="11">
        <f>SUM(B26:B27)</f>
        <v>35949.766207037646</v>
      </c>
      <c r="C28" s="11">
        <f t="shared" ref="C28:M28" si="9">SUM(C26:C27)</f>
        <v>36980.694994214202</v>
      </c>
      <c r="D28" s="11">
        <f t="shared" si="9"/>
        <v>38021.176978791649</v>
      </c>
      <c r="E28" s="11">
        <f t="shared" si="9"/>
        <v>39071.694168688831</v>
      </c>
      <c r="F28" s="11">
        <f t="shared" si="9"/>
        <v>40160.439863176071</v>
      </c>
      <c r="G28" s="11">
        <f t="shared" si="9"/>
        <v>41262.670917458025</v>
      </c>
      <c r="H28" s="11">
        <f t="shared" si="9"/>
        <v>42375.953033653903</v>
      </c>
      <c r="I28" s="11">
        <f t="shared" si="9"/>
        <v>43501.181094117448</v>
      </c>
      <c r="J28" s="11">
        <f t="shared" si="9"/>
        <v>44638.669371807839</v>
      </c>
      <c r="K28" s="11">
        <f t="shared" si="9"/>
        <v>45788.114135483323</v>
      </c>
      <c r="L28" s="11">
        <f t="shared" si="9"/>
        <v>46948.676236615</v>
      </c>
      <c r="M28" s="11">
        <f t="shared" si="9"/>
        <v>48120.521292415775</v>
      </c>
      <c r="N28" s="1"/>
      <c r="O28" s="11">
        <f>SUM(O26:O27)</f>
        <v>62329.149475118742</v>
      </c>
    </row>
    <row r="29" spans="1:28" x14ac:dyDescent="0.25">
      <c r="A29" s="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O29" s="30"/>
    </row>
    <row r="30" spans="1:28" x14ac:dyDescent="0.25">
      <c r="E30" s="13"/>
      <c r="F30" s="13"/>
      <c r="G30" s="13"/>
      <c r="H30" s="13"/>
      <c r="I30" s="13"/>
    </row>
    <row r="31" spans="1:28" x14ac:dyDescent="0.25">
      <c r="A31" s="12" t="s">
        <v>109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8" ht="45" x14ac:dyDescent="0.25">
      <c r="A32" s="14"/>
      <c r="B32" s="14" t="s">
        <v>36</v>
      </c>
      <c r="C32" s="14" t="s">
        <v>46</v>
      </c>
      <c r="D32" s="14" t="s">
        <v>49</v>
      </c>
      <c r="E32" s="13"/>
      <c r="F32" s="13"/>
      <c r="G32" s="13"/>
      <c r="H32" s="13"/>
      <c r="I32" s="13"/>
      <c r="J32" s="15"/>
      <c r="K32" s="15"/>
      <c r="L32" s="13"/>
    </row>
    <row r="33" spans="1:12" x14ac:dyDescent="0.25">
      <c r="A33" s="51" t="s">
        <v>34</v>
      </c>
      <c r="B33" s="52">
        <f>M22</f>
        <v>381952.37050276785</v>
      </c>
      <c r="C33" s="52"/>
      <c r="D33" s="52">
        <f>B33+C33</f>
        <v>381952.37050276785</v>
      </c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6" t="s">
        <v>35</v>
      </c>
      <c r="B34" s="56">
        <f>M28</f>
        <v>48120.521292415775</v>
      </c>
      <c r="C34" s="56">
        <f>O27</f>
        <v>14208.628182702963</v>
      </c>
      <c r="D34" s="56">
        <f t="shared" ref="D34:D35" si="10">B34+C34</f>
        <v>62329.149475118742</v>
      </c>
      <c r="E34" s="13"/>
      <c r="F34" s="13"/>
      <c r="G34" s="13"/>
      <c r="H34" s="13"/>
      <c r="I34" s="13"/>
      <c r="J34" s="21"/>
      <c r="K34" s="21"/>
      <c r="L34" s="13"/>
    </row>
    <row r="35" spans="1:12" x14ac:dyDescent="0.25">
      <c r="A35" s="22" t="s">
        <v>17</v>
      </c>
      <c r="B35" s="53">
        <f>B34+B33</f>
        <v>430072.89179518365</v>
      </c>
      <c r="C35" s="53">
        <f t="shared" ref="C35" si="11">C34+C33</f>
        <v>14208.628182702963</v>
      </c>
      <c r="D35" s="53">
        <f t="shared" si="10"/>
        <v>444281.51997788664</v>
      </c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8" spans="1:12" x14ac:dyDescent="0.25">
      <c r="A38" s="12" t="s">
        <v>167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4"/>
      <c r="B39" s="14" t="s">
        <v>18</v>
      </c>
      <c r="C39" s="14" t="s">
        <v>19</v>
      </c>
      <c r="D39" s="14" t="s">
        <v>128</v>
      </c>
      <c r="E39" s="15"/>
      <c r="F39" s="15"/>
      <c r="G39" s="15"/>
      <c r="H39" s="13"/>
    </row>
    <row r="40" spans="1:12" x14ac:dyDescent="0.25">
      <c r="A40" s="16" t="s">
        <v>22</v>
      </c>
      <c r="B40" s="19" t="s">
        <v>20</v>
      </c>
      <c r="C40" s="20">
        <f>SUM(D40:D40)</f>
        <v>1</v>
      </c>
      <c r="D40" s="20">
        <v>1</v>
      </c>
      <c r="E40" s="21"/>
      <c r="F40" s="21"/>
      <c r="G40" s="21"/>
      <c r="H40" s="13"/>
    </row>
    <row r="41" spans="1:12" x14ac:dyDescent="0.25">
      <c r="A41" s="22" t="s">
        <v>17</v>
      </c>
      <c r="B41" s="23" t="s">
        <v>21</v>
      </c>
      <c r="C41" s="24">
        <f>SUM(D41:D41)</f>
        <v>444281.51997788658</v>
      </c>
      <c r="D41" s="24">
        <f>D40*($O$28+$M$22)</f>
        <v>444281.51997788658</v>
      </c>
      <c r="E41" s="13"/>
      <c r="F41" s="13"/>
      <c r="G41" s="13"/>
      <c r="H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4" spans="1:12" x14ac:dyDescent="0.25">
      <c r="A44" s="12" t="s">
        <v>168</v>
      </c>
      <c r="B44" s="13"/>
      <c r="C44" s="13"/>
      <c r="D44" s="13"/>
      <c r="E44" s="13"/>
      <c r="F44" s="13"/>
      <c r="G44" s="13"/>
      <c r="H44" s="13"/>
    </row>
    <row r="45" spans="1:12" x14ac:dyDescent="0.25">
      <c r="A45" s="14"/>
      <c r="B45" s="14" t="s">
        <v>18</v>
      </c>
      <c r="C45" s="14" t="s">
        <v>19</v>
      </c>
      <c r="D45" s="14" t="str">
        <f>D39</f>
        <v>Rate 16</v>
      </c>
    </row>
    <row r="46" spans="1:12" x14ac:dyDescent="0.25">
      <c r="A46" s="16" t="s">
        <v>24</v>
      </c>
      <c r="B46" s="17" t="s">
        <v>131</v>
      </c>
      <c r="C46" s="18">
        <f>SUM(D46:D46)</f>
        <v>95824</v>
      </c>
      <c r="D46" s="18">
        <f>'Load Forecast'!D7</f>
        <v>95824</v>
      </c>
    </row>
    <row r="47" spans="1:12" x14ac:dyDescent="0.25">
      <c r="A47" s="16" t="s">
        <v>22</v>
      </c>
      <c r="B47" s="114" t="s">
        <v>20</v>
      </c>
      <c r="C47" s="20">
        <f>SUM(D47:D47)</f>
        <v>1</v>
      </c>
      <c r="D47" s="25">
        <f>D40</f>
        <v>1</v>
      </c>
    </row>
    <row r="48" spans="1:12" x14ac:dyDescent="0.25">
      <c r="A48" s="26" t="s">
        <v>17</v>
      </c>
      <c r="B48" s="27" t="s">
        <v>21</v>
      </c>
      <c r="C48" s="57">
        <f>SUM(D48:D48)</f>
        <v>444285.86787199997</v>
      </c>
      <c r="D48" s="28">
        <f>D46*D49*B56/100</f>
        <v>444285.86787199997</v>
      </c>
    </row>
    <row r="49" spans="1:4" x14ac:dyDescent="0.25">
      <c r="A49" s="22" t="s">
        <v>23</v>
      </c>
      <c r="B49" s="23" t="s">
        <v>132</v>
      </c>
      <c r="C49" s="29"/>
      <c r="D49" s="29">
        <f>ROUND(D41/D46*100/B56,4)</f>
        <v>3.8961999999999999</v>
      </c>
    </row>
    <row r="51" spans="1:4" x14ac:dyDescent="0.25">
      <c r="A51" s="58" t="s">
        <v>162</v>
      </c>
      <c r="B51" s="140">
        <v>44154</v>
      </c>
      <c r="C51" s="58"/>
    </row>
    <row r="52" spans="1:4" x14ac:dyDescent="0.25">
      <c r="A52" s="58" t="s">
        <v>163</v>
      </c>
      <c r="B52" s="140">
        <v>49632</v>
      </c>
      <c r="C52" s="58" t="s">
        <v>169</v>
      </c>
    </row>
    <row r="54" spans="1:4" x14ac:dyDescent="0.25">
      <c r="A54" s="58" t="s">
        <v>164</v>
      </c>
      <c r="B54" s="140">
        <v>46023</v>
      </c>
    </row>
    <row r="55" spans="1:4" x14ac:dyDescent="0.25">
      <c r="A55" s="58" t="s">
        <v>165</v>
      </c>
      <c r="B55" s="140">
        <f>B52</f>
        <v>49632</v>
      </c>
    </row>
    <row r="56" spans="1:4" x14ac:dyDescent="0.25">
      <c r="A56" s="58" t="s">
        <v>166</v>
      </c>
      <c r="B56" s="141">
        <v>119</v>
      </c>
    </row>
    <row r="57" spans="1:4" x14ac:dyDescent="0.25">
      <c r="A57" s="58"/>
      <c r="B57" s="140"/>
    </row>
  </sheetData>
  <sheetProtection sheet="1" objects="1" scenarios="1"/>
  <pageMargins left="0.70866141732283505" right="0.70866141732283505" top="0.74803149606299202" bottom="0.74803149606299202" header="0.31496062992126" footer="0.31496062992126"/>
  <pageSetup scale="59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6YNFE3WTN53P-2032442789-1407</_dlc_DocId>
    <_dlc_DocIdUrl xmlns="2bc3004b-9ad1-483e-becf-bfd5ad8c6084">
      <Url>https://epcorweb/en-ca/departments/natgas/sites/ON/ONReg/_layouts/15/DocIdRedir.aspx?ID=6YNFE3WTN53P-2032442789-1407</Url>
      <Description>6YNFE3WTN53P-2032442789-1407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7372A-094C-469B-900D-C2462FF8E8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386503-EB7C-497A-B47A-1F8E240A2856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5439dcb1-57cb-40ed-87e6-3a760137f3f8"/>
    <ds:schemaRef ds:uri="2bc3004b-9ad1-483e-becf-bfd5ad8c608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A986EE0-454F-4433-AD87-B9903AF2359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0D72353-3813-4448-8C89-85C332DDE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ECVA</vt:lpstr>
      <vt:lpstr>CIACVA</vt:lpstr>
      <vt:lpstr>MTVA</vt:lpstr>
      <vt:lpstr>ORDA</vt:lpstr>
      <vt:lpstr>CVVA</vt:lpstr>
      <vt:lpstr>UFGVA</vt:lpstr>
      <vt:lpstr>S&amp;TVA</vt:lpstr>
      <vt:lpstr>TVA</vt:lpstr>
      <vt:lpstr>Load Forecast</vt:lpstr>
      <vt:lpstr>CIACVA!Print_Area</vt:lpstr>
      <vt:lpstr>CVVA!Print_Area</vt:lpstr>
      <vt:lpstr>ECVA!Print_Area</vt:lpstr>
      <vt:lpstr>MTVA!Print_Area</vt:lpstr>
      <vt:lpstr>ORDA!Print_Area</vt:lpstr>
      <vt:lpstr>'S&amp;TVA'!Print_Area</vt:lpstr>
      <vt:lpstr>TVA!Print_Area</vt:lpstr>
    </vt:vector>
  </TitlesOfParts>
  <Company>EPCOR Utilities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Leung, George</dc:creator>
  <cp:lastModifiedBy>Hesselink, Tim</cp:lastModifiedBy>
  <cp:lastPrinted>2025-06-26T13:56:35Z</cp:lastPrinted>
  <dcterms:created xsi:type="dcterms:W3CDTF">2021-09-07T13:08:27Z</dcterms:created>
  <dcterms:modified xsi:type="dcterms:W3CDTF">2025-08-01T15:23:02Z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b755482f-4b65-4823-a594-ac222b57ac89</vt:lpwstr>
  </property>
</Properties>
</file>