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2026 EDR Application\0. Applications and Adjudication Process\A. Complete Application and Evidence_IRM\SUBMISSION\"/>
    </mc:Choice>
  </mc:AlternateContent>
  <xr:revisionPtr revIDLastSave="0" documentId="13_ncr:1_{FA774A7F-EE03-4FFC-AB4E-91C88D4763C9}" xr6:coauthVersionLast="47" xr6:coauthVersionMax="47" xr10:uidLastSave="{00000000-0000-0000-0000-000000000000}"/>
  <bookViews>
    <workbookView xWindow="15570" yWindow="3450" windowWidth="18900" windowHeight="11010" xr2:uid="{40FC9014-7E3C-4F78-955F-E2F2735F47D6}"/>
  </bookViews>
  <sheets>
    <sheet name="HRZ" sheetId="2" r:id="rId1"/>
    <sheet name="BRZ" sheetId="1" r:id="rId2"/>
    <sheet name="PRZ" sheetId="3" r:id="rId3"/>
    <sheet name="ERZ" sheetId="4" r:id="rId4"/>
    <sheet name="GRZ" sheetId="5" r:id="rId5"/>
  </sheets>
  <definedNames>
    <definedName name="_xlnm.Print_Area" localSheetId="1">BRZ!$B$1:$K$21</definedName>
    <definedName name="_xlnm.Print_Area" localSheetId="3">ERZ!$B$1:$L$18</definedName>
    <definedName name="_xlnm.Print_Area" localSheetId="4">GRZ!$B$1:$K$20</definedName>
    <definedName name="_xlnm.Print_Area" localSheetId="0">HRZ!$B$1:$K$19</definedName>
    <definedName name="_xlnm.Print_Area" localSheetId="2">PRZ!$B$1:$K$18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G3" i="3"/>
  <c r="E5" i="3"/>
  <c r="F5" i="3"/>
  <c r="G5" i="3"/>
  <c r="H5" i="3"/>
  <c r="I5" i="3"/>
  <c r="J5" i="3"/>
  <c r="K5" i="3"/>
  <c r="G3" i="2"/>
  <c r="D5" i="2"/>
  <c r="E5" i="2"/>
  <c r="F5" i="2"/>
  <c r="G5" i="2"/>
  <c r="H5" i="2"/>
  <c r="I5" i="2"/>
  <c r="J5" i="2"/>
  <c r="K5" i="2"/>
  <c r="G4" i="5"/>
  <c r="D6" i="5"/>
  <c r="E6" i="5"/>
  <c r="F6" i="5"/>
  <c r="G6" i="5"/>
  <c r="H6" i="5"/>
  <c r="I6" i="5"/>
  <c r="J6" i="5"/>
  <c r="K6" i="5"/>
  <c r="G3" i="4"/>
  <c r="D5" i="4"/>
  <c r="E5" i="4"/>
  <c r="F5" i="4"/>
  <c r="G5" i="4"/>
  <c r="H5" i="4"/>
  <c r="I5" i="4"/>
  <c r="J5" i="4"/>
  <c r="K5" i="4"/>
  <c r="I15" i="3" l="1"/>
  <c r="E9" i="1" l="1"/>
  <c r="F9" i="1" s="1"/>
  <c r="J18" i="1"/>
  <c r="I18" i="1"/>
  <c r="J17" i="5"/>
  <c r="C3" i="3"/>
  <c r="C3" i="2"/>
  <c r="C4" i="5"/>
  <c r="G9" i="1" l="1"/>
  <c r="H9" i="1" s="1"/>
  <c r="K9" i="1" s="1"/>
  <c r="D17" i="5" l="1"/>
  <c r="D15" i="4" l="1"/>
  <c r="C3" i="4"/>
  <c r="E17" i="1" l="1"/>
  <c r="F17" i="1" s="1"/>
  <c r="E15" i="1"/>
  <c r="F15" i="1" s="1"/>
  <c r="E16" i="1"/>
  <c r="F16" i="1" s="1"/>
  <c r="G15" i="1" l="1"/>
  <c r="H15" i="1" s="1"/>
  <c r="K15" i="1" s="1"/>
  <c r="G16" i="1"/>
  <c r="H16" i="1" s="1"/>
  <c r="K16" i="1" s="1"/>
  <c r="G17" i="1"/>
  <c r="H17" i="1" s="1"/>
  <c r="K17" i="1" s="1"/>
  <c r="E8" i="1"/>
  <c r="E10" i="1"/>
  <c r="F10" i="1" s="1"/>
  <c r="E13" i="1"/>
  <c r="F13" i="1" s="1"/>
  <c r="E11" i="1"/>
  <c r="F11" i="1" s="1"/>
  <c r="E12" i="1"/>
  <c r="F12" i="1" s="1"/>
  <c r="E14" i="1"/>
  <c r="F14" i="1" s="1"/>
  <c r="D18" i="1"/>
  <c r="G14" i="1" l="1"/>
  <c r="H14" i="1" s="1"/>
  <c r="K14" i="1" s="1"/>
  <c r="G13" i="1"/>
  <c r="H13" i="1" s="1"/>
  <c r="K13" i="1" s="1"/>
  <c r="G12" i="1"/>
  <c r="H12" i="1" s="1"/>
  <c r="K12" i="1" s="1"/>
  <c r="G10" i="1"/>
  <c r="H10" i="1" s="1"/>
  <c r="G11" i="1"/>
  <c r="H11" i="1" s="1"/>
  <c r="K11" i="1" s="1"/>
  <c r="F8" i="1"/>
  <c r="K10" i="1" l="1"/>
  <c r="G8" i="1"/>
  <c r="G18" i="1" s="1"/>
  <c r="F18" i="1"/>
  <c r="E18" i="1"/>
  <c r="D16" i="2"/>
  <c r="J15" i="4"/>
  <c r="I15" i="4"/>
  <c r="H8" i="1" l="1"/>
  <c r="K8" i="1" s="1"/>
  <c r="H18" i="1"/>
  <c r="B15" i="3"/>
  <c r="B14" i="3"/>
  <c r="B13" i="3"/>
  <c r="B11" i="3"/>
  <c r="B10" i="3"/>
  <c r="B14" i="2"/>
  <c r="B13" i="2"/>
  <c r="B11" i="2"/>
  <c r="B15" i="5"/>
  <c r="B13" i="5"/>
  <c r="B15" i="4"/>
  <c r="B14" i="4"/>
  <c r="B13" i="4"/>
  <c r="B12" i="3" s="1"/>
  <c r="B12" i="4"/>
  <c r="B9" i="4"/>
  <c r="B8" i="4"/>
  <c r="B10" i="5"/>
  <c r="B9" i="2"/>
  <c r="B9" i="3"/>
  <c r="B8" i="3"/>
  <c r="B8" i="2"/>
  <c r="B9" i="5"/>
  <c r="I17" i="5" l="1"/>
  <c r="J15" i="3"/>
  <c r="I16" i="2"/>
  <c r="J16" i="2"/>
  <c r="H3" i="5"/>
  <c r="E3" i="3"/>
  <c r="E12" i="3" l="1"/>
  <c r="F12" i="3" s="1"/>
  <c r="G12" i="3" s="1"/>
  <c r="H12" i="3" s="1"/>
  <c r="K12" i="3" s="1"/>
  <c r="E8" i="3"/>
  <c r="F8" i="3" s="1"/>
  <c r="G8" i="3" s="1"/>
  <c r="E14" i="3"/>
  <c r="F14" i="3" s="1"/>
  <c r="E11" i="3"/>
  <c r="F11" i="3" s="1"/>
  <c r="E10" i="3"/>
  <c r="F10" i="3" s="1"/>
  <c r="E13" i="3"/>
  <c r="F13" i="3" s="1"/>
  <c r="E9" i="3"/>
  <c r="F9" i="3" s="1"/>
  <c r="D15" i="3"/>
  <c r="C5" i="4"/>
  <c r="G13" i="3" l="1"/>
  <c r="H13" i="3" s="1"/>
  <c r="K13" i="3" s="1"/>
  <c r="G14" i="3"/>
  <c r="H8" i="3"/>
  <c r="G9" i="3"/>
  <c r="H9" i="3" s="1"/>
  <c r="K9" i="3" s="1"/>
  <c r="G10" i="3"/>
  <c r="H10" i="3" s="1"/>
  <c r="K10" i="3" s="1"/>
  <c r="G11" i="3"/>
  <c r="H11" i="3" s="1"/>
  <c r="K11" i="3" s="1"/>
  <c r="E15" i="3"/>
  <c r="F15" i="3"/>
  <c r="H14" i="3" l="1"/>
  <c r="K14" i="3" s="1"/>
  <c r="H15" i="3"/>
  <c r="K8" i="3"/>
  <c r="G15" i="3"/>
  <c r="E3" i="2"/>
  <c r="E8" i="2" s="1"/>
  <c r="E15" i="2" l="1"/>
  <c r="F15" i="2" s="1"/>
  <c r="G15" i="2" s="1"/>
  <c r="H15" i="2" s="1"/>
  <c r="K15" i="2" s="1"/>
  <c r="E11" i="2"/>
  <c r="F11" i="2" s="1"/>
  <c r="E10" i="2"/>
  <c r="F10" i="2" s="1"/>
  <c r="G10" i="2" s="1"/>
  <c r="H10" i="2" s="1"/>
  <c r="K10" i="2" s="1"/>
  <c r="E13" i="2"/>
  <c r="F13" i="2" s="1"/>
  <c r="E12" i="2"/>
  <c r="F12" i="2" s="1"/>
  <c r="G12" i="2" s="1"/>
  <c r="H12" i="2" s="1"/>
  <c r="K12" i="2" s="1"/>
  <c r="E14" i="2"/>
  <c r="F14" i="2" s="1"/>
  <c r="G14" i="2" s="1"/>
  <c r="H14" i="2" s="1"/>
  <c r="K14" i="2" s="1"/>
  <c r="F8" i="2"/>
  <c r="G8" i="2" s="1"/>
  <c r="E9" i="2"/>
  <c r="F9" i="2" s="1"/>
  <c r="E4" i="5"/>
  <c r="G9" i="2" l="1"/>
  <c r="H9" i="2" s="1"/>
  <c r="K9" i="2" s="1"/>
  <c r="H8" i="2"/>
  <c r="G11" i="2"/>
  <c r="H11" i="2" s="1"/>
  <c r="K11" i="2" s="1"/>
  <c r="G13" i="2"/>
  <c r="H13" i="2" s="1"/>
  <c r="K13" i="2" s="1"/>
  <c r="E16" i="2"/>
  <c r="F16" i="2"/>
  <c r="E16" i="5"/>
  <c r="F16" i="5" s="1"/>
  <c r="E9" i="5"/>
  <c r="E14" i="5"/>
  <c r="F14" i="5" s="1"/>
  <c r="E12" i="5"/>
  <c r="F12" i="5" s="1"/>
  <c r="E13" i="5"/>
  <c r="F13" i="5" s="1"/>
  <c r="E11" i="5"/>
  <c r="F11" i="5" s="1"/>
  <c r="E15" i="5"/>
  <c r="F15" i="5" s="1"/>
  <c r="E10" i="5"/>
  <c r="F10" i="5" s="1"/>
  <c r="G16" i="2" l="1"/>
  <c r="K8" i="2"/>
  <c r="H16" i="2"/>
  <c r="G11" i="5"/>
  <c r="H11" i="5" s="1"/>
  <c r="K11" i="5" s="1"/>
  <c r="G12" i="5"/>
  <c r="H12" i="5" s="1"/>
  <c r="K12" i="5" s="1"/>
  <c r="G14" i="5"/>
  <c r="H14" i="5" s="1"/>
  <c r="K14" i="5" s="1"/>
  <c r="G10" i="5"/>
  <c r="H10" i="5" s="1"/>
  <c r="K10" i="5" s="1"/>
  <c r="G13" i="5"/>
  <c r="H13" i="5" s="1"/>
  <c r="K13" i="5" s="1"/>
  <c r="G16" i="5"/>
  <c r="H16" i="5" s="1"/>
  <c r="K16" i="5" s="1"/>
  <c r="G15" i="5"/>
  <c r="H15" i="5" s="1"/>
  <c r="K15" i="5" s="1"/>
  <c r="F9" i="5"/>
  <c r="E17" i="5"/>
  <c r="E3" i="4"/>
  <c r="F17" i="5" l="1"/>
  <c r="G9" i="5"/>
  <c r="G17" i="5" s="1"/>
  <c r="E12" i="4"/>
  <c r="F12" i="4" s="1"/>
  <c r="E11" i="4"/>
  <c r="F11" i="4" s="1"/>
  <c r="G11" i="4" s="1"/>
  <c r="H11" i="4" s="1"/>
  <c r="K11" i="4" s="1"/>
  <c r="E8" i="4"/>
  <c r="E10" i="4"/>
  <c r="F10" i="4" s="1"/>
  <c r="E9" i="4"/>
  <c r="F9" i="4" s="1"/>
  <c r="E14" i="4"/>
  <c r="F14" i="4" s="1"/>
  <c r="G14" i="4" s="1"/>
  <c r="H14" i="4" s="1"/>
  <c r="K14" i="4" s="1"/>
  <c r="E13" i="4"/>
  <c r="F13" i="4" s="1"/>
  <c r="H9" i="5" l="1"/>
  <c r="G13" i="4"/>
  <c r="H13" i="4" s="1"/>
  <c r="K13" i="4" s="1"/>
  <c r="G9" i="4"/>
  <c r="H9" i="4" s="1"/>
  <c r="K9" i="4" s="1"/>
  <c r="G10" i="4"/>
  <c r="H10" i="4" s="1"/>
  <c r="K10" i="4" s="1"/>
  <c r="G12" i="4"/>
  <c r="H12" i="4" s="1"/>
  <c r="K12" i="4" s="1"/>
  <c r="K9" i="5"/>
  <c r="H17" i="5"/>
  <c r="F8" i="4"/>
  <c r="E15" i="4"/>
  <c r="H2" i="5"/>
  <c r="G8" i="4" l="1"/>
  <c r="G15" i="4" s="1"/>
  <c r="F15" i="4"/>
  <c r="H8" i="4" l="1"/>
  <c r="K8" i="4" s="1"/>
  <c r="H2" i="4"/>
  <c r="H15" i="4" l="1"/>
  <c r="H2" i="3"/>
  <c r="H2" i="2" l="1"/>
  <c r="H2" i="1"/>
</calcChain>
</file>

<file path=xl/sharedStrings.xml><?xml version="1.0" encoding="utf-8"?>
<sst xmlns="http://schemas.openxmlformats.org/spreadsheetml/2006/main" count="143" uniqueCount="49">
  <si>
    <t>Rate Class</t>
  </si>
  <si>
    <t>Unit</t>
  </si>
  <si>
    <t>LRAM Proposed Rate Rider Recovery Period (in months)</t>
  </si>
  <si>
    <t>Total Metered kWh</t>
  </si>
  <si>
    <t>Metered kW 
or kVA</t>
  </si>
  <si>
    <t>Residential Service Classification</t>
  </si>
  <si>
    <t>General Service less than 50 kW Service Classification</t>
  </si>
  <si>
    <t>General Service 50 to 699 kW Service Classification</t>
  </si>
  <si>
    <t>General Service 700 to 4,999 kW Service Classification</t>
  </si>
  <si>
    <t>Large Use Service Classification</t>
  </si>
  <si>
    <t>Unmetered Scattered Load Service Classification</t>
  </si>
  <si>
    <t>Street Lighting Service Classification</t>
  </si>
  <si>
    <t>Total</t>
  </si>
  <si>
    <t>General Service 50 to 499 kW Service Classification</t>
  </si>
  <si>
    <t>General Service 500 to 4,999 kW Service Classification</t>
  </si>
  <si>
    <t>General Service 50 to 999 kW Service Classification</t>
  </si>
  <si>
    <t>General Service 1,000 to 4,999 kW Service Classification</t>
  </si>
  <si>
    <t>General Service 50 to 4,999 kW Service Classification</t>
  </si>
  <si>
    <t>Large Use with Dedicated Assets Service Classification</t>
  </si>
  <si>
    <t>Sentinel Lighting Service Classification</t>
  </si>
  <si>
    <t>D</t>
  </si>
  <si>
    <t>LRAM Proposed Rate Rider Recovery Period for Street Lighting (in months)</t>
  </si>
  <si>
    <t>kWh</t>
  </si>
  <si>
    <t>kW</t>
  </si>
  <si>
    <t/>
  </si>
  <si>
    <t>Embedded Distributor Service Classification</t>
  </si>
  <si>
    <t>Distributed Generation [Dgen] Service Classification</t>
  </si>
  <si>
    <t>Energy From Waste Service Classification</t>
  </si>
  <si>
    <t>(1) Source: LRAMVA Workform, 1. LRAMVA Summary.</t>
  </si>
  <si>
    <t>BRZ</t>
  </si>
  <si>
    <t>ERZ</t>
  </si>
  <si>
    <t>GRZ</t>
  </si>
  <si>
    <t>HRZ</t>
  </si>
  <si>
    <t>PRZ</t>
  </si>
  <si>
    <t xml:space="preserve">3.3% Adjustment  </t>
  </si>
  <si>
    <t>(1) Source: 2024 LRAMVA Workform, 1. LRAMVA Summary.</t>
  </si>
  <si>
    <t>C=A+B</t>
  </si>
  <si>
    <t>E=C+D</t>
  </si>
  <si>
    <t>F</t>
  </si>
  <si>
    <t>H</t>
  </si>
  <si>
    <t>I</t>
  </si>
  <si>
    <t>J=G/H or J=G/I</t>
  </si>
  <si>
    <t>2026 Prospective LRAMVA Balance in 2024 Rates</t>
  </si>
  <si>
    <t>2026 Prospective LRAMVA Balance in 2025 Rates</t>
  </si>
  <si>
    <t>2026 Prospective LRAMVA Balance in 2026 Rates</t>
  </si>
  <si>
    <t>2026 PCI</t>
  </si>
  <si>
    <t>2026 Prospective LRAMVA Rate Rider</t>
  </si>
  <si>
    <t>G=E+F</t>
  </si>
  <si>
    <t xml:space="preserve">3.4% Adjustment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</si>
</sst>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;[Red]\(#,##0\)"/>
    <numFmt numFmtId="165" formatCode="0.0%"/>
    <numFmt numFmtId="166" formatCode="_ #,##0;[Red]\(#,##0\)"/>
    <numFmt numFmtId="167" formatCode="_ #,##0.0000;[Red]\(#,##0.0000\)"/>
    <numFmt numFmtId="168" formatCode="_(&quot;$&quot;* #,##0.0000_);_(&quot;$&quot;* \(#,##0.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/>
    <xf numFmtId="0" fontId="6" fillId="2" borderId="0" xfId="0" applyFont="1" applyFill="1"/>
    <xf numFmtId="165" fontId="0" fillId="0" borderId="0" xfId="1" applyNumberFormat="1" applyFont="1" applyProtection="1"/>
    <xf numFmtId="166" fontId="0" fillId="0" borderId="0" xfId="0" applyNumberFormat="1" applyAlignment="1">
      <alignment horizontal="right" vertical="top"/>
    </xf>
    <xf numFmtId="9" fontId="0" fillId="0" borderId="0" xfId="1" applyFont="1" applyAlignment="1" applyProtection="1">
      <alignment horizontal="right" vertical="top"/>
    </xf>
    <xf numFmtId="0" fontId="3" fillId="3" borderId="2" xfId="4" applyFont="1" applyFill="1" applyBorder="1" applyAlignment="1" applyProtection="1">
      <alignment horizontal="center"/>
      <protection locked="0"/>
    </xf>
    <xf numFmtId="0" fontId="3" fillId="0" borderId="0" xfId="4" applyFont="1" applyAlignment="1">
      <alignment horizontal="right" vertical="top" indent="2"/>
    </xf>
    <xf numFmtId="0" fontId="9" fillId="0" borderId="0" xfId="0" applyFont="1"/>
    <xf numFmtId="166" fontId="9" fillId="2" borderId="4" xfId="0" applyNumberFormat="1" applyFont="1" applyFill="1" applyBorder="1" applyAlignment="1">
      <alignment horizontal="right" vertical="top"/>
    </xf>
    <xf numFmtId="167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/>
    <xf numFmtId="166" fontId="9" fillId="2" borderId="0" xfId="0" applyNumberFormat="1" applyFont="1" applyFill="1"/>
    <xf numFmtId="164" fontId="9" fillId="2" borderId="0" xfId="0" applyNumberFormat="1" applyFont="1" applyFill="1"/>
    <xf numFmtId="0" fontId="7" fillId="0" borderId="0" xfId="0" applyFont="1"/>
    <xf numFmtId="0" fontId="10" fillId="0" borderId="0" xfId="0" applyFont="1"/>
    <xf numFmtId="165" fontId="9" fillId="0" borderId="0" xfId="1" applyNumberFormat="1" applyFont="1" applyProtection="1"/>
    <xf numFmtId="0" fontId="3" fillId="0" borderId="1" xfId="4" applyFont="1" applyBorder="1" applyAlignment="1">
      <alignment horizontal="right" vertical="top" indent="2"/>
    </xf>
    <xf numFmtId="10" fontId="3" fillId="3" borderId="2" xfId="4" applyNumberFormat="1" applyFont="1" applyFill="1" applyBorder="1" applyAlignment="1" applyProtection="1">
      <alignment horizontal="center"/>
      <protection locked="0"/>
    </xf>
    <xf numFmtId="0" fontId="9" fillId="2" borderId="0" xfId="0" quotePrefix="1" applyFont="1" applyFill="1" applyAlignment="1">
      <alignment horizontal="left" vertical="top" wrapText="1"/>
    </xf>
    <xf numFmtId="166" fontId="9" fillId="2" borderId="4" xfId="0" applyNumberFormat="1" applyFont="1" applyFill="1" applyBorder="1" applyAlignment="1">
      <alignment horizontal="center" vertical="top"/>
    </xf>
    <xf numFmtId="0" fontId="11" fillId="0" borderId="0" xfId="0" applyFont="1"/>
    <xf numFmtId="166" fontId="11" fillId="2" borderId="2" xfId="0" applyNumberFormat="1" applyFont="1" applyFill="1" applyBorder="1" applyAlignment="1">
      <alignment horizontal="right" vertical="top"/>
    </xf>
    <xf numFmtId="0" fontId="11" fillId="0" borderId="2" xfId="0" applyFont="1" applyBorder="1"/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/>
    </xf>
    <xf numFmtId="164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/>
    </xf>
    <xf numFmtId="6" fontId="11" fillId="2" borderId="2" xfId="0" applyNumberFormat="1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166" fontId="11" fillId="0" borderId="2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6" fontId="11" fillId="0" borderId="2" xfId="0" applyNumberFormat="1" applyFont="1" applyBorder="1" applyAlignment="1">
      <alignment horizontal="right"/>
    </xf>
    <xf numFmtId="6" fontId="11" fillId="0" borderId="2" xfId="5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Border="1" applyAlignment="1">
      <alignment horizontal="center" vertical="center"/>
    </xf>
    <xf numFmtId="6" fontId="11" fillId="0" borderId="2" xfId="0" applyNumberFormat="1" applyFont="1" applyBorder="1" applyAlignment="1">
      <alignment horizontal="right" vertical="top"/>
    </xf>
    <xf numFmtId="6" fontId="9" fillId="2" borderId="2" xfId="0" applyNumberFormat="1" applyFont="1" applyFill="1" applyBorder="1" applyAlignment="1">
      <alignment horizontal="right"/>
    </xf>
    <xf numFmtId="168" fontId="9" fillId="2" borderId="4" xfId="5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top"/>
    </xf>
    <xf numFmtId="0" fontId="2" fillId="2" borderId="0" xfId="0" quotePrefix="1" applyFont="1" applyFill="1" applyAlignment="1">
      <alignment horizontal="left" vertical="top" wrapText="1"/>
    </xf>
    <xf numFmtId="6" fontId="9" fillId="2" borderId="4" xfId="0" applyNumberFormat="1" applyFont="1" applyFill="1" applyBorder="1" applyAlignment="1">
      <alignment horizontal="right"/>
    </xf>
    <xf numFmtId="7" fontId="9" fillId="2" borderId="2" xfId="0" applyNumberFormat="1" applyFont="1" applyFill="1" applyBorder="1" applyAlignment="1">
      <alignment horizontal="right" vertical="top"/>
    </xf>
    <xf numFmtId="7" fontId="9" fillId="2" borderId="4" xfId="0" applyNumberFormat="1" applyFont="1" applyFill="1" applyBorder="1" applyAlignment="1">
      <alignment horizontal="right"/>
    </xf>
    <xf numFmtId="7" fontId="9" fillId="2" borderId="2" xfId="0" applyNumberFormat="1" applyFont="1" applyFill="1" applyBorder="1" applyAlignment="1">
      <alignment horizontal="right"/>
    </xf>
    <xf numFmtId="7" fontId="9" fillId="2" borderId="7" xfId="0" applyNumberFormat="1" applyFont="1" applyFill="1" applyBorder="1" applyAlignment="1">
      <alignment horizontal="right" vertical="top"/>
    </xf>
    <xf numFmtId="5" fontId="9" fillId="2" borderId="2" xfId="0" applyNumberFormat="1" applyFont="1" applyFill="1" applyBorder="1" applyAlignment="1">
      <alignment horizontal="right"/>
    </xf>
    <xf numFmtId="5" fontId="9" fillId="2" borderId="4" xfId="0" applyNumberFormat="1" applyFont="1" applyFill="1" applyBorder="1" applyAlignment="1">
      <alignment horizontal="right"/>
    </xf>
    <xf numFmtId="0" fontId="8" fillId="4" borderId="3" xfId="3" applyFont="1" applyFill="1" applyBorder="1" applyAlignment="1">
      <alignment horizontal="center" vertical="center" wrapText="1"/>
    </xf>
    <xf numFmtId="0" fontId="3" fillId="0" borderId="0" xfId="4" applyFont="1" applyAlignment="1">
      <alignment horizontal="right" vertical="top" indent="2"/>
    </xf>
    <xf numFmtId="0" fontId="8" fillId="4" borderId="3" xfId="4" applyFont="1" applyFill="1" applyBorder="1" applyAlignment="1">
      <alignment horizontal="center" wrapText="1"/>
    </xf>
    <xf numFmtId="0" fontId="8" fillId="4" borderId="3" xfId="3" applyFont="1" applyFill="1" applyBorder="1" applyAlignment="1">
      <alignment horizontal="center" wrapText="1"/>
    </xf>
    <xf numFmtId="0" fontId="8" fillId="4" borderId="5" xfId="4" applyFont="1" applyFill="1" applyBorder="1" applyAlignment="1">
      <alignment horizontal="center"/>
    </xf>
    <xf numFmtId="0" fontId="8" fillId="4" borderId="6" xfId="4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5" xfId="4" applyFont="1" applyFill="1" applyBorder="1" applyAlignment="1">
      <alignment horizontal="center" wrapText="1"/>
    </xf>
    <xf numFmtId="0" fontId="8" fillId="4" borderId="6" xfId="4" applyFont="1" applyFill="1" applyBorder="1" applyAlignment="1">
      <alignment horizontal="center" wrapText="1"/>
    </xf>
    <xf numFmtId="0" fontId="8" fillId="4" borderId="8" xfId="4" applyFont="1" applyFill="1" applyBorder="1" applyAlignment="1">
      <alignment horizontal="center" wrapText="1"/>
    </xf>
  </cellXfs>
  <cellStyles count="6">
    <cellStyle name="Currency" xfId="5" builtinId="4"/>
    <cellStyle name="Normal" xfId="0" builtinId="0"/>
    <cellStyle name="Normal 2" xfId="2" xr:uid="{1D7514ED-B327-456D-B453-94A7698B5477}"/>
    <cellStyle name="Normal_6. Cost Allocation for Def-Var" xfId="3" xr:uid="{1C85FCF2-6085-4773-8D66-DB8BAF13C80F}"/>
    <cellStyle name="Normal_Sheet7" xfId="4" xr:uid="{A2E3AD5D-CDAC-4803-8A08-16C0E1363D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D4B6-82E1-4E70-94BC-E8AE00D701FB}">
  <sheetPr codeName="Sheet4">
    <pageSetUpPr fitToPage="1"/>
  </sheetPr>
  <dimension ref="B1:K19"/>
  <sheetViews>
    <sheetView showGridLines="0" tabSelected="1" zoomScaleNormal="100" zoomScaleSheetLayoutView="100" workbookViewId="0">
      <selection activeCell="D4" sqref="D4"/>
    </sheetView>
  </sheetViews>
  <sheetFormatPr defaultColWidth="9.28515625" defaultRowHeight="15" x14ac:dyDescent="0.25"/>
  <cols>
    <col min="2" max="2" width="48.5703125" customWidth="1"/>
    <col min="3" max="3" width="6.7109375" customWidth="1"/>
    <col min="4" max="4" width="16.7109375" customWidth="1"/>
    <col min="5" max="5" width="11.7109375" customWidth="1"/>
    <col min="6" max="6" width="16.7109375" customWidth="1"/>
    <col min="7" max="7" width="11.7109375" customWidth="1"/>
    <col min="8" max="11" width="16.7109375" customWidth="1"/>
    <col min="12" max="12" width="17.7109375" bestFit="1" customWidth="1"/>
  </cols>
  <sheetData>
    <row r="1" spans="2:11" x14ac:dyDescent="0.25">
      <c r="B1" s="2"/>
      <c r="C1" s="2"/>
      <c r="D1" s="2"/>
      <c r="E1" s="2"/>
      <c r="I1" s="2"/>
      <c r="J1" s="2"/>
    </row>
    <row r="2" spans="2:11" x14ac:dyDescent="0.25">
      <c r="B2" s="60" t="s">
        <v>2</v>
      </c>
      <c r="C2" s="60"/>
      <c r="D2" s="2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K2" s="3"/>
    </row>
    <row r="3" spans="2:11" x14ac:dyDescent="0.25">
      <c r="C3" s="10" t="str">
        <f>BRZ!C3</f>
        <v>2026 PCI</v>
      </c>
      <c r="D3" s="10"/>
      <c r="E3" s="22">
        <f>BRZ!E3</f>
        <v>3.3000000000000002E-2</v>
      </c>
      <c r="G3" s="22">
        <f>BRZ!G3</f>
        <v>3.4000000000000002E-2</v>
      </c>
      <c r="H3" s="4"/>
      <c r="I3" s="4"/>
      <c r="J3" s="4"/>
    </row>
    <row r="5" spans="2:11" s="11" customFormat="1" ht="12.75" customHeight="1" x14ac:dyDescent="0.2">
      <c r="B5" s="68" t="s">
        <v>32</v>
      </c>
      <c r="C5" s="63" t="s">
        <v>1</v>
      </c>
      <c r="D5" s="67" t="str">
        <f>BRZ!D5</f>
        <v>2026 Prospective LRAMVA Balance in 2024 Rates</v>
      </c>
      <c r="E5" s="67" t="str">
        <f>BRZ!E5</f>
        <v xml:space="preserve">3.3% Adjustment  </v>
      </c>
      <c r="F5" s="67" t="str">
        <f>BRZ!F5</f>
        <v>2026 Prospective LRAMVA Balance in 2025 Rates</v>
      </c>
      <c r="G5" s="67" t="str">
        <f>BRZ!G5</f>
        <v xml:space="preserve">3.4% Adjustment  </v>
      </c>
      <c r="H5" s="67" t="str">
        <f>BRZ!H5</f>
        <v>2026 Prospective LRAMVA Balance in 2026 Rates</v>
      </c>
      <c r="I5" s="67" t="str">
        <f>BRZ!I5</f>
        <v>Total Metered kWh</v>
      </c>
      <c r="J5" s="67" t="str">
        <f>BRZ!J5</f>
        <v>Metered kW 
or kVA</v>
      </c>
      <c r="K5" s="67" t="str">
        <f>BRZ!K5</f>
        <v>2026 Prospective LRAMVA Rate Rider</v>
      </c>
    </row>
    <row r="6" spans="2:11" s="11" customFormat="1" ht="43.9" customHeight="1" x14ac:dyDescent="0.2">
      <c r="B6" s="69" t="s">
        <v>0</v>
      </c>
      <c r="C6" s="64"/>
      <c r="D6" s="67"/>
      <c r="E6" s="67"/>
      <c r="F6" s="67"/>
      <c r="G6" s="67"/>
      <c r="H6" s="67"/>
      <c r="I6" s="67"/>
      <c r="J6" s="67"/>
      <c r="K6" s="67"/>
    </row>
    <row r="7" spans="2:11" x14ac:dyDescent="0.25">
      <c r="B7" s="28"/>
      <c r="C7" s="29"/>
      <c r="D7" s="30" t="s">
        <v>36</v>
      </c>
      <c r="E7" s="29" t="s">
        <v>20</v>
      </c>
      <c r="F7" s="30" t="s">
        <v>37</v>
      </c>
      <c r="G7" s="30" t="s">
        <v>38</v>
      </c>
      <c r="H7" s="30" t="s">
        <v>47</v>
      </c>
      <c r="I7" s="24" t="s">
        <v>39</v>
      </c>
      <c r="J7" s="24" t="s">
        <v>40</v>
      </c>
      <c r="K7" s="13" t="s">
        <v>41</v>
      </c>
    </row>
    <row r="8" spans="2:11" s="11" customFormat="1" ht="12.75" x14ac:dyDescent="0.2">
      <c r="B8" s="28" t="str">
        <f>+BRZ!B8</f>
        <v>Residential Service Classification</v>
      </c>
      <c r="C8" s="29" t="s">
        <v>22</v>
      </c>
      <c r="D8" s="57">
        <v>0</v>
      </c>
      <c r="E8" s="57">
        <f t="shared" ref="E8:E15" si="0">D8*$E$3</f>
        <v>0</v>
      </c>
      <c r="F8" s="57">
        <f t="shared" ref="F8:H15" si="1">D8+E8</f>
        <v>0</v>
      </c>
      <c r="G8" s="58">
        <f>+F8*$G$3</f>
        <v>0</v>
      </c>
      <c r="H8" s="57">
        <f t="shared" si="1"/>
        <v>0</v>
      </c>
      <c r="I8" s="12">
        <v>1738650225.5428357</v>
      </c>
      <c r="J8" s="12">
        <v>0</v>
      </c>
      <c r="K8" s="49">
        <f t="shared" ref="K8:K15" si="2">IFERROR(IF(C8="kwh",H8/I8/($G$2/12),H8/J8/($G$2/12)),0)</f>
        <v>0</v>
      </c>
    </row>
    <row r="9" spans="2:11" s="11" customFormat="1" ht="12.75" x14ac:dyDescent="0.2">
      <c r="B9" s="28" t="str">
        <f>+BRZ!B9</f>
        <v>General Service less than 50 kW Service Classification</v>
      </c>
      <c r="C9" s="29" t="s">
        <v>22</v>
      </c>
      <c r="D9" s="57">
        <v>321857.94236412976</v>
      </c>
      <c r="E9" s="57">
        <f t="shared" si="0"/>
        <v>10621.312098016282</v>
      </c>
      <c r="F9" s="57">
        <f t="shared" si="1"/>
        <v>332479.25446214603</v>
      </c>
      <c r="G9" s="58">
        <f t="shared" ref="G9:G15" si="3">+F9*$G$3</f>
        <v>11304.294651712966</v>
      </c>
      <c r="H9" s="57">
        <f t="shared" si="1"/>
        <v>343783.54911385902</v>
      </c>
      <c r="I9" s="12">
        <v>576791738.56300747</v>
      </c>
      <c r="J9" s="12">
        <v>0</v>
      </c>
      <c r="K9" s="49">
        <f t="shared" si="2"/>
        <v>5.9602717259845924E-4</v>
      </c>
    </row>
    <row r="10" spans="2:11" s="11" customFormat="1" ht="12.75" x14ac:dyDescent="0.2">
      <c r="B10" s="28" t="s">
        <v>17</v>
      </c>
      <c r="C10" s="29" t="s">
        <v>23</v>
      </c>
      <c r="D10" s="57">
        <v>-122824.25964674675</v>
      </c>
      <c r="E10" s="57">
        <f t="shared" si="0"/>
        <v>-4053.2005683426428</v>
      </c>
      <c r="F10" s="57">
        <f t="shared" si="1"/>
        <v>-126877.46021508939</v>
      </c>
      <c r="G10" s="58">
        <f t="shared" si="3"/>
        <v>-4313.8336473130394</v>
      </c>
      <c r="H10" s="57">
        <f t="shared" si="1"/>
        <v>-131191.29386240244</v>
      </c>
      <c r="I10" s="12">
        <v>1754666697.537853</v>
      </c>
      <c r="J10" s="12">
        <v>4738017.0916083679</v>
      </c>
      <c r="K10" s="49">
        <f t="shared" si="2"/>
        <v>-2.7689071467209128E-2</v>
      </c>
    </row>
    <row r="11" spans="2:11" s="11" customFormat="1" ht="12.75" x14ac:dyDescent="0.2">
      <c r="B11" s="28" t="str">
        <f>+BRZ!B12</f>
        <v>Large Use Service Classification</v>
      </c>
      <c r="C11" s="29" t="s">
        <v>23</v>
      </c>
      <c r="D11" s="57">
        <v>25413.043959508363</v>
      </c>
      <c r="E11" s="57">
        <f t="shared" si="0"/>
        <v>838.63045066377606</v>
      </c>
      <c r="F11" s="57">
        <f t="shared" si="1"/>
        <v>26251.674410172138</v>
      </c>
      <c r="G11" s="58">
        <f t="shared" si="3"/>
        <v>892.55692994585274</v>
      </c>
      <c r="H11" s="57">
        <f t="shared" si="1"/>
        <v>27144.231340117989</v>
      </c>
      <c r="I11" s="12">
        <v>232027455.84220517</v>
      </c>
      <c r="J11" s="12">
        <v>535719.30153723224</v>
      </c>
      <c r="K11" s="49">
        <f t="shared" si="2"/>
        <v>5.0668757429923363E-2</v>
      </c>
    </row>
    <row r="12" spans="2:11" s="11" customFormat="1" ht="12.75" x14ac:dyDescent="0.2">
      <c r="B12" s="28" t="s">
        <v>18</v>
      </c>
      <c r="C12" s="29" t="s">
        <v>23</v>
      </c>
      <c r="D12" s="57">
        <v>29923.337164600682</v>
      </c>
      <c r="E12" s="57">
        <f t="shared" si="0"/>
        <v>987.47012643182256</v>
      </c>
      <c r="F12" s="57">
        <f t="shared" si="1"/>
        <v>30910.807291032503</v>
      </c>
      <c r="G12" s="58">
        <f t="shared" si="3"/>
        <v>1050.9674478951051</v>
      </c>
      <c r="H12" s="57">
        <f t="shared" si="1"/>
        <v>31961.774738927608</v>
      </c>
      <c r="I12" s="12">
        <v>865114351.60835862</v>
      </c>
      <c r="J12" s="12">
        <v>1601505.3417257788</v>
      </c>
      <c r="K12" s="49">
        <f t="shared" si="2"/>
        <v>1.99573325834091E-2</v>
      </c>
    </row>
    <row r="13" spans="2:11" s="11" customFormat="1" ht="12.75" x14ac:dyDescent="0.2">
      <c r="B13" s="28" t="str">
        <f>+BRZ!B13</f>
        <v>Unmetered Scattered Load Service Classification</v>
      </c>
      <c r="C13" s="29" t="s">
        <v>22</v>
      </c>
      <c r="D13" s="57">
        <v>52210.948636871311</v>
      </c>
      <c r="E13" s="57">
        <f t="shared" si="0"/>
        <v>1722.9613050167534</v>
      </c>
      <c r="F13" s="57">
        <f t="shared" si="1"/>
        <v>53933.909941888065</v>
      </c>
      <c r="G13" s="58">
        <f t="shared" si="3"/>
        <v>1833.7529380241942</v>
      </c>
      <c r="H13" s="57">
        <f t="shared" si="1"/>
        <v>55767.662879912263</v>
      </c>
      <c r="I13" s="12">
        <v>11127815.78186723</v>
      </c>
      <c r="J13" s="12">
        <v>0</v>
      </c>
      <c r="K13" s="49">
        <f t="shared" si="2"/>
        <v>5.0115551850512877E-3</v>
      </c>
    </row>
    <row r="14" spans="2:11" s="11" customFormat="1" ht="12.75" x14ac:dyDescent="0.2">
      <c r="B14" s="28" t="str">
        <f>+BRZ!B14</f>
        <v>Street Lighting Service Classification</v>
      </c>
      <c r="C14" s="29" t="s">
        <v>23</v>
      </c>
      <c r="D14" s="57">
        <v>217540.6786999717</v>
      </c>
      <c r="E14" s="57">
        <f t="shared" si="0"/>
        <v>7178.8423970990661</v>
      </c>
      <c r="F14" s="57">
        <f t="shared" si="1"/>
        <v>224719.52109707077</v>
      </c>
      <c r="G14" s="58">
        <f t="shared" si="3"/>
        <v>7640.4637173004066</v>
      </c>
      <c r="H14" s="57">
        <f t="shared" si="1"/>
        <v>232359.98481437119</v>
      </c>
      <c r="I14" s="12">
        <v>16837050.337657332</v>
      </c>
      <c r="J14" s="12">
        <v>50634.513897032957</v>
      </c>
      <c r="K14" s="49">
        <f t="shared" si="2"/>
        <v>4.588964461807282</v>
      </c>
    </row>
    <row r="15" spans="2:11" s="11" customFormat="1" ht="12.75" x14ac:dyDescent="0.2">
      <c r="B15" s="28" t="s">
        <v>19</v>
      </c>
      <c r="C15" s="29" t="s">
        <v>23</v>
      </c>
      <c r="D15" s="57">
        <v>0</v>
      </c>
      <c r="E15" s="57">
        <f t="shared" si="0"/>
        <v>0</v>
      </c>
      <c r="F15" s="57">
        <f t="shared" si="1"/>
        <v>0</v>
      </c>
      <c r="G15" s="58">
        <f t="shared" si="3"/>
        <v>0</v>
      </c>
      <c r="H15" s="57">
        <f t="shared" si="1"/>
        <v>0</v>
      </c>
      <c r="I15" s="12">
        <v>279194.87776892149</v>
      </c>
      <c r="J15" s="12">
        <v>1332.8182639992369</v>
      </c>
      <c r="K15" s="49">
        <f t="shared" si="2"/>
        <v>0</v>
      </c>
    </row>
    <row r="16" spans="2:11" s="25" customFormat="1" ht="12.75" x14ac:dyDescent="0.2">
      <c r="B16" s="33" t="s">
        <v>12</v>
      </c>
      <c r="C16" s="40"/>
      <c r="D16" s="35">
        <f>SUM(D8:D15)</f>
        <v>524121.69117833505</v>
      </c>
      <c r="E16" s="35">
        <f t="shared" ref="E16:J16" si="4">SUM(E8:E15)</f>
        <v>17296.015808885059</v>
      </c>
      <c r="F16" s="35">
        <f t="shared" si="4"/>
        <v>541417.7069872201</v>
      </c>
      <c r="G16" s="35">
        <f t="shared" si="4"/>
        <v>18408.202037565483</v>
      </c>
      <c r="H16" s="35">
        <f t="shared" si="4"/>
        <v>559825.90902478562</v>
      </c>
      <c r="I16" s="26">
        <f t="shared" si="4"/>
        <v>5195494530.0915518</v>
      </c>
      <c r="J16" s="26">
        <f t="shared" si="4"/>
        <v>6927209.0670324117</v>
      </c>
      <c r="K16" s="27"/>
    </row>
    <row r="17" spans="2:11" x14ac:dyDescent="0.25">
      <c r="B17" s="5" t="s">
        <v>24</v>
      </c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5">
      <c r="B18" s="5" t="s">
        <v>24</v>
      </c>
    </row>
    <row r="19" spans="2:11" x14ac:dyDescent="0.25">
      <c r="B19" s="23" t="s">
        <v>28</v>
      </c>
    </row>
  </sheetData>
  <protectedRanges>
    <protectedRange sqref="F8:H15" name="Range1_1_1_1"/>
    <protectedRange sqref="J7" name="Range1_1"/>
  </protectedRanges>
  <mergeCells count="11">
    <mergeCell ref="K5:K6"/>
    <mergeCell ref="F5:F6"/>
    <mergeCell ref="B2:C2"/>
    <mergeCell ref="I5:I6"/>
    <mergeCell ref="J5:J6"/>
    <mergeCell ref="D5:D6"/>
    <mergeCell ref="E5:E6"/>
    <mergeCell ref="B5:B6"/>
    <mergeCell ref="C5:C6"/>
    <mergeCell ref="G5:G6"/>
    <mergeCell ref="H5:H6"/>
  </mergeCells>
  <pageMargins left="0.70866141732283505" right="0.70866141732283505" top="0.74803149606299202" bottom="0.74803149606299202" header="0.31496062992126" footer="0.31496062992126"/>
  <pageSetup scale="66" orientation="landscape" r:id="rId1"/>
  <headerFooter>
    <oddFooter>&amp;A</oddFooter>
  </headerFooter>
  <ignoredErrors>
    <ignoredError sqref="E8:E15 G8:G15" formula="1"/>
    <ignoredError sqref="E3:G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0E67-189F-4D48-960E-2C21D49324A0}">
  <sheetPr codeName="Sheet1">
    <pageSetUpPr fitToPage="1"/>
  </sheetPr>
  <dimension ref="B1:K24"/>
  <sheetViews>
    <sheetView showGridLines="0" zoomScaleNormal="100" zoomScaleSheetLayoutView="100" workbookViewId="0">
      <selection activeCell="D5" sqref="D5:D6"/>
    </sheetView>
  </sheetViews>
  <sheetFormatPr defaultColWidth="9.28515625" defaultRowHeight="15" x14ac:dyDescent="0.25"/>
  <cols>
    <col min="1" max="1" width="15.7109375" bestFit="1" customWidth="1"/>
    <col min="2" max="2" width="52" customWidth="1"/>
    <col min="3" max="3" width="6.7109375" customWidth="1"/>
    <col min="4" max="4" width="16.7109375" customWidth="1"/>
    <col min="5" max="5" width="11.28515625" customWidth="1"/>
    <col min="6" max="6" width="16.7109375" customWidth="1"/>
    <col min="7" max="7" width="11.7109375" customWidth="1"/>
    <col min="8" max="8" width="16.7109375" customWidth="1"/>
    <col min="9" max="9" width="13.7109375" bestFit="1" customWidth="1"/>
    <col min="10" max="10" width="11.7109375" bestFit="1" customWidth="1"/>
    <col min="11" max="11" width="16.7109375" customWidth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x14ac:dyDescent="0.25">
      <c r="B2" s="60" t="s">
        <v>2</v>
      </c>
      <c r="C2" s="60"/>
      <c r="D2" s="2"/>
      <c r="F2" s="2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J2" s="4"/>
    </row>
    <row r="3" spans="2:11" x14ac:dyDescent="0.25">
      <c r="C3" s="10" t="s">
        <v>45</v>
      </c>
      <c r="D3" s="10"/>
      <c r="E3" s="22">
        <v>3.3000000000000002E-2</v>
      </c>
      <c r="G3" s="22">
        <v>3.4000000000000002E-2</v>
      </c>
      <c r="I3" s="4"/>
      <c r="J3" s="4"/>
    </row>
    <row r="5" spans="2:11" s="18" customFormat="1" ht="33" customHeight="1" x14ac:dyDescent="0.25">
      <c r="B5" s="63" t="s">
        <v>29</v>
      </c>
      <c r="C5" s="63" t="s">
        <v>1</v>
      </c>
      <c r="D5" s="62" t="s">
        <v>42</v>
      </c>
      <c r="E5" s="65" t="s">
        <v>34</v>
      </c>
      <c r="F5" s="62" t="s">
        <v>43</v>
      </c>
      <c r="G5" s="65" t="s">
        <v>48</v>
      </c>
      <c r="H5" s="62" t="s">
        <v>44</v>
      </c>
      <c r="I5" s="61" t="s">
        <v>3</v>
      </c>
      <c r="J5" s="61" t="s">
        <v>4</v>
      </c>
      <c r="K5" s="59" t="s">
        <v>46</v>
      </c>
    </row>
    <row r="6" spans="2:11" s="18" customFormat="1" ht="20.25" customHeight="1" x14ac:dyDescent="0.25">
      <c r="B6" s="64"/>
      <c r="C6" s="64"/>
      <c r="D6" s="62"/>
      <c r="E6" s="66"/>
      <c r="F6" s="62"/>
      <c r="G6" s="66"/>
      <c r="H6" s="62"/>
      <c r="I6" s="61"/>
      <c r="J6" s="61"/>
      <c r="K6" s="59"/>
    </row>
    <row r="7" spans="2:11" x14ac:dyDescent="0.25">
      <c r="B7" s="28"/>
      <c r="C7" s="29"/>
      <c r="D7" s="30" t="s">
        <v>36</v>
      </c>
      <c r="E7" s="29" t="s">
        <v>20</v>
      </c>
      <c r="F7" s="30" t="s">
        <v>37</v>
      </c>
      <c r="G7" s="30" t="s">
        <v>38</v>
      </c>
      <c r="H7" s="30" t="s">
        <v>47</v>
      </c>
      <c r="I7" s="24" t="s">
        <v>39</v>
      </c>
      <c r="J7" s="24" t="s">
        <v>40</v>
      </c>
      <c r="K7" s="13" t="s">
        <v>41</v>
      </c>
    </row>
    <row r="8" spans="2:11" x14ac:dyDescent="0.25">
      <c r="B8" s="28" t="s">
        <v>5</v>
      </c>
      <c r="C8" s="29" t="s">
        <v>22</v>
      </c>
      <c r="D8" s="48">
        <v>0</v>
      </c>
      <c r="E8" s="48">
        <f t="shared" ref="E8:E17" si="0">+D8*$E$3</f>
        <v>0</v>
      </c>
      <c r="F8" s="48">
        <f>D8+E8</f>
        <v>0</v>
      </c>
      <c r="G8" s="52">
        <f t="shared" ref="G8:G17" si="1">+F8*$G$3</f>
        <v>0</v>
      </c>
      <c r="H8" s="48">
        <f>F8+G8</f>
        <v>0</v>
      </c>
      <c r="I8" s="12">
        <v>1595360777.4876707</v>
      </c>
      <c r="J8" s="12">
        <v>0</v>
      </c>
      <c r="K8" s="49">
        <f t="shared" ref="K8:K13" si="2">IFERROR(IF(C8="kwh",H8/I8/($G$2/12),H8/J8/($G$2/12)),0)</f>
        <v>0</v>
      </c>
    </row>
    <row r="9" spans="2:11" x14ac:dyDescent="0.25">
      <c r="B9" s="31" t="s">
        <v>6</v>
      </c>
      <c r="C9" s="32" t="s">
        <v>22</v>
      </c>
      <c r="D9" s="48">
        <v>396594.28346710629</v>
      </c>
      <c r="E9" s="48">
        <f t="shared" si="0"/>
        <v>13087.611354414508</v>
      </c>
      <c r="F9" s="48">
        <f>D9+E9</f>
        <v>409681.89482152078</v>
      </c>
      <c r="G9" s="52">
        <f t="shared" si="1"/>
        <v>13929.184423931707</v>
      </c>
      <c r="H9" s="48">
        <f>F9+G9</f>
        <v>423611.07924545248</v>
      </c>
      <c r="I9" s="12">
        <v>345070796.74024844</v>
      </c>
      <c r="J9" s="12">
        <v>0</v>
      </c>
      <c r="K9" s="49">
        <f t="shared" si="2"/>
        <v>1.2276062861509695E-3</v>
      </c>
    </row>
    <row r="10" spans="2:11" x14ac:dyDescent="0.25">
      <c r="B10" s="31" t="s">
        <v>7</v>
      </c>
      <c r="C10" s="32" t="s">
        <v>23</v>
      </c>
      <c r="D10" s="48">
        <v>274686.13963184162</v>
      </c>
      <c r="E10" s="48">
        <f t="shared" si="0"/>
        <v>9064.6426078507739</v>
      </c>
      <c r="F10" s="48">
        <f t="shared" ref="F10:F17" si="3">D10+E10</f>
        <v>283750.7822396924</v>
      </c>
      <c r="G10" s="52">
        <f t="shared" si="1"/>
        <v>9647.5265961495425</v>
      </c>
      <c r="H10" s="48">
        <f t="shared" ref="H10:H17" si="4">F10+G10</f>
        <v>293398.30883584195</v>
      </c>
      <c r="I10" s="12">
        <v>1081912303.1946974</v>
      </c>
      <c r="J10" s="12">
        <v>3013128.2514046999</v>
      </c>
      <c r="K10" s="49">
        <f t="shared" si="2"/>
        <v>9.737332245949426E-2</v>
      </c>
    </row>
    <row r="11" spans="2:11" x14ac:dyDescent="0.25">
      <c r="B11" s="31" t="s">
        <v>8</v>
      </c>
      <c r="C11" s="32" t="s">
        <v>23</v>
      </c>
      <c r="D11" s="48">
        <v>155658.56396570217</v>
      </c>
      <c r="E11" s="48">
        <f t="shared" si="0"/>
        <v>5136.7326108681718</v>
      </c>
      <c r="F11" s="48">
        <f t="shared" si="3"/>
        <v>160795.29657657034</v>
      </c>
      <c r="G11" s="52">
        <f t="shared" si="1"/>
        <v>5467.0400836033923</v>
      </c>
      <c r="H11" s="48">
        <f t="shared" si="4"/>
        <v>166262.33666017372</v>
      </c>
      <c r="I11" s="12">
        <v>878797902.52455258</v>
      </c>
      <c r="J11" s="12">
        <v>2065626.3671198874</v>
      </c>
      <c r="K11" s="49">
        <f t="shared" si="2"/>
        <v>8.0490034067484381E-2</v>
      </c>
    </row>
    <row r="12" spans="2:11" x14ac:dyDescent="0.25">
      <c r="B12" s="31" t="s">
        <v>9</v>
      </c>
      <c r="C12" s="32" t="s">
        <v>23</v>
      </c>
      <c r="D12" s="48">
        <v>72650.410043194643</v>
      </c>
      <c r="E12" s="48">
        <f t="shared" si="0"/>
        <v>2397.4635314254233</v>
      </c>
      <c r="F12" s="48">
        <f t="shared" si="3"/>
        <v>75047.873574620069</v>
      </c>
      <c r="G12" s="52">
        <f t="shared" si="1"/>
        <v>2551.6277015370824</v>
      </c>
      <c r="H12" s="48">
        <f t="shared" si="4"/>
        <v>77599.501276157156</v>
      </c>
      <c r="I12" s="12">
        <v>248545492.6846377</v>
      </c>
      <c r="J12" s="12">
        <v>455969.81074931833</v>
      </c>
      <c r="K12" s="49">
        <f t="shared" si="2"/>
        <v>0.17018561195670817</v>
      </c>
    </row>
    <row r="13" spans="2:11" x14ac:dyDescent="0.25">
      <c r="B13" s="31" t="s">
        <v>10</v>
      </c>
      <c r="C13" s="32" t="s">
        <v>22</v>
      </c>
      <c r="D13" s="48">
        <v>58082.185838670935</v>
      </c>
      <c r="E13" s="48">
        <f t="shared" si="0"/>
        <v>1916.712132676141</v>
      </c>
      <c r="F13" s="48">
        <f t="shared" si="3"/>
        <v>59998.897971347076</v>
      </c>
      <c r="G13" s="52">
        <f t="shared" si="1"/>
        <v>2039.9625310258007</v>
      </c>
      <c r="H13" s="48">
        <f t="shared" si="4"/>
        <v>62038.860502372874</v>
      </c>
      <c r="I13" s="12">
        <v>6163740.09898814</v>
      </c>
      <c r="J13" s="12">
        <v>0</v>
      </c>
      <c r="K13" s="49">
        <f t="shared" si="2"/>
        <v>1.0065132453030812E-2</v>
      </c>
    </row>
    <row r="14" spans="2:11" x14ac:dyDescent="0.25">
      <c r="B14" s="31" t="s">
        <v>11</v>
      </c>
      <c r="C14" s="32" t="s">
        <v>23</v>
      </c>
      <c r="D14" s="48">
        <v>485155.33070664661</v>
      </c>
      <c r="E14" s="48">
        <f t="shared" si="0"/>
        <v>16010.125913319338</v>
      </c>
      <c r="F14" s="48">
        <f t="shared" si="3"/>
        <v>501165.45661996596</v>
      </c>
      <c r="G14" s="52">
        <f t="shared" si="1"/>
        <v>17039.625525078845</v>
      </c>
      <c r="H14" s="48">
        <f t="shared" si="4"/>
        <v>518205.08214504481</v>
      </c>
      <c r="I14" s="12">
        <v>19136672.759517204</v>
      </c>
      <c r="J14" s="12">
        <v>53847.374171999982</v>
      </c>
      <c r="K14" s="49">
        <f>ROUND(IFERROR(IF(C14="kwh",H14/I14/($G$2/12),H14/J14/($G$2/12)),0),4)</f>
        <v>9.6235999999999997</v>
      </c>
    </row>
    <row r="15" spans="2:11" x14ac:dyDescent="0.25">
      <c r="B15" s="31" t="s">
        <v>25</v>
      </c>
      <c r="C15" s="32" t="s">
        <v>23</v>
      </c>
      <c r="D15" s="48">
        <v>0</v>
      </c>
      <c r="E15" s="48">
        <f t="shared" si="0"/>
        <v>0</v>
      </c>
      <c r="F15" s="48">
        <f t="shared" si="3"/>
        <v>0</v>
      </c>
      <c r="G15" s="52">
        <f t="shared" si="1"/>
        <v>0</v>
      </c>
      <c r="H15" s="48">
        <f t="shared" si="4"/>
        <v>0</v>
      </c>
      <c r="I15" s="12">
        <v>2951233.1235512928</v>
      </c>
      <c r="J15" s="12">
        <v>0</v>
      </c>
      <c r="K15" s="49">
        <f>IFERROR(IF(C15="kwh",H15/I15/($G$2/12),H15/J15/($G$2/12)),0)</f>
        <v>0</v>
      </c>
    </row>
    <row r="16" spans="2:11" x14ac:dyDescent="0.25">
      <c r="B16" s="31" t="s">
        <v>26</v>
      </c>
      <c r="C16" s="32" t="s">
        <v>22</v>
      </c>
      <c r="D16" s="48">
        <v>0</v>
      </c>
      <c r="E16" s="48">
        <f t="shared" si="0"/>
        <v>0</v>
      </c>
      <c r="F16" s="48">
        <f t="shared" si="3"/>
        <v>0</v>
      </c>
      <c r="G16" s="52">
        <f t="shared" si="1"/>
        <v>0</v>
      </c>
      <c r="H16" s="48">
        <f t="shared" si="4"/>
        <v>0</v>
      </c>
      <c r="I16" s="12">
        <v>285159.6909038162</v>
      </c>
      <c r="J16" s="12">
        <v>0</v>
      </c>
      <c r="K16" s="49">
        <f>IFERROR(IF(C16="kwh",H16/I16/($G$2/12),H16/J16/($G$2/12)),0)</f>
        <v>0</v>
      </c>
    </row>
    <row r="17" spans="2:11" x14ac:dyDescent="0.25">
      <c r="B17" s="31" t="s">
        <v>27</v>
      </c>
      <c r="C17" s="32" t="s">
        <v>23</v>
      </c>
      <c r="D17" s="48">
        <v>0</v>
      </c>
      <c r="E17" s="48">
        <f t="shared" si="0"/>
        <v>0</v>
      </c>
      <c r="F17" s="48">
        <f t="shared" si="3"/>
        <v>0</v>
      </c>
      <c r="G17" s="52">
        <f t="shared" si="1"/>
        <v>0</v>
      </c>
      <c r="H17" s="48">
        <f t="shared" si="4"/>
        <v>0</v>
      </c>
      <c r="I17" s="12">
        <v>0</v>
      </c>
      <c r="J17" s="12">
        <v>0</v>
      </c>
      <c r="K17" s="49">
        <f>IFERROR(IF(C17="kwh",H17/I17/($G$2/12),H17/J17/($G$2/12)),0)</f>
        <v>0</v>
      </c>
    </row>
    <row r="18" spans="2:11" s="18" customFormat="1" x14ac:dyDescent="0.25">
      <c r="B18" s="33" t="s">
        <v>12</v>
      </c>
      <c r="C18" s="34"/>
      <c r="D18" s="35">
        <f t="shared" ref="D18:J18" si="5">SUM(D8:D17)</f>
        <v>1442826.9136531623</v>
      </c>
      <c r="E18" s="35">
        <f t="shared" si="5"/>
        <v>47613.288150554363</v>
      </c>
      <c r="F18" s="35">
        <f t="shared" si="5"/>
        <v>1490440.2018037168</v>
      </c>
      <c r="G18" s="35">
        <f t="shared" si="5"/>
        <v>50674.966861326371</v>
      </c>
      <c r="H18" s="35">
        <f t="shared" si="5"/>
        <v>1541115.1686650431</v>
      </c>
      <c r="I18" s="26">
        <f t="shared" si="5"/>
        <v>4178224078.3047671</v>
      </c>
      <c r="J18" s="26">
        <f t="shared" si="5"/>
        <v>5588571.8034459054</v>
      </c>
      <c r="K18" s="27"/>
    </row>
    <row r="19" spans="2:11" x14ac:dyDescent="0.25">
      <c r="B19" s="14"/>
      <c r="C19" s="15"/>
      <c r="D19" s="16"/>
      <c r="E19" s="16"/>
      <c r="F19" s="17"/>
      <c r="G19" s="17"/>
      <c r="H19" s="17"/>
      <c r="I19" s="15"/>
      <c r="J19" s="15"/>
      <c r="K19" s="11"/>
    </row>
    <row r="20" spans="2:11" x14ac:dyDescent="0.25">
      <c r="B20" s="11"/>
      <c r="C20" s="11"/>
      <c r="D20" s="16"/>
      <c r="E20" s="11"/>
      <c r="F20" s="11"/>
      <c r="G20" s="11"/>
      <c r="H20" s="11"/>
      <c r="I20" s="11"/>
      <c r="J20" s="11"/>
      <c r="K20" s="11"/>
    </row>
    <row r="21" spans="2:11" ht="25.5" x14ac:dyDescent="0.25">
      <c r="B21" s="51" t="s">
        <v>35</v>
      </c>
      <c r="D21" s="16"/>
    </row>
    <row r="22" spans="2:11" x14ac:dyDescent="0.25">
      <c r="F22" s="6"/>
      <c r="G22" s="6"/>
      <c r="H22" s="6"/>
      <c r="I22" s="6"/>
      <c r="J22" s="7"/>
    </row>
    <row r="23" spans="2:11" x14ac:dyDescent="0.25">
      <c r="J23" s="8"/>
    </row>
    <row r="24" spans="2:11" x14ac:dyDescent="0.25">
      <c r="J24" s="7"/>
    </row>
  </sheetData>
  <protectedRanges>
    <protectedRange sqref="J5:J7" name="Range1_1"/>
    <protectedRange sqref="F8:H17" name="Range1_1_1"/>
  </protectedRanges>
  <mergeCells count="11">
    <mergeCell ref="K5:K6"/>
    <mergeCell ref="B2:C2"/>
    <mergeCell ref="I5:I6"/>
    <mergeCell ref="J5:J6"/>
    <mergeCell ref="F5:F6"/>
    <mergeCell ref="B5:B6"/>
    <mergeCell ref="C5:C6"/>
    <mergeCell ref="E5:E6"/>
    <mergeCell ref="D5:D6"/>
    <mergeCell ref="G5:G6"/>
    <mergeCell ref="H5:H6"/>
  </mergeCells>
  <pageMargins left="0.70866141732283505" right="0.70866141732283505" top="0.74803149606299202" bottom="0.74803149606299202" header="0.31496062992126" footer="0.31496062992126"/>
  <pageSetup scale="68" orientation="landscape" r:id="rId1"/>
  <headerFooter>
    <oddFooter>&amp;A</oddFooter>
  </headerFooter>
  <ignoredErrors>
    <ignoredError sqref="G8:G17 K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787E-AE18-4331-9AD3-03F1A1618B6B}">
  <sheetPr codeName="Sheet5">
    <pageSetUpPr fitToPage="1"/>
  </sheetPr>
  <dimension ref="B1:K18"/>
  <sheetViews>
    <sheetView showGridLines="0" zoomScaleNormal="100" zoomScaleSheetLayoutView="100" workbookViewId="0">
      <selection activeCell="D4" sqref="D4"/>
    </sheetView>
  </sheetViews>
  <sheetFormatPr defaultColWidth="9.28515625" defaultRowHeight="15" x14ac:dyDescent="0.25"/>
  <cols>
    <col min="2" max="2" width="48" customWidth="1"/>
    <col min="3" max="3" width="6.7109375" customWidth="1"/>
    <col min="4" max="4" width="16.7109375" customWidth="1"/>
    <col min="5" max="5" width="12.42578125" customWidth="1"/>
    <col min="6" max="6" width="16.7109375" customWidth="1"/>
    <col min="7" max="7" width="11.5703125" customWidth="1"/>
    <col min="8" max="9" width="16.7109375" customWidth="1"/>
    <col min="10" max="10" width="11.7109375" bestFit="1" customWidth="1"/>
    <col min="11" max="11" width="16.7109375" customWidth="1"/>
  </cols>
  <sheetData>
    <row r="1" spans="2:11" x14ac:dyDescent="0.25">
      <c r="B1" s="2"/>
      <c r="C1" s="2"/>
      <c r="D1" s="2"/>
      <c r="E1" s="2"/>
      <c r="F1" s="2"/>
      <c r="G1" s="2"/>
      <c r="H1" s="2"/>
      <c r="I1" s="2"/>
    </row>
    <row r="2" spans="2:11" x14ac:dyDescent="0.25">
      <c r="B2" s="60" t="s">
        <v>2</v>
      </c>
      <c r="C2" s="60"/>
      <c r="D2" s="2"/>
      <c r="E2" s="4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J2" s="3"/>
    </row>
    <row r="3" spans="2:11" x14ac:dyDescent="0.25">
      <c r="C3" s="10" t="str">
        <f>BRZ!C3</f>
        <v>2026 PCI</v>
      </c>
      <c r="D3" s="10"/>
      <c r="E3" s="22">
        <f>BRZ!E3</f>
        <v>3.3000000000000002E-2</v>
      </c>
      <c r="G3" s="22">
        <f>BRZ!G3</f>
        <v>3.4000000000000002E-2</v>
      </c>
      <c r="H3" s="4"/>
      <c r="I3" s="4"/>
      <c r="J3" s="4"/>
    </row>
    <row r="5" spans="2:11" s="18" customFormat="1" ht="33" customHeight="1" x14ac:dyDescent="0.25">
      <c r="B5" s="63" t="s">
        <v>33</v>
      </c>
      <c r="C5" s="63" t="s">
        <v>1</v>
      </c>
      <c r="D5" s="67" t="str">
        <f>BRZ!D5</f>
        <v>2026 Prospective LRAMVA Balance in 2024 Rates</v>
      </c>
      <c r="E5" s="67" t="str">
        <f>BRZ!E5</f>
        <v xml:space="preserve">3.3% Adjustment  </v>
      </c>
      <c r="F5" s="67" t="str">
        <f>BRZ!F5</f>
        <v>2026 Prospective LRAMVA Balance in 2025 Rates</v>
      </c>
      <c r="G5" s="67" t="str">
        <f>BRZ!G5</f>
        <v xml:space="preserve">3.4% Adjustment  </v>
      </c>
      <c r="H5" s="67" t="str">
        <f>BRZ!H5</f>
        <v>2026 Prospective LRAMVA Balance in 2026 Rates</v>
      </c>
      <c r="I5" s="67" t="str">
        <f>BRZ!I5</f>
        <v>Total Metered kWh</v>
      </c>
      <c r="J5" s="67" t="str">
        <f>BRZ!J5</f>
        <v>Metered kW 
or kVA</v>
      </c>
      <c r="K5" s="67" t="str">
        <f>BRZ!K5</f>
        <v>2026 Prospective LRAMVA Rate Rider</v>
      </c>
    </row>
    <row r="6" spans="2:11" s="18" customFormat="1" ht="25.9" customHeight="1" x14ac:dyDescent="0.25">
      <c r="B6" s="64"/>
      <c r="C6" s="64"/>
      <c r="D6" s="67"/>
      <c r="E6" s="67"/>
      <c r="F6" s="67"/>
      <c r="G6" s="67"/>
      <c r="H6" s="67"/>
      <c r="I6" s="67"/>
      <c r="J6" s="67"/>
      <c r="K6" s="67"/>
    </row>
    <row r="7" spans="2:11" x14ac:dyDescent="0.25">
      <c r="B7" s="28"/>
      <c r="C7" s="29"/>
      <c r="D7" s="30" t="s">
        <v>36</v>
      </c>
      <c r="E7" s="29" t="s">
        <v>20</v>
      </c>
      <c r="F7" s="30" t="s">
        <v>37</v>
      </c>
      <c r="G7" s="30" t="s">
        <v>38</v>
      </c>
      <c r="H7" s="30" t="s">
        <v>47</v>
      </c>
      <c r="I7" s="24" t="s">
        <v>39</v>
      </c>
      <c r="J7" s="24" t="s">
        <v>40</v>
      </c>
      <c r="K7" s="13" t="s">
        <v>41</v>
      </c>
    </row>
    <row r="8" spans="2:11" s="42" customFormat="1" ht="12.75" x14ac:dyDescent="0.2">
      <c r="B8" s="28" t="str">
        <f>+BRZ!B8</f>
        <v>Residential Service Classification</v>
      </c>
      <c r="C8" s="29" t="s">
        <v>22</v>
      </c>
      <c r="D8" s="48">
        <v>0</v>
      </c>
      <c r="E8" s="48">
        <f t="shared" ref="E8:E14" si="0">D8*$E$3</f>
        <v>0</v>
      </c>
      <c r="F8" s="48">
        <f>D8+E8</f>
        <v>0</v>
      </c>
      <c r="G8" s="52">
        <f>+F8*$G$3</f>
        <v>0</v>
      </c>
      <c r="H8" s="48">
        <f>F8+G8</f>
        <v>0</v>
      </c>
      <c r="I8" s="12">
        <v>3025132486.257112</v>
      </c>
      <c r="J8" s="12">
        <v>0</v>
      </c>
      <c r="K8" s="49">
        <f t="shared" ref="K8:K14" si="1">IFERROR(IF(C8="kwh",H8/I8/($G$2/12),H8/J8/($G$2/12)),0)</f>
        <v>0</v>
      </c>
    </row>
    <row r="9" spans="2:11" s="42" customFormat="1" ht="12.75" x14ac:dyDescent="0.2">
      <c r="B9" s="28" t="str">
        <f>+BRZ!B9</f>
        <v>General Service less than 50 kW Service Classification</v>
      </c>
      <c r="C9" s="29" t="s">
        <v>22</v>
      </c>
      <c r="D9" s="48">
        <v>493757.55885743437</v>
      </c>
      <c r="E9" s="48">
        <f t="shared" si="0"/>
        <v>16293.999442295335</v>
      </c>
      <c r="F9" s="48">
        <f t="shared" ref="F9:F14" si="2">D9+E9</f>
        <v>510051.55829972972</v>
      </c>
      <c r="G9" s="52">
        <f t="shared" ref="G9:G14" si="3">+F9*$G$3</f>
        <v>17341.75298219081</v>
      </c>
      <c r="H9" s="48">
        <f t="shared" ref="H9:H14" si="4">F9+G9</f>
        <v>527393.31128192053</v>
      </c>
      <c r="I9" s="12">
        <v>1027917566.785611</v>
      </c>
      <c r="J9" s="12">
        <v>0</v>
      </c>
      <c r="K9" s="49">
        <f t="shared" si="1"/>
        <v>5.1306965492488462E-4</v>
      </c>
    </row>
    <row r="10" spans="2:11" s="42" customFormat="1" ht="12.75" x14ac:dyDescent="0.2">
      <c r="B10" s="28" t="str">
        <f>+HRZ!B10</f>
        <v>General Service 50 to 4,999 kW Service Classification</v>
      </c>
      <c r="C10" s="29" t="s">
        <v>23</v>
      </c>
      <c r="D10" s="48">
        <v>2302798.8485149657</v>
      </c>
      <c r="E10" s="48">
        <f t="shared" si="0"/>
        <v>75992.362000993875</v>
      </c>
      <c r="F10" s="48">
        <f t="shared" si="2"/>
        <v>2378791.2105159597</v>
      </c>
      <c r="G10" s="52">
        <f t="shared" si="3"/>
        <v>80878.901157542641</v>
      </c>
      <c r="H10" s="48">
        <f t="shared" si="4"/>
        <v>2459670.1116735023</v>
      </c>
      <c r="I10" s="12">
        <v>4810217505.991086</v>
      </c>
      <c r="J10" s="12">
        <v>12300261.722584685</v>
      </c>
      <c r="K10" s="49">
        <f t="shared" si="1"/>
        <v>0.19996892482029607</v>
      </c>
    </row>
    <row r="11" spans="2:11" s="42" customFormat="1" ht="12.75" x14ac:dyDescent="0.2">
      <c r="B11" s="28" t="str">
        <f>+BRZ!B12</f>
        <v>Large Use Service Classification</v>
      </c>
      <c r="C11" s="29" t="s">
        <v>23</v>
      </c>
      <c r="D11" s="48">
        <v>38357.707609261204</v>
      </c>
      <c r="E11" s="48">
        <f t="shared" si="0"/>
        <v>1265.8043511056198</v>
      </c>
      <c r="F11" s="48">
        <f t="shared" si="2"/>
        <v>39623.511960366821</v>
      </c>
      <c r="G11" s="52">
        <f t="shared" si="3"/>
        <v>1347.1994066524719</v>
      </c>
      <c r="H11" s="48">
        <f t="shared" si="4"/>
        <v>40970.711367019292</v>
      </c>
      <c r="I11" s="12">
        <v>234289032.19418857</v>
      </c>
      <c r="J11" s="12">
        <v>434330.57320303033</v>
      </c>
      <c r="K11" s="49">
        <f t="shared" si="1"/>
        <v>9.4330710050814906E-2</v>
      </c>
    </row>
    <row r="12" spans="2:11" s="42" customFormat="1" ht="12.75" x14ac:dyDescent="0.2">
      <c r="B12" s="28" t="str">
        <f>+ERZ!B13</f>
        <v>Unmetered Scattered Load Service Classification</v>
      </c>
      <c r="C12" s="29" t="s">
        <v>22</v>
      </c>
      <c r="D12" s="48">
        <v>11034.82505590151</v>
      </c>
      <c r="E12" s="48">
        <f t="shared" si="0"/>
        <v>364.14922684474988</v>
      </c>
      <c r="F12" s="48">
        <f t="shared" si="2"/>
        <v>11398.97428274626</v>
      </c>
      <c r="G12" s="52">
        <f t="shared" si="3"/>
        <v>387.56512561337286</v>
      </c>
      <c r="H12" s="48">
        <f t="shared" si="4"/>
        <v>11786.539408359633</v>
      </c>
      <c r="I12" s="12">
        <v>15207734.593499854</v>
      </c>
      <c r="J12" s="12">
        <v>0</v>
      </c>
      <c r="K12" s="49">
        <f t="shared" si="1"/>
        <v>7.7503584349752387E-4</v>
      </c>
    </row>
    <row r="13" spans="2:11" s="42" customFormat="1" ht="12.75" x14ac:dyDescent="0.2">
      <c r="B13" s="28" t="str">
        <f>+BRZ!B14</f>
        <v>Street Lighting Service Classification</v>
      </c>
      <c r="C13" s="29" t="s">
        <v>23</v>
      </c>
      <c r="D13" s="48">
        <v>352245.69767839997</v>
      </c>
      <c r="E13" s="48">
        <f t="shared" si="0"/>
        <v>11624.1080233872</v>
      </c>
      <c r="F13" s="48">
        <f t="shared" si="2"/>
        <v>363869.80570178718</v>
      </c>
      <c r="G13" s="52">
        <f t="shared" si="3"/>
        <v>12371.573393860765</v>
      </c>
      <c r="H13" s="48">
        <f t="shared" si="4"/>
        <v>376241.37909564795</v>
      </c>
      <c r="I13" s="12">
        <v>39805164.432442851</v>
      </c>
      <c r="J13" s="12">
        <v>111703.67331041151</v>
      </c>
      <c r="K13" s="49">
        <f t="shared" si="1"/>
        <v>3.3682095489386183</v>
      </c>
    </row>
    <row r="14" spans="2:11" s="42" customFormat="1" ht="12.75" x14ac:dyDescent="0.2">
      <c r="B14" s="28" t="str">
        <f>+HRZ!B15</f>
        <v>Sentinel Lighting Service Classification</v>
      </c>
      <c r="C14" s="29" t="s">
        <v>23</v>
      </c>
      <c r="D14" s="48">
        <v>826.50918767450548</v>
      </c>
      <c r="E14" s="48">
        <f t="shared" si="0"/>
        <v>27.274803193258681</v>
      </c>
      <c r="F14" s="48">
        <f t="shared" si="2"/>
        <v>853.78399086776415</v>
      </c>
      <c r="G14" s="52">
        <f t="shared" si="3"/>
        <v>29.028655689503982</v>
      </c>
      <c r="H14" s="48">
        <f t="shared" si="4"/>
        <v>882.81264655726818</v>
      </c>
      <c r="I14" s="12">
        <v>230494.7439483075</v>
      </c>
      <c r="J14" s="12">
        <v>625.99542294720902</v>
      </c>
      <c r="K14" s="49">
        <f t="shared" si="1"/>
        <v>1.4102541555351227</v>
      </c>
    </row>
    <row r="15" spans="2:11" s="43" customFormat="1" ht="12.75" x14ac:dyDescent="0.2">
      <c r="B15" s="33" t="str">
        <f>+BRZ!B18</f>
        <v>Total</v>
      </c>
      <c r="C15" s="40"/>
      <c r="D15" s="44">
        <f t="shared" ref="D15:H15" si="5">SUM(D8:D14)</f>
        <v>3199021.1469036373</v>
      </c>
      <c r="E15" s="44">
        <f t="shared" si="5"/>
        <v>105567.69784782003</v>
      </c>
      <c r="F15" s="45">
        <f t="shared" si="5"/>
        <v>3304588.8447514572</v>
      </c>
      <c r="G15" s="44">
        <f t="shared" si="5"/>
        <v>112356.02072154956</v>
      </c>
      <c r="H15" s="44">
        <f t="shared" si="5"/>
        <v>3416944.8654730069</v>
      </c>
      <c r="I15" s="41">
        <f t="shared" ref="I15:J15" si="6">SUM(I8:I14)</f>
        <v>9152799984.9978905</v>
      </c>
      <c r="J15" s="41">
        <f t="shared" si="6"/>
        <v>12846921.964521075</v>
      </c>
      <c r="K15" s="46"/>
    </row>
    <row r="16" spans="2:11" x14ac:dyDescent="0.25">
      <c r="B16" t="s">
        <v>24</v>
      </c>
    </row>
    <row r="17" spans="2:2" x14ac:dyDescent="0.25">
      <c r="B17" t="s">
        <v>24</v>
      </c>
    </row>
    <row r="18" spans="2:2" ht="25.5" x14ac:dyDescent="0.25">
      <c r="B18" s="23" t="s">
        <v>28</v>
      </c>
    </row>
  </sheetData>
  <protectedRanges>
    <protectedRange sqref="F8:H14" name="Range1_1_1_1_1"/>
    <protectedRange sqref="J7" name="Range1_1"/>
  </protectedRanges>
  <mergeCells count="11">
    <mergeCell ref="K5:K6"/>
    <mergeCell ref="F5:F6"/>
    <mergeCell ref="B2:C2"/>
    <mergeCell ref="I5:I6"/>
    <mergeCell ref="J5:J6"/>
    <mergeCell ref="D5:D6"/>
    <mergeCell ref="E5:E6"/>
    <mergeCell ref="B5:B6"/>
    <mergeCell ref="C5:C6"/>
    <mergeCell ref="G5:G6"/>
    <mergeCell ref="H5:H6"/>
  </mergeCells>
  <pageMargins left="0.70866141732283505" right="0.70866141732283505" top="0.74803149606299202" bottom="0.74803149606299202" header="0.31496062992126" footer="0.31496062992126"/>
  <pageSetup scale="69" orientation="landscape" r:id="rId1"/>
  <headerFooter>
    <oddFooter>&amp;A</oddFooter>
  </headerFooter>
  <ignoredErrors>
    <ignoredError sqref="F15 E3:G3" unlockedFormula="1"/>
    <ignoredError sqref="F16 F8:F14" formula="1" unlockedFormula="1"/>
    <ignoredError sqref="E8:E14 E16 E15 I15:K15 I16:K16 G8:G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DEAC-0DA8-4664-8121-C97474D82EA9}">
  <sheetPr codeName="Sheet2">
    <pageSetUpPr fitToPage="1"/>
  </sheetPr>
  <dimension ref="B1:K18"/>
  <sheetViews>
    <sheetView showGridLines="0" zoomScaleNormal="100" zoomScaleSheetLayoutView="100" workbookViewId="0">
      <selection activeCell="D4" sqref="D4"/>
    </sheetView>
  </sheetViews>
  <sheetFormatPr defaultColWidth="9.28515625" defaultRowHeight="15" x14ac:dyDescent="0.25"/>
  <cols>
    <col min="2" max="2" width="48.7109375" customWidth="1"/>
    <col min="3" max="3" width="6.7109375" customWidth="1"/>
    <col min="4" max="4" width="16.5703125" customWidth="1"/>
    <col min="5" max="5" width="14.5703125" customWidth="1"/>
    <col min="6" max="6" width="16.7109375" customWidth="1"/>
    <col min="7" max="7" width="12.5703125" customWidth="1"/>
    <col min="8" max="8" width="16.7109375" customWidth="1"/>
    <col min="9" max="9" width="14" bestFit="1" customWidth="1"/>
    <col min="10" max="10" width="12" bestFit="1" customWidth="1"/>
    <col min="11" max="11" width="14.28515625" customWidth="1"/>
    <col min="12" max="12" width="16.7109375" customWidth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x14ac:dyDescent="0.25">
      <c r="B2" s="60" t="s">
        <v>2</v>
      </c>
      <c r="C2" s="60"/>
      <c r="D2" s="10"/>
      <c r="E2" s="2"/>
      <c r="F2" s="21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K2" s="3"/>
    </row>
    <row r="3" spans="2:11" x14ac:dyDescent="0.25">
      <c r="C3" s="10" t="str">
        <f>BRZ!C3</f>
        <v>2026 PCI</v>
      </c>
      <c r="D3" s="10"/>
      <c r="E3" s="22">
        <f>BRZ!E3</f>
        <v>3.3000000000000002E-2</v>
      </c>
      <c r="G3" s="22">
        <f>BRZ!G3</f>
        <v>3.4000000000000002E-2</v>
      </c>
      <c r="J3" s="4"/>
      <c r="K3" s="4"/>
    </row>
    <row r="5" spans="2:11" s="11" customFormat="1" ht="12.6" customHeight="1" x14ac:dyDescent="0.2">
      <c r="B5" s="68" t="s">
        <v>30</v>
      </c>
      <c r="C5" s="68" t="str">
        <f>BRZ!C5</f>
        <v>Unit</v>
      </c>
      <c r="D5" s="67" t="str">
        <f>BRZ!D5</f>
        <v>2026 Prospective LRAMVA Balance in 2024 Rates</v>
      </c>
      <c r="E5" s="67" t="str">
        <f>BRZ!E5</f>
        <v xml:space="preserve">3.3% Adjustment  </v>
      </c>
      <c r="F5" s="67" t="str">
        <f>BRZ!F5</f>
        <v>2026 Prospective LRAMVA Balance in 2025 Rates</v>
      </c>
      <c r="G5" s="67" t="str">
        <f>BRZ!G5</f>
        <v xml:space="preserve">3.4% Adjustment  </v>
      </c>
      <c r="H5" s="67" t="str">
        <f>BRZ!H5</f>
        <v>2026 Prospective LRAMVA Balance in 2026 Rates</v>
      </c>
      <c r="I5" s="67" t="str">
        <f>BRZ!I5</f>
        <v>Total Metered kWh</v>
      </c>
      <c r="J5" s="67" t="str">
        <f>BRZ!J5</f>
        <v>Metered kW 
or kVA</v>
      </c>
      <c r="K5" s="67" t="str">
        <f>BRZ!K5</f>
        <v>2026 Prospective LRAMVA Rate Rider</v>
      </c>
    </row>
    <row r="6" spans="2:11" s="11" customFormat="1" ht="45.6" customHeight="1" x14ac:dyDescent="0.2">
      <c r="B6" s="69" t="s">
        <v>0</v>
      </c>
      <c r="C6" s="69" t="s">
        <v>0</v>
      </c>
      <c r="D6" s="67"/>
      <c r="E6" s="67"/>
      <c r="F6" s="67"/>
      <c r="G6" s="67"/>
      <c r="H6" s="67"/>
      <c r="I6" s="67"/>
      <c r="J6" s="67"/>
      <c r="K6" s="67"/>
    </row>
    <row r="7" spans="2:11" x14ac:dyDescent="0.25">
      <c r="B7" s="28"/>
      <c r="C7" s="29"/>
      <c r="D7" s="30" t="s">
        <v>36</v>
      </c>
      <c r="E7" s="29" t="s">
        <v>20</v>
      </c>
      <c r="F7" s="30" t="s">
        <v>37</v>
      </c>
      <c r="G7" s="30" t="s">
        <v>38</v>
      </c>
      <c r="H7" s="30" t="s">
        <v>47</v>
      </c>
      <c r="I7" s="24" t="s">
        <v>39</v>
      </c>
      <c r="J7" s="24" t="s">
        <v>40</v>
      </c>
      <c r="K7" s="13" t="s">
        <v>41</v>
      </c>
    </row>
    <row r="8" spans="2:11" s="11" customFormat="1" ht="12.75" x14ac:dyDescent="0.2">
      <c r="B8" s="28" t="str">
        <f>+BRZ!B8</f>
        <v>Residential Service Classification</v>
      </c>
      <c r="C8" s="29" t="s">
        <v>22</v>
      </c>
      <c r="D8" s="48">
        <v>0</v>
      </c>
      <c r="E8" s="48">
        <f t="shared" ref="E8:E14" si="0">D8*$E$3</f>
        <v>0</v>
      </c>
      <c r="F8" s="48">
        <f>D8+E8</f>
        <v>0</v>
      </c>
      <c r="G8" s="52">
        <f>+F8*$G$3</f>
        <v>0</v>
      </c>
      <c r="H8" s="48">
        <f t="shared" ref="H8:H14" si="1">F8+G8</f>
        <v>0</v>
      </c>
      <c r="I8" s="12">
        <v>1507273531.2652881</v>
      </c>
      <c r="J8" s="12">
        <v>0</v>
      </c>
      <c r="K8" s="49">
        <f t="shared" ref="K8:K14" si="2">ROUND(IFERROR(IF(C8="kwh",H8/I8/($G$2/12),H8/J8/($G$2/12)),0),4)</f>
        <v>0</v>
      </c>
    </row>
    <row r="9" spans="2:11" s="11" customFormat="1" ht="12.75" x14ac:dyDescent="0.2">
      <c r="B9" s="28" t="str">
        <f>+BRZ!B9</f>
        <v>General Service less than 50 kW Service Classification</v>
      </c>
      <c r="C9" s="32" t="s">
        <v>22</v>
      </c>
      <c r="D9" s="53">
        <v>-67576.296154512471</v>
      </c>
      <c r="E9" s="53">
        <f t="shared" si="0"/>
        <v>-2230.0177730989117</v>
      </c>
      <c r="F9" s="53">
        <f t="shared" ref="F9:F14" si="3">D9+E9</f>
        <v>-69806.31392761138</v>
      </c>
      <c r="G9" s="54">
        <f t="shared" ref="G9:G14" si="4">+F9*$G$3</f>
        <v>-2373.4146735387872</v>
      </c>
      <c r="H9" s="55">
        <f t="shared" si="1"/>
        <v>-72179.728601150171</v>
      </c>
      <c r="I9" s="12">
        <v>706226080.04578495</v>
      </c>
      <c r="J9" s="12">
        <v>0</v>
      </c>
      <c r="K9" s="49">
        <f t="shared" si="2"/>
        <v>-1E-4</v>
      </c>
    </row>
    <row r="10" spans="2:11" s="11" customFormat="1" ht="12.75" x14ac:dyDescent="0.2">
      <c r="B10" s="28" t="s">
        <v>13</v>
      </c>
      <c r="C10" s="32" t="s">
        <v>23</v>
      </c>
      <c r="D10" s="53">
        <v>1399187.6201398652</v>
      </c>
      <c r="E10" s="53">
        <f t="shared" si="0"/>
        <v>46173.191464615556</v>
      </c>
      <c r="F10" s="53">
        <f t="shared" si="3"/>
        <v>1445360.8116044807</v>
      </c>
      <c r="G10" s="54">
        <f t="shared" si="4"/>
        <v>49142.267594552352</v>
      </c>
      <c r="H10" s="55">
        <f t="shared" si="1"/>
        <v>1494503.0791990331</v>
      </c>
      <c r="I10" s="12">
        <v>2065049698.1407528</v>
      </c>
      <c r="J10" s="12">
        <v>5667848.2664853847</v>
      </c>
      <c r="K10" s="49">
        <f t="shared" si="2"/>
        <v>0.26369999999999999</v>
      </c>
    </row>
    <row r="11" spans="2:11" s="11" customFormat="1" ht="12.75" x14ac:dyDescent="0.2">
      <c r="B11" s="28" t="s">
        <v>14</v>
      </c>
      <c r="C11" s="32" t="s">
        <v>23</v>
      </c>
      <c r="D11" s="53">
        <v>543956.89339389745</v>
      </c>
      <c r="E11" s="53">
        <f t="shared" si="0"/>
        <v>17950.577481998618</v>
      </c>
      <c r="F11" s="53">
        <f t="shared" si="3"/>
        <v>561907.47087589605</v>
      </c>
      <c r="G11" s="54">
        <f t="shared" si="4"/>
        <v>19104.854009780465</v>
      </c>
      <c r="H11" s="55">
        <f t="shared" si="1"/>
        <v>581012.3248856765</v>
      </c>
      <c r="I11" s="12">
        <v>1674211357.0404122</v>
      </c>
      <c r="J11" s="12">
        <v>3874534.02355076</v>
      </c>
      <c r="K11" s="49">
        <f t="shared" si="2"/>
        <v>0.15</v>
      </c>
    </row>
    <row r="12" spans="2:11" s="11" customFormat="1" ht="12.75" x14ac:dyDescent="0.2">
      <c r="B12" s="28" t="str">
        <f>+BRZ!B12</f>
        <v>Large Use Service Classification</v>
      </c>
      <c r="C12" s="32" t="s">
        <v>23</v>
      </c>
      <c r="D12" s="53">
        <v>129079.80070831921</v>
      </c>
      <c r="E12" s="53">
        <f t="shared" si="0"/>
        <v>4259.6334233745338</v>
      </c>
      <c r="F12" s="53">
        <f t="shared" si="3"/>
        <v>133339.43413169374</v>
      </c>
      <c r="G12" s="54">
        <f t="shared" si="4"/>
        <v>4533.5407604775874</v>
      </c>
      <c r="H12" s="55">
        <f t="shared" si="1"/>
        <v>137872.97489217133</v>
      </c>
      <c r="I12" s="12">
        <v>1028034922.7180237</v>
      </c>
      <c r="J12" s="12">
        <v>1745815.9726911257</v>
      </c>
      <c r="K12" s="49">
        <f t="shared" si="2"/>
        <v>7.9000000000000001E-2</v>
      </c>
    </row>
    <row r="13" spans="2:11" s="11" customFormat="1" ht="12.75" x14ac:dyDescent="0.2">
      <c r="B13" s="28" t="str">
        <f>+BRZ!B13</f>
        <v>Unmetered Scattered Load Service Classification</v>
      </c>
      <c r="C13" s="32" t="s">
        <v>22</v>
      </c>
      <c r="D13" s="53">
        <v>25219.861888391424</v>
      </c>
      <c r="E13" s="53">
        <f t="shared" si="0"/>
        <v>832.25544231691708</v>
      </c>
      <c r="F13" s="53">
        <f t="shared" si="3"/>
        <v>26052.117330708341</v>
      </c>
      <c r="G13" s="54">
        <f t="shared" si="4"/>
        <v>885.77198924408367</v>
      </c>
      <c r="H13" s="55">
        <f t="shared" si="1"/>
        <v>26937.889319952425</v>
      </c>
      <c r="I13" s="12">
        <v>12049940.985914307</v>
      </c>
      <c r="J13" s="12">
        <v>0</v>
      </c>
      <c r="K13" s="49">
        <f t="shared" si="2"/>
        <v>2.2000000000000001E-3</v>
      </c>
    </row>
    <row r="14" spans="2:11" s="11" customFormat="1" ht="12.75" x14ac:dyDescent="0.2">
      <c r="B14" s="28" t="str">
        <f>+BRZ!B14</f>
        <v>Street Lighting Service Classification</v>
      </c>
      <c r="C14" s="36" t="s">
        <v>23</v>
      </c>
      <c r="D14" s="56">
        <v>-361704.73891824624</v>
      </c>
      <c r="E14" s="56">
        <f t="shared" si="0"/>
        <v>-11936.256384302127</v>
      </c>
      <c r="F14" s="56">
        <f t="shared" si="3"/>
        <v>-373640.99530254834</v>
      </c>
      <c r="G14" s="54">
        <f t="shared" si="4"/>
        <v>-12703.793840286644</v>
      </c>
      <c r="H14" s="55">
        <f t="shared" si="1"/>
        <v>-386344.78914283501</v>
      </c>
      <c r="I14" s="12">
        <v>13498921.303929549</v>
      </c>
      <c r="J14" s="12">
        <v>36292.496231201963</v>
      </c>
      <c r="K14" s="49">
        <f t="shared" si="2"/>
        <v>-10.645300000000001</v>
      </c>
    </row>
    <row r="15" spans="2:11" s="25" customFormat="1" ht="12.75" x14ac:dyDescent="0.2">
      <c r="B15" s="37" t="str">
        <f>+BRZ!B18</f>
        <v>Total</v>
      </c>
      <c r="C15" s="34"/>
      <c r="D15" s="35">
        <f t="shared" ref="D15:H15" si="5">SUM(D8:D14)</f>
        <v>1668163.1410577146</v>
      </c>
      <c r="E15" s="35">
        <f t="shared" si="5"/>
        <v>55049.383654904588</v>
      </c>
      <c r="F15" s="35">
        <f t="shared" si="5"/>
        <v>1723212.5247126191</v>
      </c>
      <c r="G15" s="35">
        <f t="shared" si="5"/>
        <v>58589.225840229046</v>
      </c>
      <c r="H15" s="35">
        <f t="shared" si="5"/>
        <v>1781801.750552848</v>
      </c>
      <c r="I15" s="26">
        <f t="shared" ref="I15:J15" si="6">SUM(I8:I14)</f>
        <v>7006344451.5001049</v>
      </c>
      <c r="J15" s="26">
        <f t="shared" si="6"/>
        <v>11324490.758958474</v>
      </c>
      <c r="K15" s="27"/>
    </row>
    <row r="16" spans="2:11" s="11" customFormat="1" ht="12.75" x14ac:dyDescent="0.2">
      <c r="B16" s="11" t="s">
        <v>24</v>
      </c>
    </row>
    <row r="17" spans="2:2" x14ac:dyDescent="0.25">
      <c r="B17" t="s">
        <v>24</v>
      </c>
    </row>
    <row r="18" spans="2:2" x14ac:dyDescent="0.25">
      <c r="B18" s="23" t="s">
        <v>28</v>
      </c>
    </row>
  </sheetData>
  <protectedRanges>
    <protectedRange sqref="F8:H14" name="Range1_1_1_1"/>
    <protectedRange sqref="J7" name="Range1_1"/>
  </protectedRanges>
  <mergeCells count="11">
    <mergeCell ref="K5:K6"/>
    <mergeCell ref="F5:F6"/>
    <mergeCell ref="B2:C2"/>
    <mergeCell ref="I5:I6"/>
    <mergeCell ref="J5:J6"/>
    <mergeCell ref="B5:B6"/>
    <mergeCell ref="C5:C6"/>
    <mergeCell ref="E5:E6"/>
    <mergeCell ref="D5:D6"/>
    <mergeCell ref="H5:H6"/>
    <mergeCell ref="G5:G6"/>
  </mergeCells>
  <pageMargins left="0.70866141732283505" right="0.70866141732283505" top="0.74803149606299202" bottom="0.74803149606299202" header="0.31496062992126" footer="0.31496062992126"/>
  <pageSetup scale="63" orientation="landscape" r:id="rId1"/>
  <headerFooter>
    <oddFooter>&amp;A</oddFooter>
  </headerFooter>
  <ignoredErrors>
    <ignoredError sqref="G8:G14 E8:E15" formula="1"/>
    <ignoredError sqref="E3:G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16BE-1BF4-4F3D-A020-685BB12BC506}">
  <sheetPr codeName="Sheet3">
    <pageSetUpPr fitToPage="1"/>
  </sheetPr>
  <dimension ref="B1:L22"/>
  <sheetViews>
    <sheetView showGridLines="0" zoomScaleNormal="100" zoomScaleSheetLayoutView="100" workbookViewId="0">
      <selection activeCell="D5" sqref="D5"/>
    </sheetView>
  </sheetViews>
  <sheetFormatPr defaultColWidth="9.28515625" defaultRowHeight="15" x14ac:dyDescent="0.25"/>
  <cols>
    <col min="2" max="2" width="49.7109375" customWidth="1"/>
    <col min="3" max="3" width="6.7109375" customWidth="1"/>
    <col min="4" max="4" width="16.7109375" customWidth="1"/>
    <col min="5" max="5" width="12.42578125" customWidth="1"/>
    <col min="6" max="6" width="16.7109375" customWidth="1"/>
    <col min="7" max="7" width="11.7109375" customWidth="1"/>
    <col min="8" max="8" width="16.7109375" customWidth="1"/>
    <col min="9" max="9" width="13.7109375" bestFit="1" customWidth="1"/>
    <col min="10" max="10" width="11.7109375" bestFit="1" customWidth="1"/>
    <col min="11" max="11" width="16.7109375" customWidth="1"/>
  </cols>
  <sheetData>
    <row r="1" spans="2:12" x14ac:dyDescent="0.25">
      <c r="B1" s="2"/>
      <c r="C1" s="2"/>
      <c r="E1" s="2"/>
      <c r="F1" s="2"/>
      <c r="G1" s="2"/>
      <c r="H1" s="2"/>
      <c r="I1" s="2"/>
    </row>
    <row r="2" spans="2:12" x14ac:dyDescent="0.25">
      <c r="B2" s="60" t="s">
        <v>2</v>
      </c>
      <c r="C2" s="60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J2" s="3"/>
    </row>
    <row r="3" spans="2:12" x14ac:dyDescent="0.25">
      <c r="B3" s="50" t="s">
        <v>21</v>
      </c>
      <c r="C3" s="50"/>
      <c r="E3" s="9">
        <v>12</v>
      </c>
      <c r="G3" s="9">
        <v>12</v>
      </c>
      <c r="H3" s="4" t="str">
        <f>IF(E3&gt;0, "Rate Rider Recovery to be used below", "If no rate rider recovery period is proposed then the default recovery period of 12 months will be used")</f>
        <v>Rate Rider Recovery to be used below</v>
      </c>
      <c r="J3" s="3"/>
    </row>
    <row r="4" spans="2:12" x14ac:dyDescent="0.25">
      <c r="C4" s="10" t="str">
        <f>BRZ!C3</f>
        <v>2026 PCI</v>
      </c>
      <c r="D4" s="10"/>
      <c r="E4" s="22">
        <f>BRZ!E3</f>
        <v>3.3000000000000002E-2</v>
      </c>
      <c r="G4" s="22">
        <f>BRZ!G3</f>
        <v>3.4000000000000002E-2</v>
      </c>
      <c r="H4" s="4"/>
      <c r="I4" s="4"/>
      <c r="J4" s="4"/>
    </row>
    <row r="6" spans="2:12" s="11" customFormat="1" ht="12.6" customHeight="1" x14ac:dyDescent="0.2">
      <c r="B6" s="68" t="s">
        <v>31</v>
      </c>
      <c r="C6" s="63" t="s">
        <v>1</v>
      </c>
      <c r="D6" s="67" t="str">
        <f>BRZ!D5</f>
        <v>2026 Prospective LRAMVA Balance in 2024 Rates</v>
      </c>
      <c r="E6" s="67" t="str">
        <f>BRZ!E5</f>
        <v xml:space="preserve">3.3% Adjustment  </v>
      </c>
      <c r="F6" s="67" t="str">
        <f>BRZ!F5</f>
        <v>2026 Prospective LRAMVA Balance in 2025 Rates</v>
      </c>
      <c r="G6" s="67" t="str">
        <f>BRZ!G5</f>
        <v xml:space="preserve">3.4% Adjustment  </v>
      </c>
      <c r="H6" s="67" t="str">
        <f>BRZ!H5</f>
        <v>2026 Prospective LRAMVA Balance in 2026 Rates</v>
      </c>
      <c r="I6" s="67" t="str">
        <f>BRZ!I5</f>
        <v>Total Metered kWh</v>
      </c>
      <c r="J6" s="67" t="str">
        <f>BRZ!J5</f>
        <v>Metered kW 
or kVA</v>
      </c>
      <c r="K6" s="67" t="str">
        <f>BRZ!K5</f>
        <v>2026 Prospective LRAMVA Rate Rider</v>
      </c>
    </row>
    <row r="7" spans="2:12" s="11" customFormat="1" ht="46.9" customHeight="1" x14ac:dyDescent="0.2">
      <c r="B7" s="70" t="s">
        <v>0</v>
      </c>
      <c r="C7" s="64"/>
      <c r="D7" s="67"/>
      <c r="E7" s="67"/>
      <c r="F7" s="67"/>
      <c r="G7" s="67"/>
      <c r="H7" s="67"/>
      <c r="I7" s="67"/>
      <c r="J7" s="67"/>
      <c r="K7" s="67"/>
    </row>
    <row r="8" spans="2:12" x14ac:dyDescent="0.25">
      <c r="B8" s="28"/>
      <c r="C8" s="29"/>
      <c r="D8" s="30" t="s">
        <v>36</v>
      </c>
      <c r="E8" s="29" t="s">
        <v>20</v>
      </c>
      <c r="F8" s="30" t="s">
        <v>37</v>
      </c>
      <c r="G8" s="30" t="s">
        <v>38</v>
      </c>
      <c r="H8" s="30" t="s">
        <v>47</v>
      </c>
      <c r="I8" s="24" t="s">
        <v>39</v>
      </c>
      <c r="J8" s="24" t="s">
        <v>40</v>
      </c>
      <c r="K8" s="13" t="s">
        <v>41</v>
      </c>
    </row>
    <row r="9" spans="2:12" s="11" customFormat="1" ht="12.75" x14ac:dyDescent="0.2">
      <c r="B9" s="28" t="str">
        <f>+BRZ!B8</f>
        <v>Residential Service Classification</v>
      </c>
      <c r="C9" s="29" t="s">
        <v>22</v>
      </c>
      <c r="D9" s="48">
        <v>0</v>
      </c>
      <c r="E9" s="48">
        <f t="shared" ref="E9:E16" si="0">+D9*$E$4</f>
        <v>0</v>
      </c>
      <c r="F9" s="48">
        <f>D9+E9</f>
        <v>0</v>
      </c>
      <c r="G9" s="52">
        <f>+F9*$G$4</f>
        <v>0</v>
      </c>
      <c r="H9" s="48">
        <f>F9+G9</f>
        <v>0</v>
      </c>
      <c r="I9" s="12">
        <v>425190394.72731197</v>
      </c>
      <c r="J9" s="12">
        <v>0</v>
      </c>
      <c r="K9" s="49">
        <f t="shared" ref="K9:K16" si="1">IFERROR(IF(C9="kwh",H9/I9/($G$2/12),H9/J9/($G$2/12)),0)</f>
        <v>0</v>
      </c>
      <c r="L9" s="19"/>
    </row>
    <row r="10" spans="2:12" s="11" customFormat="1" ht="12.75" x14ac:dyDescent="0.2">
      <c r="B10" s="38" t="str">
        <f>+BRZ!B9</f>
        <v>General Service less than 50 kW Service Classification</v>
      </c>
      <c r="C10" s="39" t="s">
        <v>22</v>
      </c>
      <c r="D10" s="48">
        <v>61931.343994832627</v>
      </c>
      <c r="E10" s="48">
        <f t="shared" si="0"/>
        <v>2043.7343518294767</v>
      </c>
      <c r="F10" s="48">
        <f t="shared" ref="F10:F16" si="2">D10+E10</f>
        <v>63975.078346662107</v>
      </c>
      <c r="G10" s="52">
        <f t="shared" ref="G10:G16" si="3">+F10*$G$4</f>
        <v>2175.1526637865118</v>
      </c>
      <c r="H10" s="48">
        <f t="shared" ref="H10:H16" si="4">F10+G10</f>
        <v>66150.231010448624</v>
      </c>
      <c r="I10" s="12">
        <v>142117243.46742725</v>
      </c>
      <c r="J10" s="12">
        <v>0</v>
      </c>
      <c r="K10" s="49">
        <f t="shared" si="1"/>
        <v>4.6546238441227587E-4</v>
      </c>
      <c r="L10" s="19"/>
    </row>
    <row r="11" spans="2:12" s="11" customFormat="1" ht="12.75" x14ac:dyDescent="0.2">
      <c r="B11" s="38" t="s">
        <v>15</v>
      </c>
      <c r="C11" s="39" t="s">
        <v>23</v>
      </c>
      <c r="D11" s="48">
        <v>166066.1989169149</v>
      </c>
      <c r="E11" s="48">
        <f t="shared" si="0"/>
        <v>5480.184564258192</v>
      </c>
      <c r="F11" s="48">
        <f t="shared" si="2"/>
        <v>171546.38348117311</v>
      </c>
      <c r="G11" s="52">
        <f t="shared" si="3"/>
        <v>5832.5770383598865</v>
      </c>
      <c r="H11" s="48">
        <f t="shared" si="4"/>
        <v>177378.96051953299</v>
      </c>
      <c r="I11" s="12">
        <v>384302386.13999999</v>
      </c>
      <c r="J11" s="12">
        <v>1098483.8800000001</v>
      </c>
      <c r="K11" s="49">
        <f t="shared" si="1"/>
        <v>0.16147616159786793</v>
      </c>
    </row>
    <row r="12" spans="2:12" s="11" customFormat="1" ht="12.75" x14ac:dyDescent="0.2">
      <c r="B12" s="38" t="s">
        <v>16</v>
      </c>
      <c r="C12" s="39" t="s">
        <v>23</v>
      </c>
      <c r="D12" s="48">
        <v>207057.40443704024</v>
      </c>
      <c r="E12" s="48">
        <f t="shared" si="0"/>
        <v>6832.8943464223285</v>
      </c>
      <c r="F12" s="48">
        <f t="shared" si="2"/>
        <v>213890.29878346258</v>
      </c>
      <c r="G12" s="52">
        <f t="shared" si="3"/>
        <v>7272.2701586377279</v>
      </c>
      <c r="H12" s="48">
        <f t="shared" si="4"/>
        <v>221162.5689421003</v>
      </c>
      <c r="I12" s="12">
        <v>489221744.28999996</v>
      </c>
      <c r="J12" s="12">
        <v>1048638.03</v>
      </c>
      <c r="K12" s="49">
        <f t="shared" si="1"/>
        <v>0.21090458539072848</v>
      </c>
    </row>
    <row r="13" spans="2:12" s="11" customFormat="1" ht="12.75" x14ac:dyDescent="0.2">
      <c r="B13" s="38" t="str">
        <f>+BRZ!B12</f>
        <v>Large Use Service Classification</v>
      </c>
      <c r="C13" s="39" t="s">
        <v>23</v>
      </c>
      <c r="D13" s="48">
        <v>329424.76270858006</v>
      </c>
      <c r="E13" s="48">
        <f t="shared" si="0"/>
        <v>10871.017169383143</v>
      </c>
      <c r="F13" s="48">
        <f t="shared" si="2"/>
        <v>340295.77987796318</v>
      </c>
      <c r="G13" s="52">
        <f t="shared" si="3"/>
        <v>11570.056515850749</v>
      </c>
      <c r="H13" s="48">
        <f t="shared" si="4"/>
        <v>351865.83639381395</v>
      </c>
      <c r="I13" s="12">
        <v>195177786.88</v>
      </c>
      <c r="J13" s="12">
        <v>404119.03999999998</v>
      </c>
      <c r="K13" s="49">
        <f t="shared" si="1"/>
        <v>0.87069848625250112</v>
      </c>
    </row>
    <row r="14" spans="2:12" s="11" customFormat="1" ht="12.75" x14ac:dyDescent="0.2">
      <c r="B14" s="38" t="s">
        <v>10</v>
      </c>
      <c r="C14" s="39" t="s">
        <v>22</v>
      </c>
      <c r="D14" s="48">
        <v>0</v>
      </c>
      <c r="E14" s="48">
        <f t="shared" si="0"/>
        <v>0</v>
      </c>
      <c r="F14" s="48">
        <f t="shared" si="2"/>
        <v>0</v>
      </c>
      <c r="G14" s="52">
        <f t="shared" si="3"/>
        <v>0</v>
      </c>
      <c r="H14" s="48">
        <f t="shared" si="4"/>
        <v>0</v>
      </c>
      <c r="I14" s="12">
        <v>1947999</v>
      </c>
      <c r="J14" s="12">
        <v>0</v>
      </c>
      <c r="K14" s="49">
        <f t="shared" si="1"/>
        <v>0</v>
      </c>
    </row>
    <row r="15" spans="2:12" s="11" customFormat="1" ht="12.75" x14ac:dyDescent="0.2">
      <c r="B15" s="38" t="str">
        <f>+BRZ!B14</f>
        <v>Street Lighting Service Classification</v>
      </c>
      <c r="C15" s="39" t="s">
        <v>23</v>
      </c>
      <c r="D15" s="48">
        <v>198302.24103324505</v>
      </c>
      <c r="E15" s="48">
        <f t="shared" si="0"/>
        <v>6543.9739540970868</v>
      </c>
      <c r="F15" s="48">
        <f>D15+E15</f>
        <v>204846.21498734213</v>
      </c>
      <c r="G15" s="52">
        <f t="shared" si="3"/>
        <v>6964.7713095696326</v>
      </c>
      <c r="H15" s="48">
        <f>F15+G15</f>
        <v>211810.98629691175</v>
      </c>
      <c r="I15" s="12">
        <v>3421663.4</v>
      </c>
      <c r="J15" s="12">
        <v>9541.130000000001</v>
      </c>
      <c r="K15" s="49">
        <f t="shared" si="1"/>
        <v>22.199779931403484</v>
      </c>
    </row>
    <row r="16" spans="2:12" s="11" customFormat="1" ht="12.75" x14ac:dyDescent="0.2">
      <c r="B16" s="38" t="s">
        <v>19</v>
      </c>
      <c r="C16" s="39" t="s">
        <v>23</v>
      </c>
      <c r="D16" s="48">
        <v>0</v>
      </c>
      <c r="E16" s="48">
        <f t="shared" si="0"/>
        <v>0</v>
      </c>
      <c r="F16" s="48">
        <f t="shared" si="2"/>
        <v>0</v>
      </c>
      <c r="G16" s="52">
        <f t="shared" si="3"/>
        <v>0</v>
      </c>
      <c r="H16" s="48">
        <f t="shared" si="4"/>
        <v>0</v>
      </c>
      <c r="I16" s="12">
        <v>10392</v>
      </c>
      <c r="J16" s="12">
        <v>28.94</v>
      </c>
      <c r="K16" s="49">
        <f t="shared" si="1"/>
        <v>0</v>
      </c>
    </row>
    <row r="17" spans="2:11" s="25" customFormat="1" ht="12.75" x14ac:dyDescent="0.2">
      <c r="B17" s="33" t="s">
        <v>12</v>
      </c>
      <c r="C17" s="34" t="s">
        <v>24</v>
      </c>
      <c r="D17" s="47">
        <f t="shared" ref="D17:H17" si="5">SUM(D9:D16)</f>
        <v>962781.95109061291</v>
      </c>
      <c r="E17" s="47">
        <f t="shared" si="5"/>
        <v>31771.804385990228</v>
      </c>
      <c r="F17" s="47">
        <f t="shared" si="5"/>
        <v>994553.75547660317</v>
      </c>
      <c r="G17" s="47">
        <f t="shared" si="5"/>
        <v>33814.82768620451</v>
      </c>
      <c r="H17" s="47">
        <f t="shared" si="5"/>
        <v>1028368.5831628076</v>
      </c>
      <c r="I17" s="41">
        <f>SUM(I9:I16)</f>
        <v>1641389609.9047394</v>
      </c>
      <c r="J17" s="41">
        <f t="shared" ref="J17" si="6">SUM(J9:J16)</f>
        <v>2560811.02</v>
      </c>
      <c r="K17" s="27"/>
    </row>
    <row r="18" spans="2:11" s="11" customFormat="1" ht="12.75" x14ac:dyDescent="0.2">
      <c r="B18" s="11" t="s">
        <v>24</v>
      </c>
    </row>
    <row r="19" spans="2:11" s="11" customFormat="1" ht="12.75" x14ac:dyDescent="0.2"/>
    <row r="20" spans="2:11" s="11" customFormat="1" ht="12.75" x14ac:dyDescent="0.2">
      <c r="B20" s="23" t="s">
        <v>28</v>
      </c>
      <c r="F20" s="20"/>
      <c r="G20" s="20"/>
      <c r="H20" s="20"/>
      <c r="I20" s="20"/>
    </row>
    <row r="21" spans="2:11" x14ac:dyDescent="0.25">
      <c r="D21" s="11"/>
    </row>
    <row r="22" spans="2:11" x14ac:dyDescent="0.25">
      <c r="D22" s="11"/>
    </row>
  </sheetData>
  <protectedRanges>
    <protectedRange sqref="J8" name="Range1_1_1"/>
  </protectedRanges>
  <mergeCells count="11">
    <mergeCell ref="K6:K7"/>
    <mergeCell ref="F6:F7"/>
    <mergeCell ref="B2:C2"/>
    <mergeCell ref="I6:I7"/>
    <mergeCell ref="J6:J7"/>
    <mergeCell ref="D6:D7"/>
    <mergeCell ref="B6:B7"/>
    <mergeCell ref="C6:C7"/>
    <mergeCell ref="E6:E7"/>
    <mergeCell ref="G6:G7"/>
    <mergeCell ref="H6:H7"/>
  </mergeCells>
  <pageMargins left="0.70866141732283505" right="0.70866141732283505" top="0.74803149606299202" bottom="0.74803149606299202" header="0.31496062992126" footer="0.31496062992126"/>
  <pageSetup scale="68" orientation="landscape" r:id="rId1"/>
  <headerFooter>
    <oddFooter>&amp;A</oddFooter>
  </headerFooter>
  <ignoredErrors>
    <ignoredError sqref="E9:G16" formula="1"/>
    <ignoredError sqref="E4:G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HRZ</vt:lpstr>
      <vt:lpstr>BRZ</vt:lpstr>
      <vt:lpstr>PRZ</vt:lpstr>
      <vt:lpstr>ERZ</vt:lpstr>
      <vt:lpstr>GRZ</vt:lpstr>
      <vt:lpstr>BRZ!Print_Area</vt:lpstr>
      <vt:lpstr>ERZ!Print_Area</vt:lpstr>
      <vt:lpstr>GRZ!Print_Area</vt:lpstr>
      <vt:lpstr>HRZ!Print_Area</vt:lpstr>
      <vt:lpstr>PRZ!Print_Area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Colleen Calhoun</cp:lastModifiedBy>
  <cp:lastPrinted>2024-08-13T15:04:57Z</cp:lastPrinted>
  <dcterms:created xsi:type="dcterms:W3CDTF">2023-07-21T15:24:45Z</dcterms:created>
  <dcterms:modified xsi:type="dcterms:W3CDTF">2025-08-13T16:51:14Z</dcterms:modified>
</cp:coreProperties>
</file>