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InnPower\Private\Regulatory\2026 IRM\Submission\"/>
    </mc:Choice>
  </mc:AlternateContent>
  <xr:revisionPtr revIDLastSave="0" documentId="13_ncr:1_{D053DD5E-DD72-482F-9B48-43BC159F2F9E}" xr6:coauthVersionLast="47" xr6:coauthVersionMax="47" xr10:uidLastSave="{00000000-0000-0000-0000-000000000000}"/>
  <bookViews>
    <workbookView xWindow="-108" yWindow="-108" windowWidth="23256" windowHeight="12456" tabRatio="792" firstSheet="10" activeTab="10" xr2:uid="{00000000-000D-0000-FFFF-FFFF00000000}"/>
  </bookViews>
  <sheets>
    <sheet name="1589 Adj" sheetId="1" state="hidden" r:id="rId1"/>
    <sheet name="Trx Balances" sheetId="2" state="hidden" r:id="rId2"/>
    <sheet name="1589 Breakdown" sheetId="3" state="hidden" r:id="rId3"/>
    <sheet name="4707 Trx" sheetId="4" state="hidden" r:id="rId4"/>
    <sheet name="1589 Trx" sheetId="5" state="hidden" r:id="rId5"/>
    <sheet name="1589 Breakdown2" sheetId="16" state="hidden" r:id="rId6"/>
    <sheet name="1588 Breakdown2" sheetId="13" state="hidden" r:id="rId7"/>
    <sheet name="1588 Breakdown" sheetId="6" state="hidden" r:id="rId8"/>
    <sheet name="1588 Trx" sheetId="7" state="hidden" r:id="rId9"/>
    <sheet name="Princ Adj" sheetId="9" state="hidden" r:id="rId10"/>
    <sheet name="2024 Princ Adj" sheetId="17" r:id="rId11"/>
    <sheet name="2020 Unacct Losses" sheetId="10" state="hidden" r:id="rId12"/>
  </sheets>
  <definedNames>
    <definedName name="AS2DocOpenMode" hidden="1">"AS2DocumentEdit"</definedName>
    <definedName name="AS2HasNoAutoHeaderFooter" hidden="1">" "</definedName>
    <definedName name="_xlnm.Print_Area" localSheetId="10">'2024 Princ Adj'!$A$1:$I$116</definedName>
    <definedName name="_xlnm.Print_Area" localSheetId="9">'Princ Adj'!$A$1:$W$98</definedName>
    <definedName name="wrn.Aging._.and._.Trend._.Analysis.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7" l="1"/>
  <c r="H6" i="17"/>
  <c r="D115" i="17"/>
  <c r="G63" i="17" l="1"/>
  <c r="F63" i="17"/>
  <c r="E63" i="17"/>
  <c r="G57" i="17" l="1"/>
  <c r="F57" i="17"/>
  <c r="E57" i="17"/>
  <c r="E5" i="17" l="1"/>
  <c r="D97" i="17" l="1"/>
  <c r="F25" i="17" l="1"/>
  <c r="F24" i="17"/>
  <c r="F23" i="17"/>
  <c r="E26" i="17"/>
  <c r="E16" i="17" l="1"/>
  <c r="F22" i="17"/>
  <c r="F26" i="17" s="1"/>
  <c r="D108" i="17" l="1"/>
  <c r="D107" i="17"/>
  <c r="D106" i="17"/>
  <c r="D105" i="17"/>
  <c r="D104" i="17"/>
  <c r="D103" i="17"/>
  <c r="D102" i="17"/>
  <c r="D101" i="17"/>
  <c r="D100" i="17"/>
  <c r="D99" i="17"/>
  <c r="D98" i="17"/>
  <c r="G91" i="17"/>
  <c r="E20" i="17"/>
  <c r="F19" i="17"/>
  <c r="F18" i="17"/>
  <c r="D16" i="17"/>
  <c r="F15" i="17"/>
  <c r="F14" i="17"/>
  <c r="F13" i="17"/>
  <c r="F20" i="17" l="1"/>
  <c r="F16" i="17"/>
  <c r="D109" i="17"/>
  <c r="G6" i="17" s="1"/>
  <c r="F79" i="17"/>
  <c r="H79" i="17" s="1"/>
  <c r="F89" i="17"/>
  <c r="H89" i="17" s="1"/>
  <c r="F6" i="17" s="1"/>
  <c r="I6" i="17" s="1"/>
  <c r="D55" i="16"/>
  <c r="G28" i="16"/>
  <c r="G27" i="16"/>
  <c r="D61" i="16"/>
  <c r="D60" i="16"/>
  <c r="D59" i="16"/>
  <c r="D46" i="16"/>
  <c r="D64" i="16"/>
  <c r="D63" i="16"/>
  <c r="D29" i="16"/>
  <c r="D52" i="16" s="1"/>
  <c r="G5" i="17" l="1"/>
  <c r="D5" i="17"/>
  <c r="F91" i="17"/>
  <c r="F5" i="17"/>
  <c r="I5" i="17" s="1"/>
  <c r="H91" i="17"/>
  <c r="G29" i="16"/>
  <c r="G35" i="16" s="1"/>
  <c r="D44" i="16" s="1"/>
  <c r="D67" i="16"/>
  <c r="D54" i="16" l="1"/>
  <c r="D56" i="16" s="1"/>
  <c r="E52" i="16"/>
  <c r="E20" i="9" l="1"/>
  <c r="D20" i="9"/>
  <c r="D85" i="9" l="1"/>
  <c r="D86" i="9"/>
  <c r="D87" i="9"/>
  <c r="D88" i="9"/>
  <c r="D89" i="9"/>
  <c r="D90" i="9"/>
  <c r="D91" i="9"/>
  <c r="D92" i="9"/>
  <c r="D93" i="9"/>
  <c r="D94" i="9"/>
  <c r="D95" i="9"/>
  <c r="D84" i="9"/>
  <c r="F27" i="13" l="1"/>
  <c r="C54" i="13" l="1"/>
  <c r="F74" i="9" l="1"/>
  <c r="F73" i="9"/>
  <c r="F72" i="9"/>
  <c r="F71" i="9"/>
  <c r="F70" i="9"/>
  <c r="F58" i="9"/>
  <c r="F59" i="9"/>
  <c r="F60" i="9"/>
  <c r="F61" i="9"/>
  <c r="F62" i="9"/>
  <c r="F63" i="9"/>
  <c r="F65" i="9"/>
  <c r="F57" i="9"/>
  <c r="F51" i="9" l="1"/>
  <c r="E51" i="9"/>
  <c r="K14" i="3" l="1"/>
  <c r="P7" i="3" l="1"/>
  <c r="P8" i="3"/>
  <c r="P9" i="3"/>
  <c r="P10" i="3"/>
  <c r="P11" i="3"/>
  <c r="P12" i="3"/>
  <c r="P13" i="3"/>
  <c r="P14" i="3"/>
  <c r="P15" i="3"/>
  <c r="P16" i="3"/>
  <c r="P17" i="3"/>
  <c r="C60" i="13" l="1"/>
  <c r="C59" i="13"/>
  <c r="C58" i="13"/>
  <c r="C45" i="13"/>
  <c r="C38" i="13"/>
  <c r="C63" i="13" s="1"/>
  <c r="C33" i="13"/>
  <c r="C62" i="13" s="1"/>
  <c r="F26" i="13"/>
  <c r="C28" i="13"/>
  <c r="J19" i="7"/>
  <c r="C51" i="13" l="1"/>
  <c r="F28" i="13"/>
  <c r="F34" i="13" s="1"/>
  <c r="C43" i="13" s="1"/>
  <c r="D51" i="13" s="1"/>
  <c r="C66" i="13"/>
  <c r="C53" i="13" l="1"/>
  <c r="C55" i="13" s="1"/>
  <c r="F19" i="9"/>
  <c r="F18" i="9"/>
  <c r="F20" i="9" s="1"/>
  <c r="F14" i="9"/>
  <c r="F15" i="9"/>
  <c r="F13" i="9"/>
  <c r="F118" i="10" l="1"/>
  <c r="F120" i="10" s="1"/>
  <c r="E118" i="10"/>
  <c r="E120" i="10" s="1"/>
  <c r="D118" i="10"/>
  <c r="D120" i="10" s="1"/>
  <c r="F114" i="10"/>
  <c r="F116" i="10" s="1"/>
  <c r="E114" i="10"/>
  <c r="E116" i="10" s="1"/>
  <c r="D114" i="10"/>
  <c r="D116" i="10" s="1"/>
  <c r="G116" i="10" s="1"/>
  <c r="E112" i="10"/>
  <c r="D112" i="10"/>
  <c r="F110" i="10"/>
  <c r="F112" i="10" s="1"/>
  <c r="F108" i="10"/>
  <c r="E108" i="10"/>
  <c r="D108" i="10"/>
  <c r="I100" i="10"/>
  <c r="H100" i="10"/>
  <c r="O96" i="10"/>
  <c r="O100" i="10" s="1"/>
  <c r="N96" i="10"/>
  <c r="N100" i="10" s="1"/>
  <c r="M96" i="10"/>
  <c r="M100" i="10" s="1"/>
  <c r="L96" i="10"/>
  <c r="L100" i="10" s="1"/>
  <c r="K96" i="10"/>
  <c r="K100" i="10" s="1"/>
  <c r="J96" i="10"/>
  <c r="J100" i="10" s="1"/>
  <c r="I96" i="10"/>
  <c r="H96" i="10"/>
  <c r="G96" i="10"/>
  <c r="G100" i="10" s="1"/>
  <c r="F96" i="10"/>
  <c r="F100" i="10" s="1"/>
  <c r="E96" i="10"/>
  <c r="E100" i="10" s="1"/>
  <c r="D96" i="10"/>
  <c r="D100" i="10" s="1"/>
  <c r="P95" i="10"/>
  <c r="P94" i="10"/>
  <c r="N89" i="10"/>
  <c r="K89" i="10"/>
  <c r="J89" i="10"/>
  <c r="H88" i="10"/>
  <c r="L88" i="10" s="1"/>
  <c r="H87" i="10"/>
  <c r="L87" i="10" s="1"/>
  <c r="H86" i="10"/>
  <c r="L86" i="10" s="1"/>
  <c r="H85" i="10"/>
  <c r="L85" i="10" s="1"/>
  <c r="H84" i="10"/>
  <c r="L84" i="10" s="1"/>
  <c r="H83" i="10"/>
  <c r="L83" i="10" s="1"/>
  <c r="H82" i="10"/>
  <c r="L82" i="10" s="1"/>
  <c r="H81" i="10"/>
  <c r="L81" i="10" s="1"/>
  <c r="H80" i="10"/>
  <c r="L80" i="10" s="1"/>
  <c r="H79" i="10"/>
  <c r="L79" i="10" s="1"/>
  <c r="L78" i="10"/>
  <c r="H78" i="10"/>
  <c r="H77" i="10"/>
  <c r="L77" i="10" s="1"/>
  <c r="O68" i="10"/>
  <c r="N68" i="10"/>
  <c r="M68" i="10"/>
  <c r="L68" i="10"/>
  <c r="K68" i="10"/>
  <c r="J68" i="10"/>
  <c r="I68" i="10"/>
  <c r="H68" i="10"/>
  <c r="G68" i="10"/>
  <c r="F68" i="10"/>
  <c r="E68" i="10"/>
  <c r="D68" i="10"/>
  <c r="O60" i="10"/>
  <c r="O71" i="10" s="1"/>
  <c r="N60" i="10"/>
  <c r="N71" i="10" s="1"/>
  <c r="M60" i="10"/>
  <c r="M71" i="10" s="1"/>
  <c r="L60" i="10"/>
  <c r="L71" i="10" s="1"/>
  <c r="K60" i="10"/>
  <c r="J60" i="10"/>
  <c r="I60" i="10"/>
  <c r="I71" i="10" s="1"/>
  <c r="H60" i="10"/>
  <c r="H71" i="10" s="1"/>
  <c r="G60" i="10"/>
  <c r="G71" i="10" s="1"/>
  <c r="F60" i="10"/>
  <c r="F71" i="10" s="1"/>
  <c r="E60" i="10"/>
  <c r="E71" i="10" s="1"/>
  <c r="D60" i="10"/>
  <c r="D71" i="10" s="1"/>
  <c r="P59" i="10"/>
  <c r="P58" i="10"/>
  <c r="P57" i="10"/>
  <c r="Q58" i="10" s="1"/>
  <c r="Q59" i="10" s="1"/>
  <c r="O45" i="10"/>
  <c r="N45" i="10"/>
  <c r="O43" i="10"/>
  <c r="N43" i="10"/>
  <c r="M43" i="10"/>
  <c r="M45" i="10" s="1"/>
  <c r="L43" i="10"/>
  <c r="L45" i="10" s="1"/>
  <c r="K43" i="10"/>
  <c r="K45" i="10" s="1"/>
  <c r="J43" i="10"/>
  <c r="J45" i="10" s="1"/>
  <c r="I43" i="10"/>
  <c r="I45" i="10" s="1"/>
  <c r="H43" i="10"/>
  <c r="H45" i="10" s="1"/>
  <c r="G43" i="10"/>
  <c r="G45" i="10" s="1"/>
  <c r="F43" i="10"/>
  <c r="F45" i="10" s="1"/>
  <c r="E43" i="10"/>
  <c r="E45" i="10" s="1"/>
  <c r="D43" i="10"/>
  <c r="D45" i="10" s="1"/>
  <c r="P41" i="10"/>
  <c r="P39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O25" i="10"/>
  <c r="O36" i="10" s="1"/>
  <c r="N25" i="10"/>
  <c r="N36" i="10" s="1"/>
  <c r="M25" i="10"/>
  <c r="M36" i="10" s="1"/>
  <c r="L25" i="10"/>
  <c r="L36" i="10" s="1"/>
  <c r="K25" i="10"/>
  <c r="K36" i="10" s="1"/>
  <c r="J25" i="10"/>
  <c r="J36" i="10" s="1"/>
  <c r="I25" i="10"/>
  <c r="I36" i="10" s="1"/>
  <c r="H25" i="10"/>
  <c r="H36" i="10" s="1"/>
  <c r="G25" i="10"/>
  <c r="G36" i="10" s="1"/>
  <c r="F25" i="10"/>
  <c r="F36" i="10" s="1"/>
  <c r="E25" i="10"/>
  <c r="E36" i="10" s="1"/>
  <c r="D25" i="10"/>
  <c r="D36" i="10" s="1"/>
  <c r="P24" i="10"/>
  <c r="Q23" i="10"/>
  <c r="T8" i="10" s="1"/>
  <c r="T10" i="10" s="1"/>
  <c r="P23" i="10"/>
  <c r="P22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O7" i="10"/>
  <c r="O48" i="10" s="1"/>
  <c r="N7" i="10"/>
  <c r="N15" i="10" s="1"/>
  <c r="M7" i="10"/>
  <c r="L7" i="10"/>
  <c r="K7" i="10"/>
  <c r="J7" i="10"/>
  <c r="I7" i="10"/>
  <c r="H7" i="10"/>
  <c r="H15" i="10" s="1"/>
  <c r="H16" i="10" s="1"/>
  <c r="G7" i="10"/>
  <c r="G15" i="10" s="1"/>
  <c r="G16" i="10" s="1"/>
  <c r="F7" i="10"/>
  <c r="F15" i="10" s="1"/>
  <c r="E7" i="10"/>
  <c r="D7" i="10"/>
  <c r="I15" i="10" l="1"/>
  <c r="J15" i="10"/>
  <c r="J16" i="10" s="1"/>
  <c r="K15" i="10"/>
  <c r="K16" i="10" s="1"/>
  <c r="D15" i="10"/>
  <c r="D16" i="10" s="1"/>
  <c r="L15" i="10"/>
  <c r="I50" i="10"/>
  <c r="I16" i="10"/>
  <c r="P100" i="10"/>
  <c r="T5" i="10" s="1"/>
  <c r="E15" i="10"/>
  <c r="E16" i="10" s="1"/>
  <c r="M15" i="10"/>
  <c r="M16" i="10" s="1"/>
  <c r="I48" i="10"/>
  <c r="J71" i="10"/>
  <c r="E48" i="10"/>
  <c r="E50" i="10" s="1"/>
  <c r="M48" i="10"/>
  <c r="K71" i="10"/>
  <c r="L89" i="10"/>
  <c r="K90" i="10"/>
  <c r="G48" i="10"/>
  <c r="G50" i="10" s="1"/>
  <c r="O15" i="10"/>
  <c r="O16" i="10" s="1"/>
  <c r="G112" i="10"/>
  <c r="H116" i="10" s="1"/>
  <c r="N16" i="10"/>
  <c r="O89" i="10"/>
  <c r="H48" i="10"/>
  <c r="P15" i="10"/>
  <c r="Q15" i="10"/>
  <c r="F16" i="10"/>
  <c r="L16" i="10"/>
  <c r="G120" i="10"/>
  <c r="H120" i="10" s="1"/>
  <c r="J48" i="10"/>
  <c r="Q24" i="10"/>
  <c r="K48" i="10"/>
  <c r="K50" i="10" s="1"/>
  <c r="O50" i="10"/>
  <c r="P96" i="10"/>
  <c r="L48" i="10"/>
  <c r="L50" i="10" s="1"/>
  <c r="D48" i="10"/>
  <c r="D50" i="10" s="1"/>
  <c r="H50" i="10"/>
  <c r="P43" i="10"/>
  <c r="P45" i="10" s="1"/>
  <c r="F48" i="10"/>
  <c r="F50" i="10" s="1"/>
  <c r="N48" i="10"/>
  <c r="N50" i="10" s="1"/>
  <c r="H89" i="10"/>
  <c r="J50" i="10" l="1"/>
  <c r="M50" i="10"/>
  <c r="P50" i="10" s="1"/>
  <c r="T4" i="10" s="1"/>
  <c r="T6" i="10" s="1"/>
  <c r="T12" i="10" s="1"/>
  <c r="D16" i="9" l="1"/>
  <c r="E16" i="9"/>
  <c r="F16" i="9"/>
  <c r="D5" i="9" s="1"/>
  <c r="F76" i="9"/>
  <c r="H76" i="9" s="1"/>
  <c r="F6" i="9" s="1"/>
  <c r="G78" i="9"/>
  <c r="B96" i="9"/>
  <c r="C96" i="9"/>
  <c r="D96" i="9" l="1"/>
  <c r="G6" i="9" s="1"/>
  <c r="G5" i="9" s="1"/>
  <c r="F67" i="9"/>
  <c r="H67" i="9" s="1"/>
  <c r="F5" i="9" s="1"/>
  <c r="E5" i="9"/>
  <c r="H6" i="9" l="1"/>
  <c r="F78" i="9"/>
  <c r="H78" i="9"/>
  <c r="H5" i="9"/>
  <c r="J61" i="7" l="1"/>
  <c r="C60" i="6" l="1"/>
  <c r="C59" i="6"/>
  <c r="C58" i="6"/>
  <c r="C47" i="6"/>
  <c r="D49" i="6" s="1"/>
  <c r="C45" i="6"/>
  <c r="C38" i="6"/>
  <c r="C63" i="6" s="1"/>
  <c r="C33" i="6"/>
  <c r="C62" i="6" s="1"/>
  <c r="C28" i="6"/>
  <c r="C51" i="6" s="1"/>
  <c r="F27" i="6"/>
  <c r="C27" i="6"/>
  <c r="F26" i="6"/>
  <c r="F28" i="6" s="1"/>
  <c r="F34" i="6" s="1"/>
  <c r="C43" i="6" s="1"/>
  <c r="D51" i="6" s="1"/>
  <c r="C26" i="6"/>
  <c r="T11" i="6"/>
  <c r="T10" i="6"/>
  <c r="T9" i="6"/>
  <c r="T12" i="6" l="1"/>
  <c r="T16" i="6" s="1"/>
  <c r="C66" i="6"/>
  <c r="C53" i="6"/>
  <c r="I57" i="5" l="1"/>
  <c r="H57" i="5"/>
  <c r="J57" i="5" s="1"/>
  <c r="L27" i="5"/>
  <c r="H26" i="5"/>
  <c r="J23" i="5"/>
  <c r="L35" i="5" s="1"/>
  <c r="L37" i="5" s="1"/>
  <c r="M20" i="5"/>
  <c r="J132" i="4"/>
  <c r="K129" i="4"/>
  <c r="J129" i="4"/>
  <c r="J126" i="4"/>
  <c r="J120" i="4"/>
  <c r="J118" i="4"/>
  <c r="K122" i="4" s="1"/>
  <c r="J115" i="4"/>
  <c r="J107" i="4"/>
  <c r="J105" i="4"/>
  <c r="K105" i="4" s="1"/>
  <c r="J102" i="4"/>
  <c r="J95" i="4"/>
  <c r="J92" i="4"/>
  <c r="J89" i="4"/>
  <c r="J81" i="4"/>
  <c r="J79" i="4"/>
  <c r="J76" i="4"/>
  <c r="J66" i="4"/>
  <c r="J64" i="4"/>
  <c r="J62" i="4"/>
  <c r="J51" i="4"/>
  <c r="J49" i="4"/>
  <c r="J46" i="4"/>
  <c r="J43" i="4"/>
  <c r="K49" i="4" s="1"/>
  <c r="J41" i="4"/>
  <c r="J35" i="4"/>
  <c r="J30" i="4"/>
  <c r="J28" i="4"/>
  <c r="J24" i="4"/>
  <c r="J17" i="4"/>
  <c r="K14" i="4"/>
  <c r="I61" i="3"/>
  <c r="E61" i="3"/>
  <c r="D61" i="3"/>
  <c r="C61" i="3"/>
  <c r="H60" i="3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E43" i="3"/>
  <c r="C42" i="3"/>
  <c r="D39" i="3"/>
  <c r="F39" i="3" s="1"/>
  <c r="D38" i="3"/>
  <c r="F38" i="3" s="1"/>
  <c r="D37" i="3"/>
  <c r="F37" i="3" s="1"/>
  <c r="D36" i="3"/>
  <c r="F36" i="3" s="1"/>
  <c r="F35" i="3"/>
  <c r="H35" i="3" s="1"/>
  <c r="F34" i="3"/>
  <c r="H34" i="3" s="1"/>
  <c r="F33" i="3"/>
  <c r="J33" i="3" s="1"/>
  <c r="F32" i="3"/>
  <c r="H32" i="3" s="1"/>
  <c r="F31" i="3"/>
  <c r="J31" i="3" s="1"/>
  <c r="F30" i="3"/>
  <c r="H30" i="3" s="1"/>
  <c r="F29" i="3"/>
  <c r="J29" i="3" s="1"/>
  <c r="F28" i="3"/>
  <c r="H28" i="3" s="1"/>
  <c r="S20" i="3"/>
  <c r="M20" i="3"/>
  <c r="L20" i="3"/>
  <c r="I20" i="3"/>
  <c r="H20" i="3"/>
  <c r="D20" i="3"/>
  <c r="C20" i="3"/>
  <c r="T18" i="3"/>
  <c r="P18" i="3"/>
  <c r="T17" i="3"/>
  <c r="N17" i="3"/>
  <c r="T16" i="3"/>
  <c r="N16" i="3"/>
  <c r="T15" i="3"/>
  <c r="N15" i="3"/>
  <c r="T14" i="3"/>
  <c r="N14" i="3"/>
  <c r="T13" i="3"/>
  <c r="N13" i="3"/>
  <c r="T12" i="3"/>
  <c r="N12" i="3"/>
  <c r="T11" i="3"/>
  <c r="N11" i="3"/>
  <c r="T10" i="3"/>
  <c r="T9" i="3"/>
  <c r="T8" i="3"/>
  <c r="N8" i="3"/>
  <c r="T7" i="3"/>
  <c r="N7" i="3"/>
  <c r="L77" i="4" l="1"/>
  <c r="J28" i="3"/>
  <c r="Q14" i="3"/>
  <c r="K92" i="4"/>
  <c r="N18" i="3"/>
  <c r="L65" i="4"/>
  <c r="J34" i="3"/>
  <c r="K34" i="3" s="1"/>
  <c r="K20" i="3"/>
  <c r="J30" i="3"/>
  <c r="K30" i="3" s="1"/>
  <c r="T20" i="3"/>
  <c r="E20" i="3"/>
  <c r="I21" i="3" s="1"/>
  <c r="Q17" i="3"/>
  <c r="J32" i="3"/>
  <c r="K32" i="3" s="1"/>
  <c r="H64" i="3"/>
  <c r="J37" i="3"/>
  <c r="H37" i="3"/>
  <c r="J36" i="3"/>
  <c r="H36" i="3"/>
  <c r="K28" i="3"/>
  <c r="J38" i="3"/>
  <c r="H38" i="3"/>
  <c r="K29" i="3"/>
  <c r="J39" i="3"/>
  <c r="H39" i="3"/>
  <c r="Q11" i="3"/>
  <c r="E42" i="3"/>
  <c r="E44" i="3" s="1"/>
  <c r="H29" i="3"/>
  <c r="H33" i="3"/>
  <c r="K33" i="3" s="1"/>
  <c r="Q10" i="3"/>
  <c r="Q13" i="3"/>
  <c r="P20" i="3"/>
  <c r="J25" i="5"/>
  <c r="Q9" i="3"/>
  <c r="Q15" i="3"/>
  <c r="Q18" i="3"/>
  <c r="J35" i="3"/>
  <c r="K35" i="3" s="1"/>
  <c r="Q7" i="3"/>
  <c r="G61" i="3"/>
  <c r="J61" i="3" s="1"/>
  <c r="Q16" i="3"/>
  <c r="H31" i="3"/>
  <c r="K31" i="3" s="1"/>
  <c r="Q8" i="3"/>
  <c r="Q12" i="3"/>
  <c r="J29" i="5"/>
  <c r="J20" i="3" l="1"/>
  <c r="N9" i="3"/>
  <c r="K36" i="3"/>
  <c r="K37" i="3"/>
  <c r="K38" i="3"/>
  <c r="K39" i="3"/>
  <c r="K40" i="3"/>
  <c r="K21" i="3" l="1"/>
  <c r="M33" i="2"/>
  <c r="M35" i="2" s="1"/>
  <c r="M39" i="2" s="1"/>
  <c r="M26" i="2"/>
  <c r="D45" i="2"/>
  <c r="D48" i="2"/>
  <c r="D33" i="2"/>
  <c r="D38" i="2" s="1"/>
  <c r="D25" i="2"/>
  <c r="D27" i="2" s="1"/>
  <c r="H6" i="2"/>
  <c r="H5" i="2"/>
  <c r="N14" i="2"/>
  <c r="T14" i="2" s="1"/>
  <c r="X14" i="2" s="1"/>
  <c r="AD14" i="2" s="1"/>
  <c r="AH14" i="2" s="1"/>
  <c r="AN14" i="2" s="1"/>
  <c r="AR14" i="2" s="1"/>
  <c r="AX14" i="2" s="1"/>
  <c r="BB14" i="2" s="1"/>
  <c r="BH14" i="2" s="1"/>
  <c r="BL14" i="2" s="1"/>
  <c r="BP14" i="2" s="1"/>
  <c r="I14" i="2"/>
  <c r="O14" i="2" s="1"/>
  <c r="S14" i="2" s="1"/>
  <c r="Y14" i="2" s="1"/>
  <c r="AC14" i="2" s="1"/>
  <c r="AI14" i="2" s="1"/>
  <c r="AM14" i="2" s="1"/>
  <c r="AS14" i="2" s="1"/>
  <c r="AW14" i="2" s="1"/>
  <c r="BC14" i="2" s="1"/>
  <c r="BG14" i="2" s="1"/>
  <c r="N13" i="2"/>
  <c r="T13" i="2" s="1"/>
  <c r="X13" i="2" s="1"/>
  <c r="AD13" i="2" s="1"/>
  <c r="AH13" i="2" s="1"/>
  <c r="AN13" i="2" s="1"/>
  <c r="AR13" i="2" s="1"/>
  <c r="AX13" i="2" s="1"/>
  <c r="BB13" i="2" s="1"/>
  <c r="BH13" i="2" s="1"/>
  <c r="BL13" i="2" s="1"/>
  <c r="BP13" i="2" s="1"/>
  <c r="I13" i="2"/>
  <c r="O13" i="2" s="1"/>
  <c r="S13" i="2" s="1"/>
  <c r="Y13" i="2" s="1"/>
  <c r="AC13" i="2" s="1"/>
  <c r="AI13" i="2" s="1"/>
  <c r="AM13" i="2" s="1"/>
  <c r="AS13" i="2" s="1"/>
  <c r="AW13" i="2" s="1"/>
  <c r="BC13" i="2" s="1"/>
  <c r="BG13" i="2" s="1"/>
  <c r="D47" i="2" l="1"/>
  <c r="D50" i="2" s="1"/>
  <c r="BO13" i="2"/>
  <c r="BW13" i="2"/>
  <c r="BX13" i="2" s="1"/>
  <c r="BO14" i="2"/>
  <c r="BW14" i="2"/>
  <c r="BX14" i="2" s="1"/>
  <c r="BQ14" i="2" l="1"/>
  <c r="BS14" i="2" s="1"/>
  <c r="BQ13" i="2"/>
  <c r="BS13" i="2" s="1"/>
  <c r="BT13" i="2" l="1"/>
  <c r="BT14" i="2"/>
  <c r="E35" i="1" l="1"/>
  <c r="F34" i="1"/>
  <c r="F33" i="1"/>
  <c r="D32" i="1"/>
  <c r="F32" i="1" s="1"/>
  <c r="I34" i="1"/>
  <c r="I33" i="1"/>
  <c r="I32" i="1"/>
  <c r="M34" i="1"/>
  <c r="M33" i="1"/>
  <c r="M32" i="1"/>
  <c r="M28" i="1"/>
  <c r="N28" i="1" s="1"/>
  <c r="M27" i="1"/>
  <c r="N27" i="1" s="1"/>
  <c r="M26" i="1"/>
  <c r="N26" i="1" s="1"/>
  <c r="I27" i="1"/>
  <c r="J27" i="1" s="1"/>
  <c r="I28" i="1"/>
  <c r="J28" i="1" s="1"/>
  <c r="I26" i="1"/>
  <c r="J26" i="1" s="1"/>
  <c r="F35" i="1" l="1"/>
  <c r="D35" i="1"/>
  <c r="P26" i="1"/>
  <c r="P28" i="1"/>
  <c r="Q28" i="1" s="1"/>
  <c r="P27" i="1"/>
  <c r="Q27" i="1" s="1"/>
  <c r="E29" i="1"/>
  <c r="F28" i="1"/>
  <c r="F27" i="1" l="1"/>
  <c r="D26" i="1" l="1"/>
  <c r="D29" i="1" l="1"/>
  <c r="Q26" i="1"/>
  <c r="Q29" i="1" s="1"/>
  <c r="F26" i="1"/>
  <c r="K20" i="1" l="1"/>
  <c r="J20" i="1" l="1"/>
  <c r="J21" i="1" l="1"/>
  <c r="H9" i="1" l="1"/>
  <c r="L9" i="1" s="1"/>
  <c r="O9" i="1" s="1"/>
  <c r="H10" i="1"/>
  <c r="L10" i="1" s="1"/>
  <c r="O10" i="1" s="1"/>
  <c r="H11" i="1"/>
  <c r="H12" i="1"/>
  <c r="H13" i="1"/>
  <c r="H14" i="1"/>
  <c r="L14" i="1" s="1"/>
  <c r="O14" i="1" s="1"/>
  <c r="H15" i="1"/>
  <c r="L15" i="1" s="1"/>
  <c r="O15" i="1" s="1"/>
  <c r="H16" i="1"/>
  <c r="L16" i="1" s="1"/>
  <c r="O16" i="1" s="1"/>
  <c r="H17" i="1"/>
  <c r="L17" i="1" s="1"/>
  <c r="O17" i="1" s="1"/>
  <c r="H18" i="1"/>
  <c r="L18" i="1" s="1"/>
  <c r="O18" i="1" s="1"/>
  <c r="H19" i="1"/>
  <c r="L19" i="1" s="1"/>
  <c r="O19" i="1" s="1"/>
  <c r="H8" i="1"/>
  <c r="F19" i="1"/>
  <c r="F18" i="1"/>
  <c r="F17" i="1"/>
  <c r="F16" i="1"/>
  <c r="F15" i="1"/>
  <c r="F14" i="1"/>
  <c r="F13" i="1"/>
  <c r="F12" i="1"/>
  <c r="F11" i="1"/>
  <c r="F10" i="1"/>
  <c r="F9" i="1"/>
  <c r="F8" i="1"/>
  <c r="L13" i="1" l="1"/>
  <c r="H34" i="1" s="1"/>
  <c r="J34" i="1" s="1"/>
  <c r="L12" i="1"/>
  <c r="H33" i="1"/>
  <c r="J33" i="1" s="1"/>
  <c r="L11" i="1"/>
  <c r="H32" i="1" s="1"/>
  <c r="H20" i="1"/>
  <c r="L8" i="1"/>
  <c r="J32" i="1" l="1"/>
  <c r="J35" i="1" s="1"/>
  <c r="H35" i="1"/>
  <c r="O11" i="1"/>
  <c r="L32" i="1"/>
  <c r="O12" i="1"/>
  <c r="L33" i="1"/>
  <c r="N33" i="1" s="1"/>
  <c r="P33" i="1" s="1"/>
  <c r="Q33" i="1" s="1"/>
  <c r="O13" i="1"/>
  <c r="L34" i="1"/>
  <c r="N34" i="1" s="1"/>
  <c r="P34" i="1" s="1"/>
  <c r="Q34" i="1" s="1"/>
  <c r="L20" i="1"/>
  <c r="O8" i="1"/>
  <c r="O20" i="1" s="1"/>
  <c r="N32" i="1" l="1"/>
  <c r="L35" i="1"/>
  <c r="P20" i="1"/>
  <c r="P32" i="1" l="1"/>
  <c r="N35" i="1"/>
  <c r="Q32" i="1" l="1"/>
  <c r="Q35" i="1" s="1"/>
  <c r="P35" i="1"/>
  <c r="G5" i="2" l="1"/>
  <c r="I5" i="2" s="1"/>
  <c r="G6" i="2"/>
  <c r="F19" i="2"/>
  <c r="F18" i="2"/>
  <c r="I6" i="2" l="1"/>
  <c r="D29" i="2"/>
  <c r="D31" i="2" s="1"/>
  <c r="F20" i="3" l="1"/>
  <c r="N10" i="3"/>
  <c r="N20" i="3" s="1"/>
  <c r="G20" i="3"/>
  <c r="G21" i="3" l="1"/>
  <c r="I22" i="3"/>
  <c r="D21" i="3"/>
</calcChain>
</file>

<file path=xl/sharedStrings.xml><?xml version="1.0" encoding="utf-8"?>
<sst xmlns="http://schemas.openxmlformats.org/spreadsheetml/2006/main" count="1474" uniqueCount="543">
  <si>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</si>
  <si>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</si>
  <si>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</si>
  <si>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</si>
  <si>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</si>
  <si>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</si>
  <si>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</si>
  <si>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</si>
  <si>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</si>
  <si>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</si>
  <si>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</si>
  <si>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</si>
  <si>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Wholesale</t>
  </si>
  <si>
    <t>Generation</t>
  </si>
  <si>
    <t>Total</t>
  </si>
  <si>
    <t>Retail</t>
  </si>
  <si>
    <t>Class A</t>
  </si>
  <si>
    <t>A</t>
  </si>
  <si>
    <t>B</t>
  </si>
  <si>
    <t>A + B =  C</t>
  </si>
  <si>
    <t>D</t>
  </si>
  <si>
    <t>E</t>
  </si>
  <si>
    <t>F</t>
  </si>
  <si>
    <t>G</t>
  </si>
  <si>
    <t>Annual Non-RPP Class B Wholesale kWh *</t>
  </si>
  <si>
    <t>I</t>
  </si>
  <si>
    <t>Net GA $ non RPP</t>
  </si>
  <si>
    <t>Weighted Average GA Actual Rate Paid ($/kWh)**</t>
  </si>
  <si>
    <t>Class B Wholesale</t>
  </si>
  <si>
    <t>Class B - Billed</t>
  </si>
  <si>
    <t>Net GA-non RPP - Billed</t>
  </si>
  <si>
    <t>GA Actual Rate</t>
  </si>
  <si>
    <t>E * (F/G) = H</t>
  </si>
  <si>
    <t>J</t>
  </si>
  <si>
    <t>J/H</t>
  </si>
  <si>
    <t>C - D = E</t>
  </si>
  <si>
    <t>CT148 Credit</t>
  </si>
  <si>
    <t>CT148 w/o credit</t>
  </si>
  <si>
    <t>Net CT148</t>
  </si>
  <si>
    <t>RPP GA (kWh)</t>
  </si>
  <si>
    <t>Unadjusted GA</t>
  </si>
  <si>
    <t>Global Adj ($)</t>
  </si>
  <si>
    <t>Non-RPP (kWh)</t>
  </si>
  <si>
    <t>Adjusted GA</t>
  </si>
  <si>
    <t>Total Global Adj ($)</t>
  </si>
  <si>
    <t>Difference</t>
  </si>
  <si>
    <t>Amounts excluded - impact calculated below</t>
  </si>
  <si>
    <t>Note 4: Analysis of Expected GA Amount</t>
  </si>
  <si>
    <t>GA Analysis Workform Backup</t>
  </si>
  <si>
    <t>Note 5: Impacts of GA Deferral - calculated from wholesale kWh amount</t>
  </si>
  <si>
    <t>AQEW</t>
  </si>
  <si>
    <t>Embedded Generation</t>
  </si>
  <si>
    <t>Disposition</t>
  </si>
  <si>
    <t>Calculated Variance</t>
  </si>
  <si>
    <t>Schedule Variances</t>
  </si>
  <si>
    <t>1.00.1588.800.000</t>
  </si>
  <si>
    <t>1.00.1589.800.000</t>
  </si>
  <si>
    <t>Projected Interest on Dec-31-2019 Balances</t>
  </si>
  <si>
    <t>Account Descriptions</t>
  </si>
  <si>
    <t>Account Number</t>
  </si>
  <si>
    <t>Opening Principal Amounts as of Jan 1, 2014</t>
  </si>
  <si>
    <t>Transactions Debit / (Credit) during 2014</t>
  </si>
  <si>
    <t>OEB-Approved Disposition during 2014</t>
  </si>
  <si>
    <t>Closing Principal Balance as of Dec 31, 2014</t>
  </si>
  <si>
    <t>Opening Interest Amounts as of Jan 1, 2014</t>
  </si>
  <si>
    <t>Interest Jan 1 to Dec 31, 2014</t>
  </si>
  <si>
    <t>Closing Interest Amounts as of Dec 31, 2014</t>
  </si>
  <si>
    <t>Opening Principal Amounts as of Jan 1, 2015</t>
  </si>
  <si>
    <t>Transactions Debit / (Credit) during 2015</t>
  </si>
  <si>
    <t>OEB-Approved Disposition during 2015</t>
  </si>
  <si>
    <t>Closing Principal Balance as of Dec 31, 2015</t>
  </si>
  <si>
    <t>Opening Interest Amounts as of Jan 1, 2015</t>
  </si>
  <si>
    <t>Interest Jan 1 to Dec 31, 2015</t>
  </si>
  <si>
    <t>Closing Interest Amounts as of Dec 31, 2015</t>
  </si>
  <si>
    <t>Opening Principal Amounts as of Jan 1, 2016</t>
  </si>
  <si>
    <t>Transactions Debit / (Credit) during 2016</t>
  </si>
  <si>
    <t>OEB-Approved Disposition during 2016</t>
  </si>
  <si>
    <t>Closing Principal Balance as of Dec 31, 2016</t>
  </si>
  <si>
    <t>Opening Interest Amounts as of Jan 1, 2016</t>
  </si>
  <si>
    <t>Interest Jan 1 to Dec 31, 2016</t>
  </si>
  <si>
    <t>Closing Interest Amounts as of Dec 31, 2016</t>
  </si>
  <si>
    <t>Opening Principal Amounts as of Jan 1, 2017</t>
  </si>
  <si>
    <t>Transactions Debit / (Credit) during 2017</t>
  </si>
  <si>
    <t>OEB-Approved Disposition during 2017</t>
  </si>
  <si>
    <t>Closing Principal Balance as of Dec 31, 2017</t>
  </si>
  <si>
    <t>Opening Interest Amounts as of Jan 1, 2017</t>
  </si>
  <si>
    <t>Interest Jan 1 to Dec 31, 2017</t>
  </si>
  <si>
    <t>Closing Interest Amounts as of Dec 31, 2017</t>
  </si>
  <si>
    <t>Opening Principal Amounts as of Jan 1, 2018</t>
  </si>
  <si>
    <t>Transactions Debit / (Credit) during 2018</t>
  </si>
  <si>
    <t>OEB-Approved Disposition during 2018</t>
  </si>
  <si>
    <t>Closing Principal Balance as of Dec 31, 2018</t>
  </si>
  <si>
    <t>Opening Interest Amounts as of Jan 1, 2018</t>
  </si>
  <si>
    <t>Interest Jan 1 to Dec 31, 2018</t>
  </si>
  <si>
    <t>Closing Interest Amounts as of Dec 31, 2018</t>
  </si>
  <si>
    <t>Opening Principal Amounts as of Jan 1, 2019</t>
  </si>
  <si>
    <t>Transactions Debit / (Credit) during 2019</t>
  </si>
  <si>
    <t>OEB-Approved Disposition during 2019</t>
  </si>
  <si>
    <t>Closing Principal Balance as of Dec 31, 2019</t>
  </si>
  <si>
    <t>Opening Interest Amounts as of Jan 1, 2019</t>
  </si>
  <si>
    <t>Interest Jan 1 to Dec 31, 2019</t>
  </si>
  <si>
    <t>Closing Interest Amounts as of Dec 31, 2019</t>
  </si>
  <si>
    <t>Principal Disposition during 2020 - instructed by OEB</t>
  </si>
  <si>
    <t>Interest Disposition during 2020 - instructed by OEB</t>
  </si>
  <si>
    <t>Closing Principal Balances as of Dec 31, 2019 Adjusted for Disposition during 2020</t>
  </si>
  <si>
    <t>Closing Interest Balances as of Dec 31, 2019 Adjusted for Disposition during 2020</t>
  </si>
  <si>
    <t>Total Interest</t>
  </si>
  <si>
    <t>Total Claim</t>
  </si>
  <si>
    <t>Account Disposition: Yes/No?</t>
  </si>
  <si>
    <t>As of Dec 31, 2019</t>
  </si>
  <si>
    <t>Claim before Forecasted Transactions</t>
  </si>
  <si>
    <t>Yes</t>
  </si>
  <si>
    <r>
      <t xml:space="preserve">Projected Interest from Jan 1, 2021 to Apr 30, 2021 on Dec 31, 2019 balance adjusted for disposition during 2020 </t>
    </r>
    <r>
      <rPr>
        <b/>
        <vertAlign val="superscript"/>
        <sz val="11"/>
        <rFont val="Calibri"/>
        <family val="2"/>
        <scheme val="minor"/>
      </rPr>
      <t>2</t>
    </r>
  </si>
  <si>
    <r>
      <t>RSVA - Power</t>
    </r>
    <r>
      <rPr>
        <vertAlign val="superscript"/>
        <sz val="11"/>
        <rFont val="Calibri"/>
        <family val="2"/>
        <scheme val="minor"/>
      </rPr>
      <t>4</t>
    </r>
  </si>
  <si>
    <r>
      <t>RSVA - Global Adjustment</t>
    </r>
    <r>
      <rPr>
        <vertAlign val="superscript"/>
        <sz val="11"/>
        <rFont val="Calibri"/>
        <family val="2"/>
        <scheme val="minor"/>
      </rPr>
      <t>4</t>
    </r>
  </si>
  <si>
    <r>
      <t>2.1.7 RRR</t>
    </r>
    <r>
      <rPr>
        <vertAlign val="superscript"/>
        <sz val="11"/>
        <rFont val="Calibri"/>
        <family val="2"/>
        <scheme val="minor"/>
      </rPr>
      <t>5</t>
    </r>
  </si>
  <si>
    <r>
      <t>Principal Adjustments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during 2014</t>
    </r>
  </si>
  <si>
    <r>
      <t>Interest Adjustments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during 2014</t>
    </r>
  </si>
  <si>
    <r>
      <t>Principal Adjustments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during 2015</t>
    </r>
  </si>
  <si>
    <r>
      <t>Interest Adjustments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during 2015</t>
    </r>
  </si>
  <si>
    <r>
      <t>Principal Adjustments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during 2016</t>
    </r>
  </si>
  <si>
    <r>
      <t>Interest Adjustments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during 2016</t>
    </r>
  </si>
  <si>
    <r>
      <t>Principal Adjustments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during 2017</t>
    </r>
  </si>
  <si>
    <r>
      <t>Interest Adjustments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during 2017</t>
    </r>
  </si>
  <si>
    <r>
      <t>Principal Adjustments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during 2018</t>
    </r>
  </si>
  <si>
    <r>
      <t>Interest Adjustments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during 2018</t>
    </r>
  </si>
  <si>
    <r>
      <t>Principal Adjustments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during 2019</t>
    </r>
  </si>
  <si>
    <r>
      <t>Interest Adjustments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during 2019</t>
    </r>
  </si>
  <si>
    <r>
      <t xml:space="preserve">Projected Interest from Jan 1, 2020 to Dec 31, 2020 on Dec 31, 2019 balance adjusted for disposition during 2020 </t>
    </r>
    <r>
      <rPr>
        <b/>
        <vertAlign val="superscript"/>
        <sz val="11"/>
        <rFont val="Calibri"/>
        <family val="2"/>
        <scheme val="minor"/>
      </rPr>
      <t>2</t>
    </r>
  </si>
  <si>
    <r>
      <t xml:space="preserve">Variance                           RRR vs. 2019 Balance                        </t>
    </r>
    <r>
      <rPr>
        <b/>
        <i/>
        <sz val="11"/>
        <rFont val="Calibri"/>
        <family val="2"/>
        <scheme val="minor"/>
      </rPr>
      <t>(Principal + Interest)</t>
    </r>
  </si>
  <si>
    <t>2020 Trxs</t>
  </si>
  <si>
    <t>Transactions for 2020 in 1589</t>
  </si>
  <si>
    <t>Transactions</t>
  </si>
  <si>
    <t>Prior Year Unbilled not Booked</t>
  </si>
  <si>
    <t>GA transfer for 2020 booked in 2021</t>
  </si>
  <si>
    <t>Billing adjustments</t>
  </si>
  <si>
    <t>Unbilled for current year</t>
  </si>
  <si>
    <t>Sale of Power - Cost of Power</t>
  </si>
  <si>
    <t>Unbilled</t>
  </si>
  <si>
    <t>Unaccounted for losses</t>
  </si>
  <si>
    <t>Adjustment</t>
  </si>
  <si>
    <t>Subtotal</t>
  </si>
  <si>
    <t>GA transfer</t>
  </si>
  <si>
    <t>Total for 2020</t>
  </si>
  <si>
    <t>matches GA workform</t>
  </si>
  <si>
    <t>Difference in unbilled</t>
  </si>
  <si>
    <t>Prior year unbilled</t>
  </si>
  <si>
    <t xml:space="preserve">CT 148 true-up of GA Charges based on actual RPP volumes </t>
  </si>
  <si>
    <t>CT 1142/142 true-up based on actuals</t>
  </si>
  <si>
    <t>Unbilled to actual revenue differences</t>
  </si>
  <si>
    <t>Unaccounted for energy loss</t>
  </si>
  <si>
    <t>Impacts of GA deferral</t>
  </si>
  <si>
    <t>OEB Adjustments accounted for in disposition - did not record 493,767.73</t>
  </si>
  <si>
    <t>Billed</t>
  </si>
  <si>
    <t>IESO invoice</t>
  </si>
  <si>
    <t>Current Month Accrual</t>
  </si>
  <si>
    <t>Accrual Reversal</t>
  </si>
  <si>
    <t>Current Month Actual</t>
  </si>
  <si>
    <t>Record Prior Month Actual</t>
  </si>
  <si>
    <t>GA correction</t>
  </si>
  <si>
    <t>Correction for Accrual</t>
  </si>
  <si>
    <t>Difference b/w Accr &amp; Act</t>
  </si>
  <si>
    <t>Cost</t>
  </si>
  <si>
    <t>RSVA Entry</t>
  </si>
  <si>
    <t>Variance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</si>
  <si>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</si>
  <si>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</si>
  <si>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</si>
  <si>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</si>
  <si>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</si>
  <si>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</si>
  <si>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</si>
  <si>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</si>
  <si>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</si>
  <si>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</si>
  <si>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</si>
  <si>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Non-RPP Class B Including Loss Factor Billed Consumption (kWh)</t>
  </si>
  <si>
    <t>Deduct Previous Month Unbilled Loss Adjusted Consumption (kWh)</t>
  </si>
  <si>
    <t>Add Current Month Unbilled Loss Adjusted Consumption (kWh)</t>
  </si>
  <si>
    <t>Non-RPP Class B Including Loss Adjusted Consumption, Adjusted for Unbilled (kWh)</t>
  </si>
  <si>
    <t>GA Rate Billed  ($/kWh)</t>
  </si>
  <si>
    <t>$ Consumption at GA Rate Billed</t>
  </si>
  <si>
    <t>GA Actual Rate Paid ($/kWh)</t>
  </si>
  <si>
    <t>$ Consumption at Actual Rate Paid</t>
  </si>
  <si>
    <t>Expected GA Price Variance ($)</t>
  </si>
  <si>
    <t>H</t>
  </si>
  <si>
    <t>I = F-G+H</t>
  </si>
  <si>
    <t>K = I*J</t>
  </si>
  <si>
    <t>L</t>
  </si>
  <si>
    <t>M = I*L</t>
  </si>
  <si>
    <t>N=M-K</t>
  </si>
  <si>
    <t>Model</t>
  </si>
  <si>
    <t>IESO</t>
  </si>
  <si>
    <t>Dif than Billed</t>
  </si>
  <si>
    <t>Difference in billed</t>
  </si>
  <si>
    <t>System:</t>
  </si>
  <si>
    <t>InnPower Corporation</t>
  </si>
  <si>
    <t>Page:</t>
  </si>
  <si>
    <t>User Date:</t>
  </si>
  <si>
    <t>HISTORY DETAIL INQUIRY REPORT FOR</t>
  </si>
  <si>
    <t>User ID:</t>
  </si>
  <si>
    <t>Laura</t>
  </si>
  <si>
    <t>General Ledger</t>
  </si>
  <si>
    <t>* Voided Journal Entry</t>
  </si>
  <si>
    <t>Account:</t>
  </si>
  <si>
    <t>1.10.4707.000.800</t>
  </si>
  <si>
    <t>Global Adjustment - IESO</t>
  </si>
  <si>
    <t>Ranges:</t>
  </si>
  <si>
    <t>From:</t>
  </si>
  <si>
    <t>To:</t>
  </si>
  <si>
    <t>Date</t>
  </si>
  <si>
    <t>Source Document</t>
  </si>
  <si>
    <t>First</t>
  </si>
  <si>
    <t>Last</t>
  </si>
  <si>
    <t>Currency ID</t>
  </si>
  <si>
    <t>Sorted By:</t>
  </si>
  <si>
    <t>Transaction Date</t>
  </si>
  <si>
    <t>Account Balance:</t>
  </si>
  <si>
    <t>Trx Date</t>
  </si>
  <si>
    <t>Jrnl No.</t>
  </si>
  <si>
    <t>Source Doc</t>
  </si>
  <si>
    <t>Audit Code</t>
  </si>
  <si>
    <t>Reference</t>
  </si>
  <si>
    <t>Debit</t>
  </si>
  <si>
    <t>Credit</t>
  </si>
  <si>
    <t>-------------------------------------------------------------------------------</t>
  </si>
  <si>
    <t>-------------------------------------------------------</t>
  </si>
  <si>
    <t>GJ</t>
  </si>
  <si>
    <t>GLTRX00053802</t>
  </si>
  <si>
    <t>To rec actual IESO invoice</t>
  </si>
  <si>
    <t>GLTRX00054030</t>
  </si>
  <si>
    <t>GLTRX00053998</t>
  </si>
  <si>
    <t>To trf Non-RPP GA</t>
  </si>
  <si>
    <t>GLTRX00054172</t>
  </si>
  <si>
    <t>GLTRX00054213</t>
  </si>
  <si>
    <t>To rec IESO inv accrual</t>
  </si>
  <si>
    <t>GLREV00054213</t>
  </si>
  <si>
    <t>GLTRX00054576</t>
  </si>
  <si>
    <t>Back Out Journal Entry 733166</t>
  </si>
  <si>
    <t>GLTRX00054395</t>
  </si>
  <si>
    <t>To rec actual IESO Invoice</t>
  </si>
  <si>
    <t>GLTRX00054568</t>
  </si>
  <si>
    <t>To rec mthly accr for IESO in</t>
  </si>
  <si>
    <t>GLTRX00054579</t>
  </si>
  <si>
    <t>GLTRX00054577</t>
  </si>
  <si>
    <t>To corr Feb GA transfer</t>
  </si>
  <si>
    <t>GLREV00054568</t>
  </si>
  <si>
    <t>GLTRX00054639</t>
  </si>
  <si>
    <t>GLTRX00054919</t>
  </si>
  <si>
    <t>Back Out Journal Entry 739617</t>
  </si>
  <si>
    <t>GLTRX00054920</t>
  </si>
  <si>
    <t>GLTRX00054918</t>
  </si>
  <si>
    <t>To rec mthly accr to IESO inv</t>
  </si>
  <si>
    <t>GLREV00054918</t>
  </si>
  <si>
    <t>GLTRX00054990</t>
  </si>
  <si>
    <t>To rec May IESO actual invoic</t>
  </si>
  <si>
    <t>GLTRX00055227</t>
  </si>
  <si>
    <t>GLTRX00055237</t>
  </si>
  <si>
    <t>To corr Mar GA transfer</t>
  </si>
  <si>
    <t>To rec Apr GA Transfer</t>
  </si>
  <si>
    <t>To rec May GA transfer</t>
  </si>
  <si>
    <t>GLREV00055227</t>
  </si>
  <si>
    <t>GLTRX00055287</t>
  </si>
  <si>
    <t>To rec actual June IESO invoi</t>
  </si>
  <si>
    <t>GLTRX00055520</t>
  </si>
  <si>
    <t>To rec mthly accrual IESO inv</t>
  </si>
  <si>
    <t>GLTRX00055525</t>
  </si>
  <si>
    <t>To rec June GA transfer</t>
  </si>
  <si>
    <t>GLREV00055520</t>
  </si>
  <si>
    <t>GLTRX00055568</t>
  </si>
  <si>
    <t>GLTRX00055828</t>
  </si>
  <si>
    <t>GLTRX00055917</t>
  </si>
  <si>
    <t>To rec July GA transfer</t>
  </si>
  <si>
    <t>GLREV00055828</t>
  </si>
  <si>
    <t>GLTRX00055903</t>
  </si>
  <si>
    <t>GLTRX00056151</t>
  </si>
  <si>
    <t>To rec Aug GA transfer</t>
  </si>
  <si>
    <t>GLTRX00056155</t>
  </si>
  <si>
    <t>GLREV00056155</t>
  </si>
  <si>
    <t>GLTRX00056221</t>
  </si>
  <si>
    <t>GLTRX00056516</t>
  </si>
  <si>
    <t>To rec Sept GA transfer</t>
  </si>
  <si>
    <t>GLTRX00056524</t>
  </si>
  <si>
    <t>GLREV00056524</t>
  </si>
  <si>
    <t>GLTRX00056594</t>
  </si>
  <si>
    <t>To rec act IESO invoice</t>
  </si>
  <si>
    <t>GLTRX00056825</t>
  </si>
  <si>
    <t>To rec mthly accr IESO invoic</t>
  </si>
  <si>
    <t>GLTRX00056836</t>
  </si>
  <si>
    <t>To rec Oct GA transfer</t>
  </si>
  <si>
    <t>GLREV00056825</t>
  </si>
  <si>
    <t>GLTRX00056970</t>
  </si>
  <si>
    <t>GLTRX00057190</t>
  </si>
  <si>
    <t>To rec Nov GA transfer</t>
  </si>
  <si>
    <t>GLTRX00057263</t>
  </si>
  <si>
    <t>GLTRX00057450</t>
  </si>
  <si>
    <t>To rec Dec GA transfer</t>
  </si>
  <si>
    <t>----------------------</t>
  </si>
  <si>
    <t>---------------------</t>
  </si>
  <si>
    <t>Totals:</t>
  </si>
  <si>
    <t>Total Transactions:</t>
  </si>
  <si>
    <t>======================</t>
  </si>
  <si>
    <t>=====================</t>
  </si>
  <si>
    <t>RSVA Global Adjustment</t>
  </si>
  <si>
    <t>GLTRX00055945</t>
  </si>
  <si>
    <t>To rec err rec true-up GA exp</t>
  </si>
  <si>
    <t>To rec err in calc GA true-up</t>
  </si>
  <si>
    <t>To rec incor man adj ent 2017</t>
  </si>
  <si>
    <t>To rec adj recalc var for 201</t>
  </si>
  <si>
    <t>To trf CBR B chrg rec wrng ac</t>
  </si>
  <si>
    <t>GLTRX00053722</t>
  </si>
  <si>
    <t>To trf for Non-RPP GA</t>
  </si>
  <si>
    <t>GLTRX00057447</t>
  </si>
  <si>
    <t>To rec YTD RSVA</t>
  </si>
  <si>
    <t>GLTRX00057451</t>
  </si>
  <si>
    <t>GLTRX00053937</t>
  </si>
  <si>
    <t>GLREV00053937</t>
  </si>
  <si>
    <t>GLTRX00054039</t>
  </si>
  <si>
    <t>GLREV00054039</t>
  </si>
  <si>
    <t>GLTRX00054248</t>
  </si>
  <si>
    <t>GLREV00054248</t>
  </si>
  <si>
    <t>GLTRX00054585</t>
  </si>
  <si>
    <t>GLREV00054585</t>
  </si>
  <si>
    <t>GLTRX00054923</t>
  </si>
  <si>
    <t>GLREV00054923</t>
  </si>
  <si>
    <t>GLTRX00055268</t>
  </si>
  <si>
    <t>GLREV00055268</t>
  </si>
  <si>
    <t>GLTRX00055528</t>
  </si>
  <si>
    <t>GLREV00055528</t>
  </si>
  <si>
    <t>GLTRX00055929</t>
  </si>
  <si>
    <t>GLTRX00055932</t>
  </si>
  <si>
    <t>To rec YTD RSVA balance</t>
  </si>
  <si>
    <t>GLREV00055929</t>
  </si>
  <si>
    <t>GLREV00055932</t>
  </si>
  <si>
    <t>GLTRX00056206</t>
  </si>
  <si>
    <t>GLREV00056206</t>
  </si>
  <si>
    <t>GLTRX00056533</t>
  </si>
  <si>
    <t>GLREV00056533</t>
  </si>
  <si>
    <t>GLTRX00056849</t>
  </si>
  <si>
    <t>GLREV00056849</t>
  </si>
  <si>
    <t>GLTRX00054036</t>
  </si>
  <si>
    <t>GLTRX00054038</t>
  </si>
  <si>
    <t>Back Out Journal Entry 730966</t>
  </si>
  <si>
    <t>GLREV00054036</t>
  </si>
  <si>
    <t>GLREV00054038</t>
  </si>
  <si>
    <t>GLTRX00056529</t>
  </si>
  <si>
    <t>To rec YTD for RSVA</t>
  </si>
  <si>
    <t>GLTRX00056532</t>
  </si>
  <si>
    <t>Back Out Journal Entry 771545</t>
  </si>
  <si>
    <t>GLTRX00056840</t>
  </si>
  <si>
    <t>GLTRX00056848</t>
  </si>
  <si>
    <t>Back Out Journal Entry 776617</t>
  </si>
  <si>
    <t>GLREV00056840</t>
  </si>
  <si>
    <t>GLREV00056848</t>
  </si>
  <si>
    <t>GLREV00056529</t>
  </si>
  <si>
    <t>GLREV00056532</t>
  </si>
  <si>
    <t>COS Disposition</t>
  </si>
  <si>
    <t>REVENUE GL TOTAL</t>
  </si>
  <si>
    <t>EXPENSE GL TOTAL</t>
  </si>
  <si>
    <t>UNBILLED GL TOTAL</t>
  </si>
  <si>
    <t>1588 GL TOTAL</t>
  </si>
  <si>
    <t>Transfer 1588/1589</t>
  </si>
  <si>
    <t>TOTAL</t>
  </si>
  <si>
    <t>DIFFERENCE</t>
  </si>
  <si>
    <t>UNBILLED</t>
  </si>
  <si>
    <t>TRANSACTIONS</t>
  </si>
  <si>
    <t>Dec 2019 Reversed</t>
  </si>
  <si>
    <t>Revenue</t>
  </si>
  <si>
    <t>Dec 2020 Recorded</t>
  </si>
  <si>
    <t>Expense</t>
  </si>
  <si>
    <t>Dec 2019 Unbilled</t>
  </si>
  <si>
    <t>CT 1142 true-up</t>
  </si>
  <si>
    <t>Dec 2019 Billed - Jan 2020</t>
  </si>
  <si>
    <t>CT 148 true-up</t>
  </si>
  <si>
    <t>Transactions amount</t>
  </si>
  <si>
    <t>Dec 2020 Unbilled</t>
  </si>
  <si>
    <t>Dec 2020 Billed - Jan 2021</t>
  </si>
  <si>
    <t>Net Change</t>
  </si>
  <si>
    <t>Prior Year Reversals</t>
  </si>
  <si>
    <t>Last years adjustment</t>
  </si>
  <si>
    <t>OEB Audit Adjustments</t>
  </si>
  <si>
    <t>Ending Balance</t>
  </si>
  <si>
    <t>Balances that do not belong at year end</t>
  </si>
  <si>
    <t>Unbilled 2019</t>
  </si>
  <si>
    <t>Unbilled 2020</t>
  </si>
  <si>
    <t>CT 1142/142 true-up</t>
  </si>
  <si>
    <t>RSVA Power</t>
  </si>
  <si>
    <t>GLTRX00055529</t>
  </si>
  <si>
    <t>To corr YTD RSVA entry</t>
  </si>
  <si>
    <t>GLREV00055529</t>
  </si>
  <si>
    <t>GLTRX00056207</t>
  </si>
  <si>
    <t>To corr round dif</t>
  </si>
  <si>
    <t>Updated Amounts</t>
  </si>
  <si>
    <t>Actual Non-RPP GA per GL</t>
  </si>
  <si>
    <t>RPP vs. Non-RPP True-Up</t>
  </si>
  <si>
    <t>Total Enery and GA</t>
  </si>
  <si>
    <t>Total Global Adjustment</t>
  </si>
  <si>
    <t>GA allocation correction</t>
  </si>
  <si>
    <t>Energy Sales Resale (Retail)-GA</t>
  </si>
  <si>
    <t>1.10.4055.???.800</t>
  </si>
  <si>
    <t>General Energy Sales &lt;50kW-GA</t>
  </si>
  <si>
    <t>1.10.4035.110.800</t>
  </si>
  <si>
    <t>General Energy Sales &gt;50kW-GA</t>
  </si>
  <si>
    <t>1.10.4035.115.800</t>
  </si>
  <si>
    <t>Street Lighting Energy Sales-GA</t>
  </si>
  <si>
    <t>1.10.4025.120.800</t>
  </si>
  <si>
    <t>Residential Energy Sales-GA</t>
  </si>
  <si>
    <t>1.10.4006.100.800</t>
  </si>
  <si>
    <t>Total Power</t>
  </si>
  <si>
    <t>Energy Sales (Retail)-GA Class A</t>
  </si>
  <si>
    <t>1.10.4055.027.801</t>
  </si>
  <si>
    <t>Energy Sales for Resale (Retailers)</t>
  </si>
  <si>
    <t>1.10.4055.150.001</t>
  </si>
  <si>
    <t>General Unmetered Scattered Load</t>
  </si>
  <si>
    <t>1.10.4035.111.000</t>
  </si>
  <si>
    <t>General Energy Sales &lt;50kW</t>
  </si>
  <si>
    <t>1.10.4035.110.000</t>
  </si>
  <si>
    <t>General Energy Sales &gt;50kW</t>
  </si>
  <si>
    <t>1.10.4035.115.000</t>
  </si>
  <si>
    <t>Sentinel Lighting Energy Sales</t>
  </si>
  <si>
    <t>1.10.4030.125.000</t>
  </si>
  <si>
    <t>Street Lighting Energy Sales</t>
  </si>
  <si>
    <t>1.10.4025.120.000</t>
  </si>
  <si>
    <t>Residential Energy Sales - TOU</t>
  </si>
  <si>
    <t>1.10.4006.105.000</t>
  </si>
  <si>
    <t>Revenue for Decemebr consumption recorded in Janaury</t>
  </si>
  <si>
    <t>Residential Energy Sales</t>
  </si>
  <si>
    <t>1.10.4006.100.000</t>
  </si>
  <si>
    <t>Dec Unbilled Accrual (Estimated)</t>
  </si>
  <si>
    <t>Jan Billed for Dec (Actual)</t>
  </si>
  <si>
    <r>
      <t xml:space="preserve">Net Reconciliation ( </t>
    </r>
    <r>
      <rPr>
        <b/>
        <sz val="11"/>
        <color indexed="10"/>
        <rFont val="Calibri"/>
        <family val="2"/>
        <scheme val="minor"/>
      </rPr>
      <t>if positive, we owe IESO</t>
    </r>
    <r>
      <rPr>
        <sz val="11"/>
        <color theme="1"/>
        <rFont val="Calibri"/>
        <family val="2"/>
        <scheme val="minor"/>
      </rPr>
      <t>)</t>
    </r>
  </si>
  <si>
    <r>
      <t xml:space="preserve">Previously Claimed (collected via 1598 - </t>
    </r>
    <r>
      <rPr>
        <b/>
        <sz val="11"/>
        <color indexed="10"/>
        <rFont val="Calibri"/>
        <family val="2"/>
        <scheme val="minor"/>
      </rPr>
      <t>if positive we collected</t>
    </r>
    <r>
      <rPr>
        <sz val="11"/>
        <color theme="1"/>
        <rFont val="Calibri"/>
        <family val="2"/>
        <scheme val="minor"/>
      </rPr>
      <t>)</t>
    </r>
  </si>
  <si>
    <r>
      <t>Net Owing (</t>
    </r>
    <r>
      <rPr>
        <b/>
        <sz val="11"/>
        <color indexed="10"/>
        <rFont val="Calibri"/>
        <family val="2"/>
        <scheme val="minor"/>
      </rPr>
      <t>if POSITIVE, we owe IESO</t>
    </r>
    <r>
      <rPr>
        <sz val="11"/>
        <color theme="1"/>
        <rFont val="Calibri"/>
        <family val="2"/>
        <scheme val="minor"/>
      </rPr>
      <t>)</t>
    </r>
  </si>
  <si>
    <r>
      <t>RPV Billed to Customers (</t>
    </r>
    <r>
      <rPr>
        <b/>
        <sz val="11"/>
        <color indexed="10"/>
        <rFont val="Calibri"/>
        <family val="2"/>
        <scheme val="minor"/>
      </rPr>
      <t>if POSITIVE, we owe IESO</t>
    </r>
    <r>
      <rPr>
        <sz val="11"/>
        <color theme="1"/>
        <rFont val="Calibri"/>
        <family val="2"/>
        <scheme val="minor"/>
      </rPr>
      <t>)</t>
    </r>
  </si>
  <si>
    <r>
      <t>Net From Customer Billing (</t>
    </r>
    <r>
      <rPr>
        <b/>
        <sz val="11"/>
        <color indexed="10"/>
        <rFont val="Calibri"/>
        <family val="2"/>
        <scheme val="minor"/>
      </rPr>
      <t>if POSITIVE, we owe IESO</t>
    </r>
    <r>
      <rPr>
        <sz val="11"/>
        <color theme="1"/>
        <rFont val="Calibri"/>
        <family val="2"/>
        <scheme val="minor"/>
      </rPr>
      <t>)</t>
    </r>
  </si>
  <si>
    <t xml:space="preserve">Variance-if POSITIVE we owe IESO </t>
  </si>
  <si>
    <r>
      <rPr>
        <b/>
        <sz val="11"/>
        <color indexed="8"/>
        <rFont val="Calibri"/>
        <family val="2"/>
        <scheme val="minor"/>
      </rPr>
      <t>RETAILER IBRS-RPP</t>
    </r>
    <r>
      <rPr>
        <sz val="11"/>
        <color theme="1"/>
        <rFont val="Calibri"/>
        <family val="2"/>
        <scheme val="minor"/>
      </rPr>
      <t xml:space="preserve"> (Retailer IBR's Billed to Innisfil)</t>
    </r>
  </si>
  <si>
    <r>
      <rPr>
        <b/>
        <sz val="11"/>
        <color indexed="8"/>
        <rFont val="Calibri"/>
        <family val="2"/>
        <scheme val="minor"/>
      </rPr>
      <t>RETAILER RPP CHARGED</t>
    </r>
    <r>
      <rPr>
        <sz val="11"/>
        <color theme="1"/>
        <rFont val="Calibri"/>
        <family val="2"/>
        <scheme val="minor"/>
      </rPr>
      <t xml:space="preserve"> (Invoiced to RPP Retailer Customers)</t>
    </r>
  </si>
  <si>
    <r>
      <t>SSS Variance-</t>
    </r>
    <r>
      <rPr>
        <b/>
        <sz val="11"/>
        <color indexed="10"/>
        <rFont val="Calibri"/>
        <family val="2"/>
        <scheme val="minor"/>
      </rPr>
      <t>if POSITIVE we owe IESO</t>
    </r>
  </si>
  <si>
    <t>Total Wholesale includes sss &amp; ret rpp global adj</t>
  </si>
  <si>
    <r>
      <rPr>
        <b/>
        <i/>
        <sz val="11"/>
        <rFont val="Calibri"/>
        <family val="2"/>
        <scheme val="minor"/>
      </rPr>
      <t>Global Adjustment</t>
    </r>
    <r>
      <rPr>
        <b/>
        <i/>
        <sz val="11"/>
        <color indexed="10"/>
        <rFont val="Calibri"/>
        <family val="2"/>
        <scheme val="minor"/>
      </rPr>
      <t xml:space="preserve"> </t>
    </r>
    <r>
      <rPr>
        <b/>
        <sz val="11"/>
        <color indexed="10"/>
        <rFont val="Calibri"/>
        <family val="2"/>
        <scheme val="minor"/>
      </rPr>
      <t>(if positive, adds to Wholesale Charges)</t>
    </r>
  </si>
  <si>
    <r>
      <rPr>
        <b/>
        <sz val="11"/>
        <color indexed="8"/>
        <rFont val="Calibri"/>
        <family val="2"/>
        <scheme val="minor"/>
      </rPr>
      <t>SSS RPP WAP Calculated</t>
    </r>
    <r>
      <rPr>
        <sz val="11"/>
        <color theme="1"/>
        <rFont val="Calibri"/>
        <family val="2"/>
        <scheme val="minor"/>
      </rPr>
      <t xml:space="preserve"> (Market Pricing Calculated)</t>
    </r>
  </si>
  <si>
    <r>
      <rPr>
        <b/>
        <sz val="11"/>
        <color indexed="8"/>
        <rFont val="Calibri"/>
        <family val="2"/>
        <scheme val="minor"/>
      </rPr>
      <t>SSS RPP CHARGED</t>
    </r>
    <r>
      <rPr>
        <sz val="11"/>
        <color theme="1"/>
        <rFont val="Calibri"/>
        <family val="2"/>
        <scheme val="minor"/>
      </rPr>
      <t xml:space="preserve"> (</t>
    </r>
    <r>
      <rPr>
        <sz val="11"/>
        <rFont val="Calibri"/>
        <family val="2"/>
        <scheme val="minor"/>
      </rPr>
      <t>Invoiced to SSS RPP Customers</t>
    </r>
    <r>
      <rPr>
        <sz val="11"/>
        <color theme="1"/>
        <rFont val="Calibri"/>
        <family val="2"/>
        <scheme val="minor"/>
      </rPr>
      <t>)</t>
    </r>
  </si>
  <si>
    <t>Tiered</t>
  </si>
  <si>
    <t>TOU</t>
  </si>
  <si>
    <t xml:space="preserve">December RPP Settlement </t>
  </si>
  <si>
    <t>2nd True-up</t>
  </si>
  <si>
    <t xml:space="preserve"> Tier 2 </t>
  </si>
  <si>
    <t xml:space="preserve"> Tier 1 </t>
  </si>
  <si>
    <t>on  peak</t>
  </si>
  <si>
    <t>mid peak</t>
  </si>
  <si>
    <t>off peak</t>
  </si>
  <si>
    <t>ESTIMATE</t>
  </si>
  <si>
    <t>ACTUALS</t>
  </si>
  <si>
    <t>1st True-up</t>
  </si>
  <si>
    <t>RPP Settlement</t>
  </si>
  <si>
    <t>N/A</t>
  </si>
  <si>
    <t>Total Principal Adjustment</t>
  </si>
  <si>
    <t>RPP vs. Non-RPP Allocation</t>
  </si>
  <si>
    <t>Unbilled vs Actual Difference</t>
  </si>
  <si>
    <t>RPP Settlement - 2nd True-Up</t>
  </si>
  <si>
    <t>RPP Settlement - 1st True-Up</t>
  </si>
  <si>
    <t>COP Accrual vs. Actual GA - Per IESO bill</t>
  </si>
  <si>
    <t>2020 1588/1589 Principal Adjustment</t>
  </si>
  <si>
    <t>2020 Unaccounted for Loss Calculation</t>
  </si>
  <si>
    <t>Summary</t>
  </si>
  <si>
    <t>REF</t>
  </si>
  <si>
    <t>1588 $ impact from losses</t>
  </si>
  <si>
    <t>IESO kWh</t>
  </si>
  <si>
    <t>1589 $ impact from losses</t>
  </si>
  <si>
    <t>Generation kWh</t>
  </si>
  <si>
    <t>Total Purchased</t>
  </si>
  <si>
    <t>Variance in 1588</t>
  </si>
  <si>
    <t xml:space="preserve">Billed GA </t>
  </si>
  <si>
    <t>Variance in 1589</t>
  </si>
  <si>
    <t>Billed Class A</t>
  </si>
  <si>
    <t>Total Billed</t>
  </si>
  <si>
    <t>FH Phase 1</t>
  </si>
  <si>
    <t>Assume actual differences in GA and billing adjustments</t>
  </si>
  <si>
    <t>Aquarius</t>
  </si>
  <si>
    <t>Total Loss (kWh)</t>
  </si>
  <si>
    <t>Average Loss (kWh)</t>
  </si>
  <si>
    <t>%</t>
  </si>
  <si>
    <t>Cost of Power (1588) Loss $ Impact</t>
  </si>
  <si>
    <t>1588 GL Transactions</t>
  </si>
  <si>
    <t>Notes</t>
  </si>
  <si>
    <t>without unbilled</t>
  </si>
  <si>
    <t>with unbilled</t>
  </si>
  <si>
    <t>WAP</t>
  </si>
  <si>
    <t>GA (RPP consumption kWh)</t>
  </si>
  <si>
    <t>Actual GA rate</t>
  </si>
  <si>
    <t>C</t>
  </si>
  <si>
    <t>WAP adj by GA</t>
  </si>
  <si>
    <t>WAP (calculated)</t>
  </si>
  <si>
    <t>WAP calculated as IESO COP expense divided by wholesale kWh or (C/A)</t>
  </si>
  <si>
    <t>$ from losses</t>
  </si>
  <si>
    <t>Unaccounted for kWh x WAP or (B x D)</t>
  </si>
  <si>
    <t>Global Adjustment (1589) Loss $ Impact</t>
  </si>
  <si>
    <t>1589 GL Transactions</t>
  </si>
  <si>
    <t>1589 GL TOTAL</t>
  </si>
  <si>
    <t>Transfer 1589/1589</t>
  </si>
  <si>
    <t>E + F - G = H</t>
  </si>
  <si>
    <t>H * (I/J) = K</t>
  </si>
  <si>
    <t>L/K = M</t>
  </si>
  <si>
    <t>Non-RPP % of Total Class B</t>
  </si>
  <si>
    <t>K</t>
  </si>
  <si>
    <t>Wholesale Non-RPP Class B</t>
  </si>
  <si>
    <t>Billed Non-RPP Class B</t>
  </si>
  <si>
    <t>N</t>
  </si>
  <si>
    <t>O</t>
  </si>
  <si>
    <t>Actual GA rate from IESO website</t>
  </si>
  <si>
    <t>Unaccounted for Non-RPP Class B GA x GA actual rate or (N x O)</t>
  </si>
  <si>
    <t>Impact of COVID rates</t>
  </si>
  <si>
    <t>Adjusted Rate (1st estimate)</t>
  </si>
  <si>
    <t>Billed (revenue)</t>
  </si>
  <si>
    <t>GA Actual</t>
  </si>
  <si>
    <t>Cost (Adjusted GA)</t>
  </si>
  <si>
    <t>Unadjusted GA Rate</t>
  </si>
  <si>
    <t>Cost (Unadjusted GA)</t>
  </si>
  <si>
    <t>2022 December</t>
  </si>
  <si>
    <t>Auto+Hide+Values</t>
  </si>
  <si>
    <t>Dec 2020 Billed - Jan 2020</t>
  </si>
  <si>
    <t>Dec 2021 Unbilled</t>
  </si>
  <si>
    <t>Dec 2021 Billed - Jan 2022</t>
  </si>
  <si>
    <t>Dec 2021 Reversed</t>
  </si>
  <si>
    <t>Dec 2022 Recorded</t>
  </si>
  <si>
    <t>OEB Disposition</t>
  </si>
  <si>
    <t>Auto+Hide</t>
  </si>
  <si>
    <t>1589 GL Summary</t>
  </si>
  <si>
    <t>ultra low peak</t>
  </si>
  <si>
    <t>ULO</t>
  </si>
  <si>
    <t>TIERED</t>
  </si>
  <si>
    <t>2024 1588/1589 Principal Adjustment</t>
  </si>
  <si>
    <t>2024 December</t>
  </si>
  <si>
    <t>Embedded Distributor</t>
  </si>
  <si>
    <t>1.10.4035.116.000</t>
  </si>
  <si>
    <t>1.10.4035.116.800</t>
  </si>
  <si>
    <t>Post Final Adjustment</t>
  </si>
  <si>
    <t>Expected GA Volume Variance Recorded ($)</t>
  </si>
  <si>
    <t>Loss Factor True-up</t>
  </si>
  <si>
    <t>Expected GA Volume Variance Actual($)</t>
  </si>
  <si>
    <t>True-up Amount</t>
  </si>
  <si>
    <t>Unbilled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</si>
</sst>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* #,##0.00_);_(* \(#,##0.00\);_(* &quot;-&quot;??_);_(@_)"/>
    <numFmt numFmtId="166" formatCode="_-* #,##0_-;\-* #,##0_-;_-* &quot;-&quot;??_-;_-@_-"/>
    <numFmt numFmtId="167" formatCode="_-* #,##0.000_-;\-* #,##0.000_-;_-* &quot;-&quot;??_-;_-@_-"/>
    <numFmt numFmtId="168" formatCode="_-* #,##0.0000_-;\-* #,##0.0000_-;_-* &quot;-&quot;??_-;_-@_-"/>
    <numFmt numFmtId="169" formatCode="_-* #,##0.000000_-;\-* #,##0.000000_-;_-* &quot;-&quot;??_-;_-@_-"/>
    <numFmt numFmtId="170" formatCode="0.0000"/>
    <numFmt numFmtId="171" formatCode="_ #,##0;[Red]\(#,##0\)"/>
    <numFmt numFmtId="172" formatCode="_-* #,##0_-;_-* \(#,##0\)_-;_-* &quot;-&quot;??_-;_-@_-"/>
    <numFmt numFmtId="173" formatCode="0.00000"/>
    <numFmt numFmtId="174" formatCode="_-&quot;$&quot;* #,##0_-;_-&quot;$&quot;* \(#,##0\)_-;_-&quot;$&quot;* &quot;-&quot;??_-;_-@_-"/>
    <numFmt numFmtId="175" formatCode="&quot;$&quot;#,##0.00;[Red]&quot;$&quot;#,##0.00"/>
    <numFmt numFmtId="176" formatCode="&quot;$&quot;#,##0.00"/>
    <numFmt numFmtId="177" formatCode="0.0%"/>
    <numFmt numFmtId="178" formatCode="_-&quot;$&quot;* #,##0.0000_-;\-&quot;$&quot;* #,##0.00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vertAlign val="superscript"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i/>
      <sz val="11"/>
      <color indexed="10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66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64"/>
      </right>
      <top/>
      <bottom style="medium">
        <color indexed="12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3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medium">
        <color auto="1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/>
      <top style="medium">
        <color indexed="9"/>
      </top>
      <bottom style="medium">
        <color indexed="64"/>
      </bottom>
      <diagonal/>
    </border>
    <border>
      <left style="medium">
        <color auto="1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5" borderId="0" applyNumberFormat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452">
    <xf numFmtId="0" fontId="0" fillId="0" borderId="0" xfId="0"/>
    <xf numFmtId="0" fontId="0" fillId="0" borderId="2" xfId="0" applyBorder="1"/>
    <xf numFmtId="166" fontId="0" fillId="0" borderId="2" xfId="1" applyNumberFormat="1" applyFont="1" applyBorder="1"/>
    <xf numFmtId="166" fontId="0" fillId="0" borderId="2" xfId="1" applyNumberFormat="1" applyFont="1" applyFill="1" applyBorder="1"/>
    <xf numFmtId="166" fontId="0" fillId="2" borderId="2" xfId="1" applyNumberFormat="1" applyFont="1" applyFill="1" applyBorder="1"/>
    <xf numFmtId="0" fontId="0" fillId="0" borderId="3" xfId="0" applyBorder="1"/>
    <xf numFmtId="166" fontId="0" fillId="0" borderId="3" xfId="1" applyNumberFormat="1" applyFont="1" applyBorder="1"/>
    <xf numFmtId="166" fontId="0" fillId="0" borderId="3" xfId="1" applyNumberFormat="1" applyFont="1" applyFill="1" applyBorder="1"/>
    <xf numFmtId="166" fontId="0" fillId="2" borderId="3" xfId="1" applyNumberFormat="1" applyFont="1" applyFill="1" applyBorder="1"/>
    <xf numFmtId="0" fontId="0" fillId="0" borderId="4" xfId="0" applyBorder="1"/>
    <xf numFmtId="166" fontId="0" fillId="0" borderId="4" xfId="1" applyNumberFormat="1" applyFont="1" applyBorder="1"/>
    <xf numFmtId="166" fontId="0" fillId="0" borderId="4" xfId="1" applyNumberFormat="1" applyFont="1" applyFill="1" applyBorder="1"/>
    <xf numFmtId="0" fontId="2" fillId="3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0" fillId="2" borderId="4" xfId="1" applyNumberFormat="1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6" fontId="2" fillId="0" borderId="1" xfId="1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8" xfId="1" applyNumberFormat="1" applyFont="1" applyBorder="1"/>
    <xf numFmtId="166" fontId="0" fillId="0" borderId="9" xfId="1" applyNumberFormat="1" applyFont="1" applyBorder="1"/>
    <xf numFmtId="166" fontId="0" fillId="0" borderId="10" xfId="1" applyNumberFormat="1" applyFont="1" applyBorder="1"/>
    <xf numFmtId="166" fontId="2" fillId="0" borderId="1" xfId="1" applyNumberFormat="1" applyFont="1" applyBorder="1" applyAlignment="1">
      <alignment horizontal="center" wrapText="1"/>
    </xf>
    <xf numFmtId="166" fontId="0" fillId="0" borderId="1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166" fontId="1" fillId="0" borderId="8" xfId="1" applyNumberFormat="1" applyFont="1" applyBorder="1" applyAlignment="1">
      <alignment horizontal="center"/>
    </xf>
    <xf numFmtId="166" fontId="1" fillId="0" borderId="8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6" fontId="0" fillId="0" borderId="2" xfId="1" applyNumberFormat="1" applyFont="1" applyBorder="1" applyAlignment="1">
      <alignment horizontal="center"/>
    </xf>
    <xf numFmtId="166" fontId="0" fillId="0" borderId="3" xfId="1" applyNumberFormat="1" applyFont="1" applyBorder="1" applyAlignment="1">
      <alignment horizontal="center"/>
    </xf>
    <xf numFmtId="166" fontId="0" fillId="0" borderId="4" xfId="1" applyNumberFormat="1" applyFont="1" applyBorder="1" applyAlignment="1">
      <alignment horizontal="center"/>
    </xf>
    <xf numFmtId="166" fontId="2" fillId="0" borderId="11" xfId="0" applyNumberFormat="1" applyFont="1" applyBorder="1" applyAlignment="1">
      <alignment horizontal="center"/>
    </xf>
    <xf numFmtId="0" fontId="0" fillId="4" borderId="3" xfId="0" applyFill="1" applyBorder="1"/>
    <xf numFmtId="166" fontId="0" fillId="4" borderId="3" xfId="1" applyNumberFormat="1" applyFont="1" applyFill="1" applyBorder="1"/>
    <xf numFmtId="166" fontId="0" fillId="4" borderId="9" xfId="1" applyNumberFormat="1" applyFont="1" applyFill="1" applyBorder="1"/>
    <xf numFmtId="166" fontId="0" fillId="4" borderId="3" xfId="1" applyNumberFormat="1" applyFont="1" applyFill="1" applyBorder="1" applyAlignment="1">
      <alignment horizontal="center"/>
    </xf>
    <xf numFmtId="0" fontId="0" fillId="4" borderId="0" xfId="0" applyFill="1"/>
    <xf numFmtId="167" fontId="0" fillId="0" borderId="0" xfId="1" applyNumberFormat="1" applyFont="1"/>
    <xf numFmtId="10" fontId="0" fillId="0" borderId="0" xfId="2" applyNumberFormat="1" applyFont="1"/>
    <xf numFmtId="43" fontId="0" fillId="0" borderId="0" xfId="1" applyFont="1"/>
    <xf numFmtId="43" fontId="0" fillId="4" borderId="0" xfId="1" applyFont="1" applyFill="1"/>
    <xf numFmtId="168" fontId="0" fillId="4" borderId="0" xfId="1" applyNumberFormat="1" applyFont="1" applyFill="1"/>
    <xf numFmtId="168" fontId="0" fillId="0" borderId="2" xfId="1" applyNumberFormat="1" applyFont="1" applyBorder="1" applyAlignment="1">
      <alignment horizontal="center"/>
    </xf>
    <xf numFmtId="168" fontId="0" fillId="0" borderId="3" xfId="1" applyNumberFormat="1" applyFont="1" applyBorder="1" applyAlignment="1">
      <alignment horizontal="center"/>
    </xf>
    <xf numFmtId="168" fontId="0" fillId="4" borderId="3" xfId="1" applyNumberFormat="1" applyFont="1" applyFill="1" applyBorder="1" applyAlignment="1">
      <alignment horizontal="center"/>
    </xf>
    <xf numFmtId="168" fontId="0" fillId="0" borderId="4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2" xfId="0" applyFont="1" applyBorder="1" applyAlignment="1">
      <alignment horizontal="center"/>
    </xf>
    <xf numFmtId="0" fontId="0" fillId="4" borderId="2" xfId="0" applyFill="1" applyBorder="1"/>
    <xf numFmtId="0" fontId="0" fillId="4" borderId="4" xfId="0" applyFill="1" applyBorder="1"/>
    <xf numFmtId="43" fontId="0" fillId="4" borderId="2" xfId="1" applyFont="1" applyFill="1" applyBorder="1"/>
    <xf numFmtId="43" fontId="0" fillId="4" borderId="8" xfId="1" applyFont="1" applyFill="1" applyBorder="1"/>
    <xf numFmtId="43" fontId="0" fillId="4" borderId="3" xfId="1" applyFont="1" applyFill="1" applyBorder="1"/>
    <xf numFmtId="43" fontId="0" fillId="4" borderId="9" xfId="1" applyFont="1" applyFill="1" applyBorder="1"/>
    <xf numFmtId="43" fontId="0" fillId="4" borderId="4" xfId="1" applyFont="1" applyFill="1" applyBorder="1"/>
    <xf numFmtId="43" fontId="0" fillId="4" borderId="10" xfId="1" applyFont="1" applyFill="1" applyBorder="1"/>
    <xf numFmtId="43" fontId="0" fillId="4" borderId="0" xfId="0" applyNumberFormat="1" applyFill="1"/>
    <xf numFmtId="0" fontId="2" fillId="0" borderId="12" xfId="0" applyFont="1" applyBorder="1" applyAlignment="1">
      <alignment horizontal="center" wrapText="1"/>
    </xf>
    <xf numFmtId="43" fontId="0" fillId="4" borderId="2" xfId="0" applyNumberFormat="1" applyFill="1" applyBorder="1"/>
    <xf numFmtId="43" fontId="0" fillId="4" borderId="3" xfId="0" applyNumberFormat="1" applyFill="1" applyBorder="1"/>
    <xf numFmtId="43" fontId="0" fillId="4" borderId="4" xfId="0" applyNumberFormat="1" applyFill="1" applyBorder="1"/>
    <xf numFmtId="43" fontId="0" fillId="0" borderId="0" xfId="0" applyNumberFormat="1"/>
    <xf numFmtId="43" fontId="2" fillId="0" borderId="0" xfId="0" applyNumberFormat="1" applyFont="1"/>
    <xf numFmtId="43" fontId="2" fillId="0" borderId="11" xfId="0" applyNumberFormat="1" applyFont="1" applyBorder="1"/>
    <xf numFmtId="0" fontId="2" fillId="0" borderId="0" xfId="0" applyFont="1" applyAlignment="1">
      <alignment horizontal="center" wrapText="1"/>
    </xf>
    <xf numFmtId="166" fontId="0" fillId="4" borderId="0" xfId="1" applyNumberFormat="1" applyFont="1" applyFill="1"/>
    <xf numFmtId="43" fontId="2" fillId="0" borderId="16" xfId="0" applyNumberFormat="1" applyFont="1" applyBorder="1"/>
    <xf numFmtId="166" fontId="2" fillId="0" borderId="11" xfId="0" applyNumberFormat="1" applyFont="1" applyBorder="1"/>
    <xf numFmtId="0" fontId="0" fillId="6" borderId="0" xfId="0" applyFill="1"/>
    <xf numFmtId="0" fontId="0" fillId="7" borderId="0" xfId="0" applyFill="1"/>
    <xf numFmtId="43" fontId="0" fillId="0" borderId="2" xfId="1" applyFont="1" applyFill="1" applyBorder="1"/>
    <xf numFmtId="43" fontId="0" fillId="0" borderId="8" xfId="1" applyFont="1" applyFill="1" applyBorder="1"/>
    <xf numFmtId="43" fontId="0" fillId="0" borderId="2" xfId="0" applyNumberFormat="1" applyBorder="1"/>
    <xf numFmtId="168" fontId="0" fillId="0" borderId="16" xfId="1" applyNumberFormat="1" applyFont="1" applyFill="1" applyBorder="1"/>
    <xf numFmtId="166" fontId="0" fillId="0" borderId="2" xfId="1" applyNumberFormat="1" applyFont="1" applyFill="1" applyBorder="1" applyAlignment="1">
      <alignment horizontal="center"/>
    </xf>
    <xf numFmtId="43" fontId="0" fillId="0" borderId="3" xfId="1" applyFont="1" applyFill="1" applyBorder="1"/>
    <xf numFmtId="43" fontId="0" fillId="0" borderId="9" xfId="1" applyFont="1" applyFill="1" applyBorder="1"/>
    <xf numFmtId="43" fontId="0" fillId="0" borderId="3" xfId="0" applyNumberFormat="1" applyBorder="1"/>
    <xf numFmtId="168" fontId="0" fillId="0" borderId="0" xfId="1" applyNumberFormat="1" applyFont="1" applyFill="1" applyBorder="1"/>
    <xf numFmtId="166" fontId="0" fillId="0" borderId="3" xfId="1" applyNumberFormat="1" applyFont="1" applyFill="1" applyBorder="1" applyAlignment="1">
      <alignment horizontal="center"/>
    </xf>
    <xf numFmtId="43" fontId="0" fillId="0" borderId="4" xfId="1" applyFont="1" applyFill="1" applyBorder="1"/>
    <xf numFmtId="43" fontId="0" fillId="0" borderId="10" xfId="1" applyFont="1" applyFill="1" applyBorder="1"/>
    <xf numFmtId="43" fontId="0" fillId="0" borderId="4" xfId="0" applyNumberFormat="1" applyBorder="1"/>
    <xf numFmtId="168" fontId="0" fillId="0" borderId="12" xfId="1" applyNumberFormat="1" applyFont="1" applyFill="1" applyBorder="1"/>
    <xf numFmtId="166" fontId="0" fillId="0" borderId="4" xfId="1" applyNumberFormat="1" applyFont="1" applyFill="1" applyBorder="1" applyAlignment="1">
      <alignment horizontal="center"/>
    </xf>
    <xf numFmtId="43" fontId="2" fillId="7" borderId="11" xfId="0" applyNumberFormat="1" applyFont="1" applyFill="1" applyBorder="1"/>
    <xf numFmtId="43" fontId="2" fillId="4" borderId="11" xfId="0" applyNumberFormat="1" applyFont="1" applyFill="1" applyBorder="1"/>
    <xf numFmtId="170" fontId="0" fillId="0" borderId="2" xfId="0" applyNumberFormat="1" applyBorder="1"/>
    <xf numFmtId="170" fontId="0" fillId="0" borderId="3" xfId="0" applyNumberFormat="1" applyBorder="1"/>
    <xf numFmtId="170" fontId="0" fillId="0" borderId="4" xfId="0" applyNumberFormat="1" applyBorder="1"/>
    <xf numFmtId="0" fontId="2" fillId="3" borderId="1" xfId="0" applyFont="1" applyFill="1" applyBorder="1" applyAlignment="1">
      <alignment horizontal="center"/>
    </xf>
    <xf numFmtId="166" fontId="0" fillId="3" borderId="1" xfId="1" applyNumberFormat="1" applyFont="1" applyFill="1" applyBorder="1" applyAlignment="1"/>
    <xf numFmtId="166" fontId="0" fillId="3" borderId="6" xfId="1" applyNumberFormat="1" applyFont="1" applyFill="1" applyBorder="1" applyAlignment="1"/>
    <xf numFmtId="0" fontId="0" fillId="3" borderId="1" xfId="0" applyFill="1" applyBorder="1" applyAlignment="1">
      <alignment horizontal="center"/>
    </xf>
    <xf numFmtId="166" fontId="2" fillId="7" borderId="11" xfId="0" applyNumberFormat="1" applyFont="1" applyFill="1" applyBorder="1" applyAlignment="1">
      <alignment horizontal="center"/>
    </xf>
    <xf numFmtId="169" fontId="0" fillId="7" borderId="0" xfId="1" applyNumberFormat="1" applyFont="1" applyFill="1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66" fontId="0" fillId="0" borderId="0" xfId="1" applyNumberFormat="1" applyFont="1" applyAlignment="1">
      <alignment wrapText="1"/>
    </xf>
    <xf numFmtId="14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14" fontId="2" fillId="0" borderId="0" xfId="0" applyNumberFormat="1" applyFont="1" applyAlignment="1">
      <alignment horizontal="center" wrapText="1"/>
    </xf>
    <xf numFmtId="43" fontId="2" fillId="0" borderId="0" xfId="1" applyFont="1" applyAlignment="1">
      <alignment horizontal="center" wrapText="1"/>
    </xf>
    <xf numFmtId="171" fontId="0" fillId="0" borderId="0" xfId="0" applyNumberFormat="1"/>
    <xf numFmtId="0" fontId="8" fillId="0" borderId="0" xfId="0" applyFont="1"/>
    <xf numFmtId="0" fontId="6" fillId="0" borderId="0" xfId="0" applyFont="1" applyAlignment="1">
      <alignment wrapText="1"/>
    </xf>
    <xf numFmtId="0" fontId="9" fillId="0" borderId="24" xfId="0" applyFont="1" applyBorder="1" applyAlignment="1">
      <alignment horizontal="left"/>
    </xf>
    <xf numFmtId="0" fontId="9" fillId="0" borderId="25" xfId="0" applyFont="1" applyBorder="1" applyAlignment="1">
      <alignment horizontal="center"/>
    </xf>
    <xf numFmtId="171" fontId="9" fillId="11" borderId="32" xfId="0" applyNumberFormat="1" applyFont="1" applyFill="1" applyBorder="1"/>
    <xf numFmtId="171" fontId="9" fillId="11" borderId="33" xfId="0" applyNumberFormat="1" applyFont="1" applyFill="1" applyBorder="1"/>
    <xf numFmtId="171" fontId="9" fillId="0" borderId="0" xfId="0" applyNumberFormat="1" applyFont="1"/>
    <xf numFmtId="171" fontId="9" fillId="12" borderId="33" xfId="0" applyNumberFormat="1" applyFont="1" applyFill="1" applyBorder="1" applyProtection="1">
      <protection locked="0"/>
    </xf>
    <xf numFmtId="171" fontId="9" fillId="13" borderId="34" xfId="0" applyNumberFormat="1" applyFont="1" applyFill="1" applyBorder="1"/>
    <xf numFmtId="171" fontId="9" fillId="4" borderId="33" xfId="0" applyNumberFormat="1" applyFont="1" applyFill="1" applyBorder="1" applyProtection="1">
      <protection locked="0"/>
    </xf>
    <xf numFmtId="171" fontId="9" fillId="0" borderId="25" xfId="0" applyNumberFormat="1" applyFont="1" applyBorder="1"/>
    <xf numFmtId="171" fontId="9" fillId="13" borderId="33" xfId="0" applyNumberFormat="1" applyFont="1" applyFill="1" applyBorder="1"/>
    <xf numFmtId="171" fontId="9" fillId="4" borderId="35" xfId="5" applyNumberFormat="1" applyFont="1" applyFill="1" applyBorder="1" applyProtection="1">
      <protection locked="0"/>
    </xf>
    <xf numFmtId="171" fontId="9" fillId="12" borderId="35" xfId="5" applyNumberFormat="1" applyFont="1" applyFill="1" applyBorder="1" applyProtection="1">
      <protection locked="0"/>
    </xf>
    <xf numFmtId="171" fontId="9" fillId="12" borderId="33" xfId="5" applyNumberFormat="1" applyFont="1" applyFill="1" applyBorder="1" applyProtection="1">
      <protection locked="0"/>
    </xf>
    <xf numFmtId="171" fontId="9" fillId="14" borderId="33" xfId="0" applyNumberFormat="1" applyFont="1" applyFill="1" applyBorder="1" applyProtection="1">
      <protection locked="0"/>
    </xf>
    <xf numFmtId="171" fontId="9" fillId="14" borderId="33" xfId="5" applyNumberFormat="1" applyFont="1" applyFill="1" applyBorder="1" applyProtection="1">
      <protection locked="0"/>
    </xf>
    <xf numFmtId="171" fontId="9" fillId="13" borderId="35" xfId="0" applyNumberFormat="1" applyFont="1" applyFill="1" applyBorder="1"/>
    <xf numFmtId="171" fontId="9" fillId="14" borderId="36" xfId="5" applyNumberFormat="1" applyFont="1" applyFill="1" applyBorder="1" applyProtection="1">
      <protection locked="0"/>
    </xf>
    <xf numFmtId="171" fontId="9" fillId="0" borderId="35" xfId="0" applyNumberFormat="1" applyFont="1" applyBorder="1"/>
    <xf numFmtId="0" fontId="4" fillId="15" borderId="37" xfId="0" applyFont="1" applyFill="1" applyBorder="1" applyAlignment="1">
      <alignment horizontal="center" vertical="center"/>
    </xf>
    <xf numFmtId="171" fontId="0" fillId="16" borderId="25" xfId="0" applyNumberFormat="1" applyFill="1" applyBorder="1"/>
    <xf numFmtId="171" fontId="0" fillId="0" borderId="25" xfId="0" applyNumberFormat="1" applyBorder="1"/>
    <xf numFmtId="0" fontId="9" fillId="0" borderId="0" xfId="5" applyFont="1"/>
    <xf numFmtId="0" fontId="9" fillId="0" borderId="20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9" xfId="0" applyFont="1" applyBorder="1"/>
    <xf numFmtId="0" fontId="5" fillId="0" borderId="0" xfId="5" applyFont="1"/>
    <xf numFmtId="0" fontId="5" fillId="0" borderId="0" xfId="5" applyFont="1" applyProtection="1">
      <protection locked="0"/>
    </xf>
    <xf numFmtId="0" fontId="9" fillId="0" borderId="0" xfId="5" applyFont="1" applyProtection="1">
      <protection locked="0"/>
    </xf>
    <xf numFmtId="0" fontId="9" fillId="0" borderId="38" xfId="0" applyFont="1" applyBorder="1" applyAlignment="1">
      <alignment horizontal="left"/>
    </xf>
    <xf numFmtId="0" fontId="9" fillId="0" borderId="39" xfId="0" applyFont="1" applyBorder="1" applyAlignment="1">
      <alignment horizontal="center"/>
    </xf>
    <xf numFmtId="171" fontId="9" fillId="11" borderId="40" xfId="0" applyNumberFormat="1" applyFont="1" applyFill="1" applyBorder="1"/>
    <xf numFmtId="171" fontId="9" fillId="11" borderId="41" xfId="0" applyNumberFormat="1" applyFont="1" applyFill="1" applyBorder="1"/>
    <xf numFmtId="171" fontId="9" fillId="12" borderId="41" xfId="0" applyNumberFormat="1" applyFont="1" applyFill="1" applyBorder="1" applyProtection="1">
      <protection locked="0"/>
    </xf>
    <xf numFmtId="171" fontId="9" fillId="0" borderId="42" xfId="0" applyNumberFormat="1" applyFont="1" applyBorder="1"/>
    <xf numFmtId="171" fontId="9" fillId="13" borderId="43" xfId="0" applyNumberFormat="1" applyFont="1" applyFill="1" applyBorder="1"/>
    <xf numFmtId="171" fontId="9" fillId="4" borderId="41" xfId="0" applyNumberFormat="1" applyFont="1" applyFill="1" applyBorder="1" applyProtection="1">
      <protection locked="0"/>
    </xf>
    <xf numFmtId="171" fontId="9" fillId="0" borderId="39" xfId="0" applyNumberFormat="1" applyFont="1" applyBorder="1"/>
    <xf numFmtId="171" fontId="9" fillId="13" borderId="41" xfId="0" applyNumberFormat="1" applyFont="1" applyFill="1" applyBorder="1"/>
    <xf numFmtId="171" fontId="9" fillId="4" borderId="44" xfId="5" applyNumberFormat="1" applyFont="1" applyFill="1" applyBorder="1" applyProtection="1">
      <protection locked="0"/>
    </xf>
    <xf numFmtId="171" fontId="9" fillId="12" borderId="44" xfId="5" applyNumberFormat="1" applyFont="1" applyFill="1" applyBorder="1" applyProtection="1">
      <protection locked="0"/>
    </xf>
    <xf numFmtId="171" fontId="9" fillId="12" borderId="41" xfId="5" applyNumberFormat="1" applyFont="1" applyFill="1" applyBorder="1" applyProtection="1">
      <protection locked="0"/>
    </xf>
    <xf numFmtId="171" fontId="9" fillId="14" borderId="41" xfId="0" applyNumberFormat="1" applyFont="1" applyFill="1" applyBorder="1" applyProtection="1">
      <protection locked="0"/>
    </xf>
    <xf numFmtId="171" fontId="9" fillId="14" borderId="41" xfId="5" applyNumberFormat="1" applyFont="1" applyFill="1" applyBorder="1" applyProtection="1">
      <protection locked="0"/>
    </xf>
    <xf numFmtId="171" fontId="9" fillId="13" borderId="44" xfId="0" applyNumberFormat="1" applyFont="1" applyFill="1" applyBorder="1"/>
    <xf numFmtId="171" fontId="9" fillId="14" borderId="45" xfId="5" applyNumberFormat="1" applyFont="1" applyFill="1" applyBorder="1" applyProtection="1">
      <protection locked="0"/>
    </xf>
    <xf numFmtId="171" fontId="9" fillId="0" borderId="44" xfId="0" applyNumberFormat="1" applyFont="1" applyBorder="1"/>
    <xf numFmtId="171" fontId="0" fillId="0" borderId="42" xfId="0" applyNumberFormat="1" applyBorder="1"/>
    <xf numFmtId="0" fontId="4" fillId="15" borderId="46" xfId="0" applyFont="1" applyFill="1" applyBorder="1" applyAlignment="1">
      <alignment horizontal="center" vertical="center"/>
    </xf>
    <xf numFmtId="171" fontId="0" fillId="16" borderId="39" xfId="0" applyNumberFormat="1" applyFill="1" applyBorder="1"/>
    <xf numFmtId="171" fontId="0" fillId="0" borderId="39" xfId="0" applyNumberFormat="1" applyBorder="1"/>
    <xf numFmtId="0" fontId="0" fillId="17" borderId="0" xfId="0" applyFill="1"/>
    <xf numFmtId="43" fontId="2" fillId="0" borderId="11" xfId="1" applyFont="1" applyBorder="1"/>
    <xf numFmtId="43" fontId="0" fillId="17" borderId="0" xfId="1" applyFont="1" applyFill="1"/>
    <xf numFmtId="43" fontId="0" fillId="8" borderId="0" xfId="1" applyFont="1" applyFill="1"/>
    <xf numFmtId="43" fontId="0" fillId="18" borderId="0" xfId="1" applyFont="1" applyFill="1"/>
    <xf numFmtId="43" fontId="0" fillId="19" borderId="0" xfId="1" applyFont="1" applyFill="1"/>
    <xf numFmtId="43" fontId="0" fillId="20" borderId="0" xfId="1" applyFont="1" applyFill="1"/>
    <xf numFmtId="43" fontId="0" fillId="0" borderId="0" xfId="1" applyFont="1" applyAlignment="1">
      <alignment horizontal="center" wrapText="1"/>
    </xf>
    <xf numFmtId="43" fontId="2" fillId="9" borderId="0" xfId="1" applyFont="1" applyFill="1" applyAlignment="1">
      <alignment horizontal="center"/>
    </xf>
    <xf numFmtId="43" fontId="2" fillId="21" borderId="0" xfId="1" applyFont="1" applyFill="1" applyAlignment="1">
      <alignment horizontal="center"/>
    </xf>
    <xf numFmtId="43" fontId="2" fillId="20" borderId="0" xfId="1" applyFont="1" applyFill="1" applyAlignment="1">
      <alignment horizontal="center"/>
    </xf>
    <xf numFmtId="0" fontId="0" fillId="20" borderId="0" xfId="0" applyFill="1"/>
    <xf numFmtId="43" fontId="0" fillId="9" borderId="0" xfId="1" applyFont="1" applyFill="1"/>
    <xf numFmtId="43" fontId="0" fillId="0" borderId="0" xfId="1" applyFont="1" applyFill="1"/>
    <xf numFmtId="43" fontId="0" fillId="21" borderId="0" xfId="1" applyFont="1" applyFill="1"/>
    <xf numFmtId="43" fontId="0" fillId="20" borderId="0" xfId="0" applyNumberFormat="1" applyFill="1"/>
    <xf numFmtId="43" fontId="0" fillId="22" borderId="0" xfId="1" applyFont="1" applyFill="1"/>
    <xf numFmtId="43" fontId="0" fillId="23" borderId="0" xfId="1" applyFont="1" applyFill="1"/>
    <xf numFmtId="43" fontId="2" fillId="24" borderId="11" xfId="1" applyFont="1" applyFill="1" applyBorder="1"/>
    <xf numFmtId="43" fontId="2" fillId="25" borderId="11" xfId="1" applyFont="1" applyFill="1" applyBorder="1"/>
    <xf numFmtId="43" fontId="2" fillId="26" borderId="11" xfId="1" applyFont="1" applyFill="1" applyBorder="1"/>
    <xf numFmtId="43" fontId="2" fillId="20" borderId="11" xfId="0" applyNumberFormat="1" applyFont="1" applyFill="1" applyBorder="1"/>
    <xf numFmtId="4" fontId="0" fillId="0" borderId="0" xfId="0" applyNumberFormat="1"/>
    <xf numFmtId="0" fontId="6" fillId="0" borderId="47" xfId="0" applyFont="1" applyBorder="1" applyAlignment="1">
      <alignment horizontal="center" wrapText="1"/>
    </xf>
    <xf numFmtId="0" fontId="6" fillId="0" borderId="48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2" fillId="0" borderId="49" xfId="0" applyFont="1" applyBorder="1" applyAlignment="1">
      <alignment horizontal="center" wrapText="1"/>
    </xf>
    <xf numFmtId="0" fontId="6" fillId="0" borderId="50" xfId="0" applyFont="1" applyBorder="1" applyAlignment="1">
      <alignment horizontal="center" wrapText="1"/>
    </xf>
    <xf numFmtId="0" fontId="6" fillId="0" borderId="51" xfId="0" applyFont="1" applyBorder="1" applyAlignment="1">
      <alignment horizontal="center" wrapText="1"/>
    </xf>
    <xf numFmtId="0" fontId="6" fillId="0" borderId="52" xfId="0" applyFont="1" applyBorder="1" applyAlignment="1">
      <alignment horizontal="center" wrapText="1"/>
    </xf>
    <xf numFmtId="0" fontId="6" fillId="0" borderId="53" xfId="0" applyFont="1" applyBorder="1" applyAlignment="1">
      <alignment horizontal="center" wrapText="1"/>
    </xf>
    <xf numFmtId="0" fontId="6" fillId="0" borderId="53" xfId="0" quotePrefix="1" applyFont="1" applyBorder="1" applyAlignment="1">
      <alignment horizontal="center" wrapText="1"/>
    </xf>
    <xf numFmtId="0" fontId="6" fillId="0" borderId="54" xfId="0" quotePrefix="1" applyFont="1" applyBorder="1" applyAlignment="1">
      <alignment horizontal="center" wrapText="1"/>
    </xf>
    <xf numFmtId="172" fontId="0" fillId="14" borderId="55" xfId="1" applyNumberFormat="1" applyFont="1" applyFill="1" applyBorder="1" applyProtection="1">
      <protection locked="0"/>
    </xf>
    <xf numFmtId="172" fontId="0" fillId="14" borderId="7" xfId="1" applyNumberFormat="1" applyFont="1" applyFill="1" applyBorder="1" applyProtection="1">
      <protection locked="0"/>
    </xf>
    <xf numFmtId="172" fontId="0" fillId="14" borderId="1" xfId="1" applyNumberFormat="1" applyFont="1" applyFill="1" applyBorder="1" applyProtection="1">
      <protection locked="0"/>
    </xf>
    <xf numFmtId="172" fontId="0" fillId="0" borderId="1" xfId="1" applyNumberFormat="1" applyFont="1" applyFill="1" applyBorder="1"/>
    <xf numFmtId="173" fontId="0" fillId="0" borderId="1" xfId="0" applyNumberFormat="1" applyBorder="1"/>
    <xf numFmtId="174" fontId="0" fillId="0" borderId="1" xfId="3" applyNumberFormat="1" applyFont="1" applyFill="1" applyBorder="1"/>
    <xf numFmtId="174" fontId="0" fillId="0" borderId="1" xfId="3" applyNumberFormat="1" applyFont="1" applyBorder="1"/>
    <xf numFmtId="174" fontId="0" fillId="0" borderId="56" xfId="3" applyNumberFormat="1" applyFont="1" applyBorder="1"/>
    <xf numFmtId="172" fontId="0" fillId="14" borderId="57" xfId="1" applyNumberFormat="1" applyFont="1" applyFill="1" applyBorder="1" applyProtection="1">
      <protection locked="0"/>
    </xf>
    <xf numFmtId="172" fontId="0" fillId="14" borderId="58" xfId="1" applyNumberFormat="1" applyFont="1" applyFill="1" applyBorder="1" applyProtection="1">
      <protection locked="0"/>
    </xf>
    <xf numFmtId="172" fontId="0" fillId="0" borderId="59" xfId="1" applyNumberFormat="1" applyFont="1" applyFill="1" applyBorder="1"/>
    <xf numFmtId="173" fontId="0" fillId="0" borderId="59" xfId="0" applyNumberFormat="1" applyBorder="1"/>
    <xf numFmtId="174" fontId="0" fillId="0" borderId="59" xfId="3" applyNumberFormat="1" applyFont="1" applyFill="1" applyBorder="1"/>
    <xf numFmtId="174" fontId="0" fillId="0" borderId="59" xfId="3" applyNumberFormat="1" applyFont="1" applyBorder="1"/>
    <xf numFmtId="174" fontId="0" fillId="0" borderId="60" xfId="3" applyNumberFormat="1" applyFont="1" applyBorder="1"/>
    <xf numFmtId="174" fontId="2" fillId="0" borderId="61" xfId="0" applyNumberFormat="1" applyFont="1" applyBorder="1"/>
    <xf numFmtId="0" fontId="0" fillId="27" borderId="0" xfId="0" applyFill="1"/>
    <xf numFmtId="43" fontId="0" fillId="27" borderId="0" xfId="1" applyFont="1" applyFill="1" applyAlignment="1">
      <alignment horizontal="center"/>
    </xf>
    <xf numFmtId="43" fontId="0" fillId="27" borderId="0" xfId="1" applyFont="1" applyFill="1"/>
    <xf numFmtId="44" fontId="2" fillId="27" borderId="11" xfId="3" applyFont="1" applyFill="1" applyBorder="1"/>
    <xf numFmtId="43" fontId="2" fillId="0" borderId="0" xfId="1" applyFont="1" applyAlignment="1">
      <alignment horizontal="right"/>
    </xf>
    <xf numFmtId="14" fontId="0" fillId="0" borderId="0" xfId="0" applyNumberFormat="1"/>
    <xf numFmtId="19" fontId="0" fillId="0" borderId="0" xfId="0" applyNumberFormat="1"/>
    <xf numFmtId="8" fontId="0" fillId="0" borderId="0" xfId="0" applyNumberFormat="1"/>
    <xf numFmtId="3" fontId="0" fillId="0" borderId="0" xfId="0" applyNumberFormat="1"/>
    <xf numFmtId="14" fontId="0" fillId="7" borderId="0" xfId="0" applyNumberFormat="1" applyFill="1"/>
    <xf numFmtId="3" fontId="0" fillId="7" borderId="0" xfId="0" applyNumberFormat="1" applyFill="1"/>
    <xf numFmtId="8" fontId="0" fillId="7" borderId="0" xfId="0" applyNumberFormat="1" applyFill="1"/>
    <xf numFmtId="8" fontId="0" fillId="6" borderId="0" xfId="0" applyNumberFormat="1" applyFill="1"/>
    <xf numFmtId="14" fontId="0" fillId="4" borderId="0" xfId="0" applyNumberFormat="1" applyFill="1"/>
    <xf numFmtId="3" fontId="0" fillId="4" borderId="0" xfId="0" applyNumberFormat="1" applyFill="1"/>
    <xf numFmtId="8" fontId="0" fillId="4" borderId="0" xfId="0" applyNumberFormat="1" applyFill="1"/>
    <xf numFmtId="14" fontId="5" fillId="23" borderId="0" xfId="0" applyNumberFormat="1" applyFont="1" applyFill="1"/>
    <xf numFmtId="0" fontId="5" fillId="23" borderId="0" xfId="0" applyFont="1" applyFill="1"/>
    <xf numFmtId="3" fontId="5" fillId="23" borderId="0" xfId="0" applyNumberFormat="1" applyFont="1" applyFill="1"/>
    <xf numFmtId="8" fontId="5" fillId="23" borderId="0" xfId="0" applyNumberFormat="1" applyFont="1" applyFill="1"/>
    <xf numFmtId="0" fontId="2" fillId="3" borderId="10" xfId="0" applyFont="1" applyFill="1" applyBorder="1" applyAlignment="1">
      <alignment horizontal="center"/>
    </xf>
    <xf numFmtId="0" fontId="0" fillId="0" borderId="8" xfId="0" applyBorder="1"/>
    <xf numFmtId="0" fontId="0" fillId="0" borderId="14" xfId="0" applyBorder="1"/>
    <xf numFmtId="0" fontId="2" fillId="0" borderId="0" xfId="0" applyFont="1" applyAlignment="1">
      <alignment horizontal="right"/>
    </xf>
    <xf numFmtId="165" fontId="0" fillId="0" borderId="9" xfId="1" applyNumberFormat="1" applyFont="1" applyFill="1" applyBorder="1"/>
    <xf numFmtId="165" fontId="0" fillId="0" borderId="3" xfId="1" applyNumberFormat="1" applyFont="1" applyFill="1" applyBorder="1"/>
    <xf numFmtId="165" fontId="0" fillId="4" borderId="9" xfId="1" applyNumberFormat="1" applyFont="1" applyFill="1" applyBorder="1"/>
    <xf numFmtId="165" fontId="0" fillId="4" borderId="3" xfId="1" applyNumberFormat="1" applyFont="1" applyFill="1" applyBorder="1"/>
    <xf numFmtId="165" fontId="0" fillId="4" borderId="14" xfId="1" applyNumberFormat="1" applyFont="1" applyFill="1" applyBorder="1"/>
    <xf numFmtId="165" fontId="0" fillId="0" borderId="0" xfId="0" applyNumberFormat="1"/>
    <xf numFmtId="0" fontId="0" fillId="0" borderId="0" xfId="0" applyAlignment="1">
      <alignment horizontal="right"/>
    </xf>
    <xf numFmtId="165" fontId="2" fillId="0" borderId="8" xfId="1" applyNumberFormat="1" applyFont="1" applyFill="1" applyBorder="1"/>
    <xf numFmtId="165" fontId="2" fillId="0" borderId="2" xfId="1" applyNumberFormat="1" applyFont="1" applyFill="1" applyBorder="1"/>
    <xf numFmtId="165" fontId="2" fillId="0" borderId="13" xfId="1" applyNumberFormat="1" applyFont="1" applyFill="1" applyBorder="1"/>
    <xf numFmtId="165" fontId="0" fillId="0" borderId="14" xfId="1" applyNumberFormat="1" applyFont="1" applyFill="1" applyBorder="1"/>
    <xf numFmtId="165" fontId="0" fillId="0" borderId="4" xfId="1" applyNumberFormat="1" applyFont="1" applyFill="1" applyBorder="1"/>
    <xf numFmtId="0" fontId="2" fillId="3" borderId="0" xfId="0" applyFont="1" applyFill="1" applyAlignment="1">
      <alignment horizontal="right"/>
    </xf>
    <xf numFmtId="165" fontId="2" fillId="0" borderId="62" xfId="1" applyNumberFormat="1" applyFont="1" applyFill="1" applyBorder="1"/>
    <xf numFmtId="165" fontId="2" fillId="0" borderId="63" xfId="1" applyNumberFormat="1" applyFont="1" applyFill="1" applyBorder="1"/>
    <xf numFmtId="165" fontId="2" fillId="0" borderId="64" xfId="1" applyNumberFormat="1" applyFont="1" applyFill="1" applyBorder="1"/>
    <xf numFmtId="165" fontId="0" fillId="0" borderId="0" xfId="1" applyNumberFormat="1" applyFont="1" applyFill="1" applyBorder="1"/>
    <xf numFmtId="165" fontId="2" fillId="0" borderId="11" xfId="1" applyNumberFormat="1" applyFont="1" applyFill="1" applyBorder="1"/>
    <xf numFmtId="165" fontId="2" fillId="0" borderId="11" xfId="0" applyNumberFormat="1" applyFont="1" applyBorder="1"/>
    <xf numFmtId="8" fontId="0" fillId="23" borderId="0" xfId="0" applyNumberFormat="1" applyFill="1"/>
    <xf numFmtId="43" fontId="0" fillId="23" borderId="0" xfId="0" applyNumberFormat="1" applyFill="1"/>
    <xf numFmtId="0" fontId="0" fillId="8" borderId="0" xfId="0" applyFill="1"/>
    <xf numFmtId="4" fontId="5" fillId="0" borderId="0" xfId="0" applyNumberFormat="1" applyFont="1"/>
    <xf numFmtId="4" fontId="0" fillId="0" borderId="6" xfId="0" applyNumberFormat="1" applyBorder="1"/>
    <xf numFmtId="4" fontId="0" fillId="28" borderId="12" xfId="0" applyNumberFormat="1" applyFill="1" applyBorder="1"/>
    <xf numFmtId="4" fontId="9" fillId="10" borderId="12" xfId="0" applyNumberFormat="1" applyFont="1" applyFill="1" applyBorder="1"/>
    <xf numFmtId="4" fontId="0" fillId="10" borderId="12" xfId="0" applyNumberFormat="1" applyFill="1" applyBorder="1"/>
    <xf numFmtId="4" fontId="0" fillId="28" borderId="0" xfId="0" applyNumberFormat="1" applyFill="1"/>
    <xf numFmtId="4" fontId="0" fillId="10" borderId="0" xfId="0" applyNumberFormat="1" applyFill="1"/>
    <xf numFmtId="0" fontId="0" fillId="0" borderId="65" xfId="0" applyBorder="1" applyAlignment="1">
      <alignment horizontal="center" wrapText="1"/>
    </xf>
    <xf numFmtId="0" fontId="0" fillId="28" borderId="65" xfId="0" applyFill="1" applyBorder="1" applyAlignment="1">
      <alignment horizontal="center" wrapText="1"/>
    </xf>
    <xf numFmtId="0" fontId="0" fillId="10" borderId="65" xfId="0" applyFill="1" applyBorder="1" applyAlignment="1">
      <alignment horizontal="center" wrapText="1"/>
    </xf>
    <xf numFmtId="43" fontId="9" fillId="0" borderId="0" xfId="7" applyFont="1" applyAlignment="1">
      <alignment horizontal="right"/>
    </xf>
    <xf numFmtId="0" fontId="9" fillId="0" borderId="0" xfId="8" applyFont="1"/>
    <xf numFmtId="175" fontId="0" fillId="0" borderId="0" xfId="0" applyNumberFormat="1"/>
    <xf numFmtId="164" fontId="0" fillId="0" borderId="0" xfId="1" applyNumberFormat="1" applyFont="1" applyBorder="1" applyAlignment="1">
      <alignment horizontal="right"/>
    </xf>
    <xf numFmtId="0" fontId="9" fillId="0" borderId="0" xfId="8" quotePrefix="1" applyFont="1"/>
    <xf numFmtId="164" fontId="0" fillId="0" borderId="6" xfId="1" applyNumberFormat="1" applyFont="1" applyBorder="1" applyAlignment="1">
      <alignment horizontal="right"/>
    </xf>
    <xf numFmtId="164" fontId="0" fillId="0" borderId="6" xfId="1" applyNumberFormat="1" applyFont="1" applyFill="1" applyBorder="1" applyAlignment="1">
      <alignment horizontal="right"/>
    </xf>
    <xf numFmtId="164" fontId="0" fillId="0" borderId="0" xfId="1" applyNumberFormat="1" applyFont="1"/>
    <xf numFmtId="0" fontId="9" fillId="0" borderId="0" xfId="8" applyFont="1" applyAlignment="1">
      <alignment horizontal="center"/>
    </xf>
    <xf numFmtId="43" fontId="9" fillId="0" borderId="0" xfId="7" applyFont="1" applyAlignment="1">
      <alignment horizontal="center"/>
    </xf>
    <xf numFmtId="43" fontId="9" fillId="0" borderId="0" xfId="7" applyFont="1" applyBorder="1" applyAlignment="1">
      <alignment horizontal="center"/>
    </xf>
    <xf numFmtId="0" fontId="9" fillId="0" borderId="0" xfId="8" applyFont="1" applyAlignment="1">
      <alignment horizontal="left"/>
    </xf>
    <xf numFmtId="43" fontId="2" fillId="0" borderId="12" xfId="1" applyFont="1" applyBorder="1" applyAlignment="1">
      <alignment horizontal="center" wrapText="1"/>
    </xf>
    <xf numFmtId="164" fontId="2" fillId="0" borderId="12" xfId="1" applyNumberFormat="1" applyFont="1" applyBorder="1" applyAlignment="1">
      <alignment horizontal="center" wrapText="1"/>
    </xf>
    <xf numFmtId="10" fontId="0" fillId="0" borderId="0" xfId="0" applyNumberFormat="1"/>
    <xf numFmtId="176" fontId="12" fillId="0" borderId="61" xfId="0" applyNumberFormat="1" applyFont="1" applyBorder="1"/>
    <xf numFmtId="0" fontId="0" fillId="0" borderId="61" xfId="0" applyBorder="1"/>
    <xf numFmtId="176" fontId="0" fillId="0" borderId="0" xfId="0" applyNumberFormat="1"/>
    <xf numFmtId="176" fontId="12" fillId="0" borderId="0" xfId="0" applyNumberFormat="1" applyFont="1"/>
    <xf numFmtId="0" fontId="12" fillId="0" borderId="0" xfId="0" applyFont="1"/>
    <xf numFmtId="0" fontId="12" fillId="29" borderId="0" xfId="0" applyFont="1" applyFill="1"/>
    <xf numFmtId="176" fontId="2" fillId="30" borderId="66" xfId="0" applyNumberFormat="1" applyFont="1" applyFill="1" applyBorder="1"/>
    <xf numFmtId="176" fontId="0" fillId="30" borderId="66" xfId="0" applyNumberFormat="1" applyFill="1" applyBorder="1"/>
    <xf numFmtId="0" fontId="12" fillId="31" borderId="0" xfId="0" applyFont="1" applyFill="1"/>
    <xf numFmtId="0" fontId="13" fillId="0" borderId="0" xfId="0" applyFont="1"/>
    <xf numFmtId="176" fontId="9" fillId="0" borderId="0" xfId="0" applyNumberFormat="1" applyFont="1"/>
    <xf numFmtId="0" fontId="6" fillId="32" borderId="0" xfId="0" applyFont="1" applyFill="1"/>
    <xf numFmtId="4" fontId="0" fillId="33" borderId="0" xfId="0" applyNumberFormat="1" applyFill="1"/>
    <xf numFmtId="4" fontId="0" fillId="18" borderId="0" xfId="0" applyNumberFormat="1" applyFill="1"/>
    <xf numFmtId="0" fontId="2" fillId="27" borderId="0" xfId="0" applyFont="1" applyFill="1"/>
    <xf numFmtId="165" fontId="9" fillId="0" borderId="0" xfId="4" applyNumberFormat="1" applyFont="1" applyFill="1" applyBorder="1"/>
    <xf numFmtId="165" fontId="9" fillId="0" borderId="0" xfId="4" applyNumberFormat="1" applyFont="1" applyFill="1"/>
    <xf numFmtId="165" fontId="6" fillId="0" borderId="16" xfId="4" applyNumberFormat="1" applyFont="1" applyFill="1" applyBorder="1"/>
    <xf numFmtId="43" fontId="6" fillId="0" borderId="16" xfId="0" applyNumberFormat="1" applyFont="1" applyBorder="1"/>
    <xf numFmtId="43" fontId="6" fillId="0" borderId="0" xfId="0" applyNumberFormat="1" applyFont="1"/>
    <xf numFmtId="2" fontId="0" fillId="0" borderId="0" xfId="0" applyNumberFormat="1"/>
    <xf numFmtId="0" fontId="6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43" fontId="2" fillId="0" borderId="12" xfId="1" applyFont="1" applyBorder="1" applyAlignment="1">
      <alignment horizontal="center" vertical="center" wrapText="1"/>
    </xf>
    <xf numFmtId="0" fontId="16" fillId="0" borderId="0" xfId="0" applyFont="1"/>
    <xf numFmtId="0" fontId="0" fillId="23" borderId="0" xfId="0" applyFill="1" applyAlignment="1">
      <alignment horizontal="center"/>
    </xf>
    <xf numFmtId="44" fontId="0" fillId="0" borderId="0" xfId="0" applyNumberFormat="1"/>
    <xf numFmtId="44" fontId="2" fillId="0" borderId="11" xfId="0" applyNumberFormat="1" applyFont="1" applyBorder="1"/>
    <xf numFmtId="166" fontId="16" fillId="0" borderId="0" xfId="1" applyNumberFormat="1" applyFont="1"/>
    <xf numFmtId="44" fontId="0" fillId="34" borderId="0" xfId="3" applyFont="1" applyFill="1"/>
    <xf numFmtId="166" fontId="0" fillId="0" borderId="0" xfId="0" applyNumberFormat="1"/>
    <xf numFmtId="44" fontId="0" fillId="35" borderId="0" xfId="3" applyFont="1" applyFill="1"/>
    <xf numFmtId="44" fontId="0" fillId="0" borderId="11" xfId="3" applyFont="1" applyBorder="1"/>
    <xf numFmtId="166" fontId="16" fillId="0" borderId="0" xfId="0" applyNumberFormat="1" applyFont="1"/>
    <xf numFmtId="0" fontId="0" fillId="16" borderId="0" xfId="0" applyFill="1"/>
    <xf numFmtId="166" fontId="0" fillId="16" borderId="0" xfId="0" applyNumberFormat="1" applyFill="1"/>
    <xf numFmtId="166" fontId="16" fillId="16" borderId="0" xfId="0" applyNumberFormat="1" applyFont="1" applyFill="1"/>
    <xf numFmtId="44" fontId="2" fillId="0" borderId="61" xfId="3" applyFont="1" applyBorder="1"/>
    <xf numFmtId="43" fontId="2" fillId="0" borderId="0" xfId="1" applyFont="1"/>
    <xf numFmtId="10" fontId="17" fillId="0" borderId="61" xfId="0" applyNumberFormat="1" applyFont="1" applyBorder="1"/>
    <xf numFmtId="10" fontId="17" fillId="0" borderId="0" xfId="0" applyNumberFormat="1" applyFont="1"/>
    <xf numFmtId="43" fontId="0" fillId="34" borderId="0" xfId="0" applyNumberFormat="1" applyFill="1"/>
    <xf numFmtId="165" fontId="0" fillId="16" borderId="9" xfId="1" applyNumberFormat="1" applyFont="1" applyFill="1" applyBorder="1"/>
    <xf numFmtId="165" fontId="0" fillId="16" borderId="3" xfId="1" applyNumberFormat="1" applyFont="1" applyFill="1" applyBorder="1"/>
    <xf numFmtId="165" fontId="0" fillId="16" borderId="14" xfId="1" applyNumberFormat="1" applyFont="1" applyFill="1" applyBorder="1"/>
    <xf numFmtId="165" fontId="0" fillId="16" borderId="0" xfId="0" applyNumberFormat="1" applyFill="1"/>
    <xf numFmtId="43" fontId="0" fillId="16" borderId="0" xfId="0" applyNumberFormat="1" applyFill="1"/>
    <xf numFmtId="43" fontId="2" fillId="0" borderId="6" xfId="1" applyFont="1" applyBorder="1"/>
    <xf numFmtId="166" fontId="2" fillId="0" borderId="6" xfId="0" applyNumberFormat="1" applyFont="1" applyBorder="1"/>
    <xf numFmtId="166" fontId="2" fillId="0" borderId="6" xfId="1" applyNumberFormat="1" applyFont="1" applyBorder="1"/>
    <xf numFmtId="43" fontId="2" fillId="0" borderId="6" xfId="0" applyNumberFormat="1" applyFont="1" applyBorder="1"/>
    <xf numFmtId="168" fontId="0" fillId="8" borderId="0" xfId="1" applyNumberFormat="1" applyFont="1" applyFill="1" applyAlignment="1">
      <alignment horizontal="right"/>
    </xf>
    <xf numFmtId="168" fontId="0" fillId="8" borderId="0" xfId="1" applyNumberFormat="1" applyFont="1" applyFill="1"/>
    <xf numFmtId="0" fontId="2" fillId="17" borderId="0" xfId="0" applyFont="1" applyFill="1" applyAlignment="1">
      <alignment horizontal="right"/>
    </xf>
    <xf numFmtId="44" fontId="2" fillId="17" borderId="6" xfId="3" applyFont="1" applyFill="1" applyBorder="1"/>
    <xf numFmtId="44" fontId="2" fillId="17" borderId="11" xfId="3" applyFont="1" applyFill="1" applyBorder="1"/>
    <xf numFmtId="44" fontId="2" fillId="17" borderId="0" xfId="3" applyFont="1" applyFill="1" applyBorder="1"/>
    <xf numFmtId="43" fontId="0" fillId="35" borderId="0" xfId="0" applyNumberFormat="1" applyFill="1"/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6" fontId="0" fillId="0" borderId="4" xfId="1" applyNumberFormat="1" applyFont="1" applyBorder="1" applyAlignment="1"/>
    <xf numFmtId="166" fontId="0" fillId="0" borderId="12" xfId="1" applyNumberFormat="1" applyFont="1" applyBorder="1" applyAlignment="1"/>
    <xf numFmtId="0" fontId="2" fillId="0" borderId="1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3" borderId="2" xfId="0" applyFill="1" applyBorder="1" applyAlignment="1">
      <alignment horizontal="center"/>
    </xf>
    <xf numFmtId="166" fontId="0" fillId="23" borderId="2" xfId="1" applyNumberFormat="1" applyFont="1" applyFill="1" applyBorder="1" applyAlignment="1">
      <alignment horizontal="center"/>
    </xf>
    <xf numFmtId="166" fontId="0" fillId="23" borderId="8" xfId="1" applyNumberFormat="1" applyFont="1" applyFill="1" applyBorder="1" applyAlignment="1">
      <alignment horizontal="center" wrapText="1"/>
    </xf>
    <xf numFmtId="0" fontId="0" fillId="23" borderId="1" xfId="0" applyFill="1" applyBorder="1" applyAlignment="1">
      <alignment horizontal="center"/>
    </xf>
    <xf numFmtId="166" fontId="0" fillId="23" borderId="1" xfId="1" applyNumberFormat="1" applyFont="1" applyFill="1" applyBorder="1" applyAlignment="1">
      <alignment horizontal="center"/>
    </xf>
    <xf numFmtId="0" fontId="0" fillId="16" borderId="3" xfId="0" applyFill="1" applyBorder="1"/>
    <xf numFmtId="166" fontId="0" fillId="16" borderId="3" xfId="1" applyNumberFormat="1" applyFont="1" applyFill="1" applyBorder="1"/>
    <xf numFmtId="166" fontId="0" fillId="16" borderId="9" xfId="1" applyNumberFormat="1" applyFont="1" applyFill="1" applyBorder="1"/>
    <xf numFmtId="166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right"/>
    </xf>
    <xf numFmtId="177" fontId="2" fillId="0" borderId="0" xfId="2" applyNumberFormat="1" applyFont="1" applyBorder="1" applyAlignment="1">
      <alignment horizontal="center"/>
    </xf>
    <xf numFmtId="166" fontId="0" fillId="0" borderId="6" xfId="0" applyNumberFormat="1" applyBorder="1"/>
    <xf numFmtId="178" fontId="0" fillId="8" borderId="0" xfId="3" applyNumberFormat="1" applyFont="1" applyFill="1"/>
    <xf numFmtId="178" fontId="0" fillId="4" borderId="0" xfId="3" applyNumberFormat="1" applyFont="1" applyFill="1"/>
    <xf numFmtId="178" fontId="0" fillId="0" borderId="0" xfId="3" applyNumberFormat="1" applyFont="1"/>
    <xf numFmtId="0" fontId="0" fillId="26" borderId="0" xfId="0" applyFill="1"/>
    <xf numFmtId="43" fontId="0" fillId="26" borderId="0" xfId="1" applyFont="1" applyFill="1"/>
    <xf numFmtId="43" fontId="0" fillId="26" borderId="0" xfId="0" applyNumberFormat="1" applyFill="1"/>
    <xf numFmtId="0" fontId="0" fillId="36" borderId="0" xfId="0" applyFill="1"/>
    <xf numFmtId="43" fontId="0" fillId="36" borderId="0" xfId="0" applyNumberFormat="1" applyFill="1"/>
    <xf numFmtId="178" fontId="0" fillId="0" borderId="0" xfId="0" applyNumberFormat="1"/>
    <xf numFmtId="0" fontId="0" fillId="35" borderId="0" xfId="0" applyFill="1"/>
    <xf numFmtId="164" fontId="9" fillId="0" borderId="0" xfId="4" applyNumberFormat="1" applyFont="1" applyFill="1"/>
    <xf numFmtId="165" fontId="9" fillId="7" borderId="0" xfId="4" applyNumberFormat="1" applyFont="1" applyFill="1"/>
    <xf numFmtId="8" fontId="0" fillId="22" borderId="0" xfId="1" applyNumberFormat="1" applyFont="1" applyFill="1"/>
    <xf numFmtId="0" fontId="18" fillId="0" borderId="0" xfId="0" applyFont="1"/>
    <xf numFmtId="164" fontId="9" fillId="4" borderId="0" xfId="4" applyNumberFormat="1" applyFont="1" applyFill="1"/>
    <xf numFmtId="164" fontId="0" fillId="0" borderId="0" xfId="1" applyNumberFormat="1" applyFont="1" applyFill="1"/>
    <xf numFmtId="0" fontId="7" fillId="0" borderId="0" xfId="0" applyFont="1"/>
    <xf numFmtId="164" fontId="2" fillId="0" borderId="11" xfId="1" applyNumberFormat="1" applyFont="1" applyBorder="1" applyAlignment="1">
      <alignment horizontal="right"/>
    </xf>
    <xf numFmtId="164" fontId="2" fillId="0" borderId="61" xfId="1" applyNumberFormat="1" applyFont="1" applyBorder="1" applyAlignment="1">
      <alignment horizontal="right"/>
    </xf>
    <xf numFmtId="164" fontId="0" fillId="10" borderId="0" xfId="0" applyNumberFormat="1" applyFill="1"/>
    <xf numFmtId="164" fontId="0" fillId="28" borderId="0" xfId="0" applyNumberFormat="1" applyFill="1"/>
    <xf numFmtId="164" fontId="0" fillId="0" borderId="0" xfId="0" applyNumberFormat="1"/>
    <xf numFmtId="164" fontId="0" fillId="10" borderId="12" xfId="0" applyNumberFormat="1" applyFill="1" applyBorder="1"/>
    <xf numFmtId="164" fontId="0" fillId="28" borderId="12" xfId="0" applyNumberFormat="1" applyFill="1" applyBorder="1"/>
    <xf numFmtId="164" fontId="9" fillId="10" borderId="12" xfId="0" applyNumberFormat="1" applyFont="1" applyFill="1" applyBorder="1"/>
    <xf numFmtId="164" fontId="0" fillId="0" borderId="6" xfId="0" applyNumberFormat="1" applyBorder="1"/>
    <xf numFmtId="164" fontId="0" fillId="4" borderId="0" xfId="0" applyNumberFormat="1" applyFill="1"/>
    <xf numFmtId="164" fontId="9" fillId="0" borderId="0" xfId="4" applyNumberFormat="1" applyFont="1" applyFill="1" applyBorder="1"/>
    <xf numFmtId="164" fontId="6" fillId="0" borderId="16" xfId="4" applyNumberFormat="1" applyFont="1" applyFill="1" applyBorder="1"/>
    <xf numFmtId="164" fontId="6" fillId="0" borderId="16" xfId="0" applyNumberFormat="1" applyFont="1" applyBorder="1"/>
    <xf numFmtId="164" fontId="6" fillId="0" borderId="0" xfId="0" applyNumberFormat="1" applyFont="1"/>
    <xf numFmtId="164" fontId="0" fillId="18" borderId="0" xfId="0" applyNumberFormat="1" applyFill="1"/>
    <xf numFmtId="164" fontId="0" fillId="33" borderId="0" xfId="0" applyNumberFormat="1" applyFill="1"/>
    <xf numFmtId="164" fontId="9" fillId="0" borderId="0" xfId="0" applyNumberFormat="1" applyFont="1"/>
    <xf numFmtId="164" fontId="0" fillId="30" borderId="66" xfId="0" applyNumberFormat="1" applyFill="1" applyBorder="1"/>
    <xf numFmtId="164" fontId="2" fillId="30" borderId="66" xfId="0" applyNumberFormat="1" applyFont="1" applyFill="1" applyBorder="1"/>
    <xf numFmtId="164" fontId="12" fillId="0" borderId="61" xfId="0" applyNumberFormat="1" applyFont="1" applyBorder="1"/>
    <xf numFmtId="164" fontId="12" fillId="0" borderId="0" xfId="0" applyNumberFormat="1" applyFont="1"/>
    <xf numFmtId="164" fontId="2" fillId="0" borderId="0" xfId="0" applyNumberFormat="1" applyFont="1" applyAlignment="1">
      <alignment horizontal="center"/>
    </xf>
    <xf numFmtId="166" fontId="2" fillId="0" borderId="1" xfId="6" applyNumberFormat="1" applyFont="1" applyFill="1" applyBorder="1" applyAlignment="1">
      <alignment horizontal="center" wrapText="1"/>
    </xf>
    <xf numFmtId="164" fontId="0" fillId="0" borderId="1" xfId="0" applyNumberFormat="1" applyBorder="1"/>
    <xf numFmtId="164" fontId="2" fillId="0" borderId="63" xfId="0" applyNumberFormat="1" applyFont="1" applyBorder="1"/>
    <xf numFmtId="0" fontId="0" fillId="0" borderId="1" xfId="0" applyBorder="1" applyAlignment="1">
      <alignment horizontal="center" vertical="center"/>
    </xf>
    <xf numFmtId="0" fontId="4" fillId="6" borderId="14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4" borderId="1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 wrapText="1"/>
    </xf>
    <xf numFmtId="164" fontId="6" fillId="0" borderId="27" xfId="0" applyNumberFormat="1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6" fillId="0" borderId="28" xfId="0" applyNumberFormat="1" applyFont="1" applyBorder="1" applyAlignment="1">
      <alignment horizontal="center" vertical="center" wrapText="1"/>
    </xf>
    <xf numFmtId="171" fontId="6" fillId="0" borderId="22" xfId="0" applyNumberFormat="1" applyFont="1" applyBorder="1" applyAlignment="1">
      <alignment horizontal="center" vertical="center" wrapText="1"/>
    </xf>
    <xf numFmtId="171" fontId="9" fillId="0" borderId="0" xfId="0" applyNumberFormat="1" applyFont="1" applyAlignment="1">
      <alignment horizontal="center" vertical="center" wrapText="1"/>
    </xf>
    <xf numFmtId="171" fontId="9" fillId="0" borderId="28" xfId="0" applyNumberFormat="1" applyFont="1" applyBorder="1" applyAlignment="1">
      <alignment horizontal="center" vertical="center" wrapText="1"/>
    </xf>
    <xf numFmtId="171" fontId="6" fillId="0" borderId="0" xfId="0" applyNumberFormat="1" applyFont="1" applyAlignment="1">
      <alignment horizontal="center" vertical="center" wrapText="1"/>
    </xf>
    <xf numFmtId="171" fontId="6" fillId="0" borderId="28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171" fontId="6" fillId="0" borderId="20" xfId="0" applyNumberFormat="1" applyFont="1" applyBorder="1" applyAlignment="1">
      <alignment horizontal="center" vertical="center" wrapText="1"/>
    </xf>
    <xf numFmtId="171" fontId="6" fillId="0" borderId="25" xfId="0" applyNumberFormat="1" applyFont="1" applyBorder="1" applyAlignment="1">
      <alignment horizontal="center" vertical="center" wrapText="1"/>
    </xf>
    <xf numFmtId="171" fontId="6" fillId="0" borderId="29" xfId="0" applyNumberFormat="1" applyFont="1" applyBorder="1" applyAlignment="1">
      <alignment horizontal="center" vertical="center" wrapText="1"/>
    </xf>
    <xf numFmtId="171" fontId="6" fillId="0" borderId="21" xfId="0" applyNumberFormat="1" applyFont="1" applyBorder="1" applyAlignment="1">
      <alignment horizontal="center" vertical="center" wrapText="1"/>
    </xf>
    <xf numFmtId="171" fontId="6" fillId="0" borderId="24" xfId="0" applyNumberFormat="1" applyFont="1" applyBorder="1" applyAlignment="1">
      <alignment horizontal="center" vertical="center" wrapText="1"/>
    </xf>
    <xf numFmtId="171" fontId="6" fillId="0" borderId="27" xfId="0" applyNumberFormat="1" applyFont="1" applyBorder="1" applyAlignment="1">
      <alignment horizontal="center" vertical="center" wrapText="1"/>
    </xf>
    <xf numFmtId="171" fontId="6" fillId="4" borderId="22" xfId="0" applyNumberFormat="1" applyFont="1" applyFill="1" applyBorder="1" applyAlignment="1">
      <alignment horizontal="center" vertical="center" wrapText="1"/>
    </xf>
    <xf numFmtId="171" fontId="6" fillId="4" borderId="0" xfId="0" applyNumberFormat="1" applyFont="1" applyFill="1" applyAlignment="1">
      <alignment horizontal="center" vertical="center" wrapText="1"/>
    </xf>
    <xf numFmtId="171" fontId="6" fillId="4" borderId="28" xfId="0" applyNumberFormat="1" applyFont="1" applyFill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25" xfId="0" applyNumberFormat="1" applyFont="1" applyBorder="1" applyAlignment="1">
      <alignment horizontal="center" vertical="center" wrapText="1"/>
    </xf>
    <xf numFmtId="164" fontId="6" fillId="0" borderId="29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9" fillId="0" borderId="28" xfId="0" applyNumberFormat="1" applyFont="1" applyBorder="1" applyAlignment="1">
      <alignment horizontal="center" vertical="center" wrapText="1"/>
    </xf>
    <xf numFmtId="164" fontId="6" fillId="4" borderId="22" xfId="0" applyNumberFormat="1" applyFont="1" applyFill="1" applyBorder="1" applyAlignment="1">
      <alignment horizontal="center" vertical="center" wrapText="1"/>
    </xf>
    <xf numFmtId="164" fontId="9" fillId="4" borderId="0" xfId="0" applyNumberFormat="1" applyFont="1" applyFill="1" applyAlignment="1">
      <alignment horizontal="center" vertical="center" wrapText="1"/>
    </xf>
    <xf numFmtId="164" fontId="9" fillId="4" borderId="28" xfId="0" applyNumberFormat="1" applyFont="1" applyFill="1" applyBorder="1" applyAlignment="1">
      <alignment horizontal="center" vertical="center" wrapText="1"/>
    </xf>
    <xf numFmtId="164" fontId="9" fillId="0" borderId="24" xfId="0" applyNumberFormat="1" applyFont="1" applyBorder="1" applyAlignment="1">
      <alignment horizontal="center" vertical="center" wrapText="1"/>
    </xf>
    <xf numFmtId="164" fontId="9" fillId="0" borderId="27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164" fontId="6" fillId="0" borderId="30" xfId="0" applyNumberFormat="1" applyFont="1" applyBorder="1" applyAlignment="1">
      <alignment horizontal="center" vertical="center" wrapText="1"/>
    </xf>
    <xf numFmtId="164" fontId="6" fillId="0" borderId="31" xfId="0" applyNumberFormat="1" applyFont="1" applyBorder="1" applyAlignment="1">
      <alignment horizontal="center" vertical="center" wrapText="1"/>
    </xf>
    <xf numFmtId="43" fontId="2" fillId="3" borderId="0" xfId="1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</cellXfs>
  <cellStyles count="9">
    <cellStyle name="Comma" xfId="1" builtinId="3"/>
    <cellStyle name="Comma 2" xfId="6" xr:uid="{00000000-0005-0000-0000-000001000000}"/>
    <cellStyle name="Comma 4" xfId="7" xr:uid="{00000000-0005-0000-0000-000002000000}"/>
    <cellStyle name="Currency" xfId="3" builtinId="4"/>
    <cellStyle name="Good" xfId="4" builtinId="26"/>
    <cellStyle name="Normal" xfId="0" builtinId="0"/>
    <cellStyle name="Normal 2" xfId="5" xr:uid="{00000000-0005-0000-0000-000006000000}"/>
    <cellStyle name="Normal 4" xfId="8" xr:uid="{00000000-0005-0000-0000-000007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38"/>
  <sheetViews>
    <sheetView topLeftCell="A6" zoomScale="130" zoomScaleNormal="130" workbookViewId="0">
      <selection activeCell="H19" sqref="H19"/>
    </sheetView>
  </sheetViews>
  <sheetFormatPr defaultRowHeight="14.4" x14ac:dyDescent="0.3"/>
  <cols>
    <col min="1" max="1" width="5.6640625" customWidth="1"/>
    <col min="3" max="7" width="13.88671875" customWidth="1"/>
    <col min="8" max="10" width="13.88671875" style="18" customWidth="1"/>
    <col min="11" max="11" width="13.88671875" customWidth="1"/>
    <col min="12" max="12" width="13.88671875" style="16" customWidth="1"/>
    <col min="13" max="13" width="13.88671875" customWidth="1"/>
    <col min="14" max="14" width="13.88671875" style="18" customWidth="1"/>
    <col min="15" max="17" width="13.88671875" customWidth="1"/>
  </cols>
  <sheetData>
    <row r="2" spans="2:19" x14ac:dyDescent="0.3">
      <c r="B2" s="47" t="s">
        <v>48</v>
      </c>
    </row>
    <row r="4" spans="2:19" x14ac:dyDescent="0.3">
      <c r="B4" s="397" t="s">
        <v>47</v>
      </c>
      <c r="C4" s="398"/>
      <c r="D4" s="398"/>
      <c r="E4" s="398"/>
      <c r="F4" s="398"/>
    </row>
    <row r="5" spans="2:19" x14ac:dyDescent="0.3">
      <c r="D5" s="91" t="s">
        <v>12</v>
      </c>
      <c r="E5" s="91" t="s">
        <v>13</v>
      </c>
      <c r="F5" s="91" t="s">
        <v>14</v>
      </c>
      <c r="G5" s="12" t="s">
        <v>15</v>
      </c>
      <c r="H5" s="92"/>
      <c r="I5" s="93"/>
      <c r="J5" s="401" t="s">
        <v>15</v>
      </c>
      <c r="K5" s="402"/>
      <c r="L5" s="94"/>
    </row>
    <row r="6" spans="2:19" ht="72" x14ac:dyDescent="0.3">
      <c r="D6" s="13" t="s">
        <v>50</v>
      </c>
      <c r="E6" s="22" t="s">
        <v>51</v>
      </c>
      <c r="F6" s="15"/>
      <c r="G6" s="13" t="s">
        <v>16</v>
      </c>
      <c r="H6" s="22" t="s">
        <v>28</v>
      </c>
      <c r="I6" s="17"/>
      <c r="J6" s="22" t="s">
        <v>30</v>
      </c>
      <c r="K6" s="13" t="s">
        <v>29</v>
      </c>
      <c r="L6" s="27" t="s">
        <v>24</v>
      </c>
      <c r="N6" s="22" t="s">
        <v>31</v>
      </c>
      <c r="O6" s="22" t="s">
        <v>26</v>
      </c>
      <c r="P6" s="22" t="s">
        <v>27</v>
      </c>
    </row>
    <row r="7" spans="2:19" x14ac:dyDescent="0.3">
      <c r="D7" s="24" t="s">
        <v>17</v>
      </c>
      <c r="E7" s="24" t="s">
        <v>18</v>
      </c>
      <c r="F7" s="24" t="s">
        <v>19</v>
      </c>
      <c r="G7" s="24" t="s">
        <v>20</v>
      </c>
      <c r="H7" s="28" t="s">
        <v>35</v>
      </c>
      <c r="I7" s="25"/>
      <c r="J7" s="26" t="s">
        <v>22</v>
      </c>
      <c r="K7" s="24" t="s">
        <v>23</v>
      </c>
      <c r="L7" s="15" t="s">
        <v>32</v>
      </c>
      <c r="N7" s="15" t="s">
        <v>25</v>
      </c>
      <c r="O7" s="23" t="s">
        <v>33</v>
      </c>
      <c r="P7" s="15" t="s">
        <v>34</v>
      </c>
    </row>
    <row r="8" spans="2:19" x14ac:dyDescent="0.3">
      <c r="B8" s="396">
        <v>2020</v>
      </c>
      <c r="C8" s="1" t="s">
        <v>0</v>
      </c>
      <c r="D8" s="2">
        <v>27172056</v>
      </c>
      <c r="E8" s="3">
        <v>47118.596000000136</v>
      </c>
      <c r="F8" s="4">
        <f t="shared" ref="F8:F19" si="0">SUM(D8:E8)</f>
        <v>27219174.596000001</v>
      </c>
      <c r="G8" s="3">
        <v>853988.60000000009</v>
      </c>
      <c r="H8" s="2">
        <f t="shared" ref="H8:H19" si="1">D8+E8-G8</f>
        <v>26365185.995999999</v>
      </c>
      <c r="I8" s="19"/>
      <c r="J8" s="19">
        <v>5840145.1900000013</v>
      </c>
      <c r="K8" s="2">
        <v>25611549.320000004</v>
      </c>
      <c r="L8" s="28">
        <f>H8*(J8/K8)</f>
        <v>6011995.3015788412</v>
      </c>
      <c r="N8" s="42">
        <v>0.10231999999999999</v>
      </c>
      <c r="O8" s="28">
        <f>L8*N8</f>
        <v>615147.35925754695</v>
      </c>
      <c r="P8" s="1"/>
    </row>
    <row r="9" spans="2:19" x14ac:dyDescent="0.3">
      <c r="B9" s="396"/>
      <c r="C9" s="5" t="s">
        <v>1</v>
      </c>
      <c r="D9" s="6">
        <v>25399903</v>
      </c>
      <c r="E9" s="7">
        <v>134240.22099999967</v>
      </c>
      <c r="F9" s="8">
        <f t="shared" si="0"/>
        <v>25534143.221000001</v>
      </c>
      <c r="G9" s="7">
        <v>875762.2</v>
      </c>
      <c r="H9" s="6">
        <f t="shared" si="1"/>
        <v>24658381.021000002</v>
      </c>
      <c r="I9" s="20"/>
      <c r="J9" s="20">
        <v>5357088.3900000043</v>
      </c>
      <c r="K9" s="6">
        <v>24202617.149999999</v>
      </c>
      <c r="L9" s="29">
        <f t="shared" ref="L9:L19" si="2">H9*(J9/K9)</f>
        <v>5457968.6926046163</v>
      </c>
      <c r="N9" s="43">
        <v>0.11331000000000001</v>
      </c>
      <c r="O9" s="29">
        <f t="shared" ref="O9:O19" si="3">L9*N9</f>
        <v>618442.43255902908</v>
      </c>
      <c r="P9" s="5"/>
    </row>
    <row r="10" spans="2:19" x14ac:dyDescent="0.3">
      <c r="B10" s="396"/>
      <c r="C10" s="5" t="s">
        <v>2</v>
      </c>
      <c r="D10" s="6">
        <v>24999955</v>
      </c>
      <c r="E10" s="7">
        <v>249315.95199999979</v>
      </c>
      <c r="F10" s="8">
        <f t="shared" si="0"/>
        <v>25249270.952</v>
      </c>
      <c r="G10" s="7">
        <v>939426.70000000007</v>
      </c>
      <c r="H10" s="6">
        <f t="shared" si="1"/>
        <v>24309844.252</v>
      </c>
      <c r="I10" s="20"/>
      <c r="J10" s="20">
        <v>5244306.3500000015</v>
      </c>
      <c r="K10" s="6">
        <v>23532404.760000002</v>
      </c>
      <c r="L10" s="29">
        <f t="shared" si="2"/>
        <v>5417562.3731824094</v>
      </c>
      <c r="N10" s="43">
        <v>0.11942</v>
      </c>
      <c r="O10" s="29">
        <f t="shared" si="3"/>
        <v>646965.29860544333</v>
      </c>
      <c r="P10" s="5"/>
    </row>
    <row r="11" spans="2:19" s="36" customFormat="1" ht="15" customHeight="1" x14ac:dyDescent="0.3">
      <c r="B11" s="396"/>
      <c r="C11" s="32" t="s">
        <v>3</v>
      </c>
      <c r="D11" s="33">
        <v>22234209</v>
      </c>
      <c r="E11" s="33">
        <v>341757.99700000032</v>
      </c>
      <c r="F11" s="33">
        <f t="shared" si="0"/>
        <v>22575966.997000001</v>
      </c>
      <c r="G11" s="33">
        <v>884711.09999999986</v>
      </c>
      <c r="H11" s="33">
        <f t="shared" si="1"/>
        <v>21691255.897</v>
      </c>
      <c r="I11" s="34"/>
      <c r="J11" s="34">
        <v>4415731.7299999911</v>
      </c>
      <c r="K11" s="33">
        <v>21003927.080000002</v>
      </c>
      <c r="L11" s="35">
        <f t="shared" si="2"/>
        <v>4560231.3587889448</v>
      </c>
      <c r="N11" s="44">
        <v>0.115</v>
      </c>
      <c r="O11" s="35">
        <f t="shared" si="3"/>
        <v>524426.60626072867</v>
      </c>
      <c r="P11" s="32"/>
      <c r="Q11" s="399" t="s">
        <v>46</v>
      </c>
      <c r="R11" s="400"/>
      <c r="S11" s="400"/>
    </row>
    <row r="12" spans="2:19" s="36" customFormat="1" x14ac:dyDescent="0.3">
      <c r="B12" s="396"/>
      <c r="C12" s="32" t="s">
        <v>4</v>
      </c>
      <c r="D12" s="33">
        <v>21946604</v>
      </c>
      <c r="E12" s="33">
        <v>400948.81999999931</v>
      </c>
      <c r="F12" s="33">
        <f t="shared" si="0"/>
        <v>22347552.82</v>
      </c>
      <c r="G12" s="33">
        <v>730159.89999999991</v>
      </c>
      <c r="H12" s="33">
        <f t="shared" si="1"/>
        <v>21617392.920000002</v>
      </c>
      <c r="I12" s="34"/>
      <c r="J12" s="34">
        <v>4505001.0299999937</v>
      </c>
      <c r="K12" s="33">
        <v>20938182.569999989</v>
      </c>
      <c r="L12" s="35">
        <f t="shared" si="2"/>
        <v>4651138.0366913397</v>
      </c>
      <c r="N12" s="44">
        <v>0.115</v>
      </c>
      <c r="O12" s="35">
        <f t="shared" si="3"/>
        <v>534880.87421950407</v>
      </c>
      <c r="P12" s="32"/>
      <c r="Q12" s="399"/>
      <c r="R12" s="400"/>
      <c r="S12" s="400"/>
    </row>
    <row r="13" spans="2:19" s="36" customFormat="1" x14ac:dyDescent="0.3">
      <c r="B13" s="396"/>
      <c r="C13" s="32" t="s">
        <v>5</v>
      </c>
      <c r="D13" s="33">
        <v>23965653</v>
      </c>
      <c r="E13" s="33">
        <v>398746.52799999953</v>
      </c>
      <c r="F13" s="33">
        <f t="shared" si="0"/>
        <v>24364399.528000001</v>
      </c>
      <c r="G13" s="33">
        <v>926150.45000000007</v>
      </c>
      <c r="H13" s="33">
        <f t="shared" si="1"/>
        <v>23438249.078000002</v>
      </c>
      <c r="I13" s="34"/>
      <c r="J13" s="34">
        <v>4723919.59</v>
      </c>
      <c r="K13" s="33">
        <v>22576250.419999998</v>
      </c>
      <c r="L13" s="35">
        <f t="shared" si="2"/>
        <v>4904286.6691794805</v>
      </c>
      <c r="N13" s="44">
        <v>0.115</v>
      </c>
      <c r="O13" s="35">
        <f t="shared" si="3"/>
        <v>563992.96695564024</v>
      </c>
      <c r="P13" s="32"/>
      <c r="Q13" s="399"/>
      <c r="R13" s="400"/>
      <c r="S13" s="400"/>
    </row>
    <row r="14" spans="2:19" x14ac:dyDescent="0.3">
      <c r="B14" s="396"/>
      <c r="C14" s="5" t="s">
        <v>6</v>
      </c>
      <c r="D14" s="6">
        <v>30221158</v>
      </c>
      <c r="E14" s="7">
        <v>397814.73099999904</v>
      </c>
      <c r="F14" s="8">
        <f t="shared" si="0"/>
        <v>30618972.730999999</v>
      </c>
      <c r="G14" s="7">
        <v>802163.64999999991</v>
      </c>
      <c r="H14" s="6">
        <f t="shared" si="1"/>
        <v>29816809.081</v>
      </c>
      <c r="I14" s="20"/>
      <c r="J14" s="20">
        <v>5617866.7200000025</v>
      </c>
      <c r="K14" s="6">
        <v>28984795.890000023</v>
      </c>
      <c r="L14" s="29">
        <f t="shared" si="2"/>
        <v>5779128.4806161048</v>
      </c>
      <c r="N14" s="43">
        <v>9.9019999999999997E-2</v>
      </c>
      <c r="O14" s="29">
        <f t="shared" si="3"/>
        <v>572249.30215060664</v>
      </c>
      <c r="P14" s="5"/>
    </row>
    <row r="15" spans="2:19" x14ac:dyDescent="0.3">
      <c r="B15" s="396"/>
      <c r="C15" s="5" t="s">
        <v>7</v>
      </c>
      <c r="D15" s="6">
        <v>26429798</v>
      </c>
      <c r="E15" s="7">
        <v>401224.85099999921</v>
      </c>
      <c r="F15" s="8">
        <f t="shared" si="0"/>
        <v>26831022.851</v>
      </c>
      <c r="G15" s="7">
        <v>828694.45</v>
      </c>
      <c r="H15" s="6">
        <f t="shared" si="1"/>
        <v>26002328.401000001</v>
      </c>
      <c r="I15" s="20"/>
      <c r="J15" s="20">
        <v>5171907.6600000039</v>
      </c>
      <c r="K15" s="6">
        <v>25378799.43</v>
      </c>
      <c r="L15" s="29">
        <f t="shared" si="2"/>
        <v>5298975.6984326961</v>
      </c>
      <c r="N15" s="43">
        <v>0.10348</v>
      </c>
      <c r="O15" s="29">
        <f t="shared" si="3"/>
        <v>548338.00527381536</v>
      </c>
      <c r="P15" s="5"/>
    </row>
    <row r="16" spans="2:19" x14ac:dyDescent="0.3">
      <c r="B16" s="396"/>
      <c r="C16" s="5" t="s">
        <v>8</v>
      </c>
      <c r="D16" s="6">
        <v>26429798</v>
      </c>
      <c r="E16" s="7">
        <v>329425.06698999926</v>
      </c>
      <c r="F16" s="8">
        <f t="shared" si="0"/>
        <v>26759223.066989999</v>
      </c>
      <c r="G16" s="7">
        <v>844926.70000000019</v>
      </c>
      <c r="H16" s="6">
        <f t="shared" si="1"/>
        <v>25914296.36699</v>
      </c>
      <c r="I16" s="20"/>
      <c r="J16" s="20">
        <v>4845064.0299999993</v>
      </c>
      <c r="K16" s="6">
        <v>19937957.729999997</v>
      </c>
      <c r="L16" s="29">
        <f t="shared" si="2"/>
        <v>6297356.3737444496</v>
      </c>
      <c r="N16" s="43">
        <v>0.12176000000000001</v>
      </c>
      <c r="O16" s="29">
        <f t="shared" si="3"/>
        <v>766766.11206712422</v>
      </c>
      <c r="P16" s="5"/>
    </row>
    <row r="17" spans="2:17" x14ac:dyDescent="0.3">
      <c r="B17" s="396"/>
      <c r="C17" s="5" t="s">
        <v>9</v>
      </c>
      <c r="D17" s="6">
        <v>22166886</v>
      </c>
      <c r="E17" s="7">
        <v>204706.774</v>
      </c>
      <c r="F17" s="8">
        <f t="shared" si="0"/>
        <v>22371592.774</v>
      </c>
      <c r="G17" s="7">
        <v>892711.39999999991</v>
      </c>
      <c r="H17" s="6">
        <f t="shared" si="1"/>
        <v>21478881.374000002</v>
      </c>
      <c r="I17" s="20"/>
      <c r="J17" s="20">
        <v>4965987.8100000005</v>
      </c>
      <c r="K17" s="6">
        <v>20936299.709999993</v>
      </c>
      <c r="L17" s="29">
        <f t="shared" si="2"/>
        <v>5094685.5248147435</v>
      </c>
      <c r="N17" s="43">
        <v>0.12806000000000001</v>
      </c>
      <c r="O17" s="29">
        <f t="shared" si="3"/>
        <v>652425.42830777611</v>
      </c>
      <c r="P17" s="5"/>
    </row>
    <row r="18" spans="2:17" x14ac:dyDescent="0.3">
      <c r="B18" s="396"/>
      <c r="C18" s="5" t="s">
        <v>10</v>
      </c>
      <c r="D18" s="6">
        <v>23120657</v>
      </c>
      <c r="E18" s="7">
        <v>130234.03299999965</v>
      </c>
      <c r="F18" s="8">
        <f t="shared" si="0"/>
        <v>23250891.033</v>
      </c>
      <c r="G18" s="7">
        <v>884004.20000000019</v>
      </c>
      <c r="H18" s="6">
        <f t="shared" si="1"/>
        <v>22366886.833000001</v>
      </c>
      <c r="I18" s="20"/>
      <c r="J18" s="20">
        <v>4871933.7199999932</v>
      </c>
      <c r="K18" s="6">
        <v>21536398.249999981</v>
      </c>
      <c r="L18" s="29">
        <f t="shared" si="2"/>
        <v>5059805.6791189145</v>
      </c>
      <c r="N18" s="43">
        <v>0.11705</v>
      </c>
      <c r="O18" s="29">
        <f t="shared" si="3"/>
        <v>592250.25474086893</v>
      </c>
      <c r="P18" s="5"/>
    </row>
    <row r="19" spans="2:17" x14ac:dyDescent="0.3">
      <c r="B19" s="396"/>
      <c r="C19" s="9" t="s">
        <v>11</v>
      </c>
      <c r="D19" s="10">
        <v>27610230</v>
      </c>
      <c r="E19" s="11">
        <v>49908.965999999913</v>
      </c>
      <c r="F19" s="14">
        <f t="shared" si="0"/>
        <v>27660138.965999998</v>
      </c>
      <c r="G19" s="11">
        <v>718477.7</v>
      </c>
      <c r="H19" s="10">
        <f t="shared" si="1"/>
        <v>26941661.265999999</v>
      </c>
      <c r="I19" s="21"/>
      <c r="J19" s="21">
        <v>5085360.3000000007</v>
      </c>
      <c r="K19" s="10">
        <v>25998319.370000016</v>
      </c>
      <c r="L19" s="30">
        <f t="shared" si="2"/>
        <v>5269881.2053313144</v>
      </c>
      <c r="N19" s="45">
        <v>0.10557999999999999</v>
      </c>
      <c r="O19" s="30">
        <f t="shared" si="3"/>
        <v>556394.05765888013</v>
      </c>
      <c r="P19" s="9"/>
    </row>
    <row r="20" spans="2:17" ht="15" thickBot="1" x14ac:dyDescent="0.35">
      <c r="H20" s="31">
        <f>SUM(H8:H10)+SUM(H14:H19)</f>
        <v>227854274.59099001</v>
      </c>
      <c r="J20" s="31">
        <f>SUM(J8:J10)+SUM(J14:J19)</f>
        <v>46999660.170000002</v>
      </c>
      <c r="K20" s="31">
        <f>SUM(K8:K10)+SUM(K14:K19)</f>
        <v>216119141.61000001</v>
      </c>
      <c r="L20" s="95">
        <f>SUM(L8:L10)+SUM(L14:L19)</f>
        <v>49687359.329424083</v>
      </c>
      <c r="O20" s="31">
        <f>SUM(O8:O10)+SUM(O14:O19)</f>
        <v>5568978.2506210906</v>
      </c>
      <c r="P20" s="96">
        <f>O20/L20</f>
        <v>0.11208038273274121</v>
      </c>
    </row>
    <row r="21" spans="2:17" ht="15" thickTop="1" x14ac:dyDescent="0.3">
      <c r="J21" s="38">
        <f>J20/K20</f>
        <v>0.21747106628256796</v>
      </c>
    </row>
    <row r="22" spans="2:17" x14ac:dyDescent="0.3">
      <c r="B22" s="397" t="s">
        <v>49</v>
      </c>
      <c r="C22" s="398"/>
      <c r="D22" s="398"/>
      <c r="E22" s="398"/>
      <c r="F22" s="398"/>
    </row>
    <row r="23" spans="2:17" hidden="1" x14ac:dyDescent="0.3"/>
    <row r="24" spans="2:17" hidden="1" x14ac:dyDescent="0.3">
      <c r="K24" s="18"/>
    </row>
    <row r="25" spans="2:17" ht="28.8" hidden="1" x14ac:dyDescent="0.3">
      <c r="D25" s="48" t="s">
        <v>38</v>
      </c>
      <c r="E25" s="48" t="s">
        <v>36</v>
      </c>
      <c r="F25" s="58" t="s">
        <v>37</v>
      </c>
      <c r="H25" s="46" t="s">
        <v>39</v>
      </c>
      <c r="I25" s="46" t="s">
        <v>40</v>
      </c>
      <c r="J25" s="46" t="s">
        <v>41</v>
      </c>
      <c r="K25" s="18"/>
      <c r="L25" s="65" t="s">
        <v>42</v>
      </c>
      <c r="M25" s="65" t="s">
        <v>43</v>
      </c>
      <c r="N25" s="46" t="s">
        <v>41</v>
      </c>
      <c r="O25" s="18"/>
      <c r="P25" s="65" t="s">
        <v>44</v>
      </c>
    </row>
    <row r="26" spans="2:17" s="36" customFormat="1" hidden="1" x14ac:dyDescent="0.3">
      <c r="B26" s="403">
        <v>2020</v>
      </c>
      <c r="C26" s="49" t="s">
        <v>3</v>
      </c>
      <c r="D26" s="51">
        <f>-3083736.49</f>
        <v>-3083736.49</v>
      </c>
      <c r="E26" s="52">
        <v>175466.41</v>
      </c>
      <c r="F26" s="59">
        <f>D26-E26</f>
        <v>-3259202.9000000004</v>
      </c>
      <c r="H26" s="66">
        <v>16588195.350000011</v>
      </c>
      <c r="I26" s="41">
        <f>150.57/1000</f>
        <v>0.15056999999999998</v>
      </c>
      <c r="J26" s="40">
        <f>H26*I26</f>
        <v>2497684.5738495016</v>
      </c>
      <c r="L26" s="66">
        <v>4415731.7299999911</v>
      </c>
      <c r="M26" s="36">
        <f>115/1000</f>
        <v>0.115</v>
      </c>
      <c r="N26" s="57">
        <f>L26*M26</f>
        <v>507809.14894999901</v>
      </c>
      <c r="P26" s="57">
        <f>J26+N26</f>
        <v>3005493.7227995005</v>
      </c>
      <c r="Q26" s="57">
        <f>P26+D26</f>
        <v>-78242.767200499773</v>
      </c>
    </row>
    <row r="27" spans="2:17" s="36" customFormat="1" hidden="1" x14ac:dyDescent="0.3">
      <c r="B27" s="403"/>
      <c r="C27" s="32" t="s">
        <v>4</v>
      </c>
      <c r="D27" s="53">
        <v>-3026440.17</v>
      </c>
      <c r="E27" s="54">
        <v>148738.74</v>
      </c>
      <c r="F27" s="60">
        <f>D27-E27</f>
        <v>-3175178.91</v>
      </c>
      <c r="H27" s="66">
        <v>16433181.539999995</v>
      </c>
      <c r="I27" s="41">
        <f>147.18/1000</f>
        <v>0.14718000000000001</v>
      </c>
      <c r="J27" s="40">
        <f>H27*I27</f>
        <v>2418635.6590571995</v>
      </c>
      <c r="L27" s="66">
        <v>4505001.0299999937</v>
      </c>
      <c r="M27" s="36">
        <f>115/1000</f>
        <v>0.115</v>
      </c>
      <c r="N27" s="57">
        <f t="shared" ref="N27:N28" si="4">L27*M27</f>
        <v>518075.11844999931</v>
      </c>
      <c r="P27" s="57">
        <f t="shared" ref="P27:P28" si="5">J27+N27</f>
        <v>2936710.777507199</v>
      </c>
      <c r="Q27" s="57">
        <f>P27+D27</f>
        <v>-89729.392492800951</v>
      </c>
    </row>
    <row r="28" spans="2:17" s="36" customFormat="1" hidden="1" x14ac:dyDescent="0.3">
      <c r="B28" s="403"/>
      <c r="C28" s="50" t="s">
        <v>5</v>
      </c>
      <c r="D28" s="55">
        <v>-2942457.22</v>
      </c>
      <c r="E28" s="56">
        <v>65954.19</v>
      </c>
      <c r="F28" s="61">
        <f>D28-E28</f>
        <v>-3008411.41</v>
      </c>
      <c r="H28" s="66">
        <v>17852330.829999998</v>
      </c>
      <c r="I28" s="41">
        <f>128.4/1000</f>
        <v>0.12840000000000001</v>
      </c>
      <c r="J28" s="40">
        <f>H28*I28</f>
        <v>2292239.2785720001</v>
      </c>
      <c r="L28" s="66">
        <v>4723919.59</v>
      </c>
      <c r="M28" s="36">
        <f>115/1000</f>
        <v>0.115</v>
      </c>
      <c r="N28" s="57">
        <f t="shared" si="4"/>
        <v>543250.75285000005</v>
      </c>
      <c r="P28" s="57">
        <f t="shared" si="5"/>
        <v>2835490.0314220004</v>
      </c>
      <c r="Q28" s="57">
        <f>P28+D28</f>
        <v>-106967.18857799983</v>
      </c>
    </row>
    <row r="29" spans="2:17" ht="15" hidden="1" thickBot="1" x14ac:dyDescent="0.35">
      <c r="D29" s="64">
        <f>SUM(D26:D28)</f>
        <v>-9052633.8800000008</v>
      </c>
      <c r="E29" s="64">
        <f>SUM(E26:E28)</f>
        <v>390159.34</v>
      </c>
      <c r="H29"/>
      <c r="I29"/>
      <c r="J29"/>
      <c r="L29"/>
      <c r="N29"/>
      <c r="Q29" s="64">
        <f>SUM(Q26:Q28)</f>
        <v>-274939.34827130055</v>
      </c>
    </row>
    <row r="30" spans="2:17" hidden="1" x14ac:dyDescent="0.3">
      <c r="D30" s="67"/>
      <c r="E30" s="63"/>
      <c r="H30"/>
      <c r="I30"/>
      <c r="J30"/>
      <c r="L30"/>
      <c r="N30"/>
      <c r="Q30" s="63"/>
    </row>
    <row r="31" spans="2:17" s="98" customFormat="1" ht="28.8" x14ac:dyDescent="0.3">
      <c r="D31" s="97" t="s">
        <v>38</v>
      </c>
      <c r="E31" s="97" t="s">
        <v>36</v>
      </c>
      <c r="F31" s="97" t="s">
        <v>37</v>
      </c>
      <c r="H31" s="97" t="s">
        <v>39</v>
      </c>
      <c r="I31" s="97" t="s">
        <v>40</v>
      </c>
      <c r="J31" s="97" t="s">
        <v>41</v>
      </c>
      <c r="K31" s="99"/>
      <c r="L31" s="97" t="s">
        <v>42</v>
      </c>
      <c r="M31" s="97" t="s">
        <v>43</v>
      </c>
      <c r="N31" s="97" t="s">
        <v>41</v>
      </c>
      <c r="O31" s="99"/>
      <c r="P31" s="97" t="s">
        <v>44</v>
      </c>
      <c r="Q31" s="97" t="s">
        <v>45</v>
      </c>
    </row>
    <row r="32" spans="2:17" x14ac:dyDescent="0.3">
      <c r="B32" s="396">
        <v>2020</v>
      </c>
      <c r="C32" s="1" t="s">
        <v>3</v>
      </c>
      <c r="D32" s="71">
        <f>-3083736.49</f>
        <v>-3083736.49</v>
      </c>
      <c r="E32" s="72">
        <v>175466.41</v>
      </c>
      <c r="F32" s="73">
        <f>D32-E32</f>
        <v>-3259202.9000000004</v>
      </c>
      <c r="H32" s="3">
        <f>H11-L11</f>
        <v>17131024.538211055</v>
      </c>
      <c r="I32" s="74">
        <f>150.57/1000</f>
        <v>0.15056999999999998</v>
      </c>
      <c r="J32" s="71">
        <f>H32*I32</f>
        <v>2579418.3647184381</v>
      </c>
      <c r="L32" s="75">
        <f>L11</f>
        <v>4560231.3587889448</v>
      </c>
      <c r="M32" s="88">
        <f>115/1000</f>
        <v>0.115</v>
      </c>
      <c r="N32" s="73">
        <f>L32*M32</f>
        <v>524426.60626072867</v>
      </c>
      <c r="P32" s="73">
        <f>J32+N32</f>
        <v>3103844.9709791667</v>
      </c>
      <c r="Q32" s="73">
        <f>P32+D32</f>
        <v>20108.480979166459</v>
      </c>
    </row>
    <row r="33" spans="2:17" x14ac:dyDescent="0.3">
      <c r="B33" s="396"/>
      <c r="C33" s="5" t="s">
        <v>4</v>
      </c>
      <c r="D33" s="76">
        <v>-3026440.17</v>
      </c>
      <c r="E33" s="77">
        <v>148738.74</v>
      </c>
      <c r="F33" s="78">
        <f>D33-E33</f>
        <v>-3175178.91</v>
      </c>
      <c r="H33" s="7">
        <f t="shared" ref="H33:H34" si="6">H12-L12</f>
        <v>16966254.883308664</v>
      </c>
      <c r="I33" s="79">
        <f>147.18/1000</f>
        <v>0.14718000000000001</v>
      </c>
      <c r="J33" s="76">
        <f>H33*I33</f>
        <v>2497093.3937253691</v>
      </c>
      <c r="L33" s="80">
        <f t="shared" ref="L33:L34" si="7">L12</f>
        <v>4651138.0366913397</v>
      </c>
      <c r="M33" s="89">
        <f>115/1000</f>
        <v>0.115</v>
      </c>
      <c r="N33" s="78">
        <f t="shared" ref="N33:N34" si="8">L33*M33</f>
        <v>534880.87421950407</v>
      </c>
      <c r="P33" s="78">
        <f t="shared" ref="P33:P34" si="9">J33+N33</f>
        <v>3031974.2679448733</v>
      </c>
      <c r="Q33" s="78">
        <f>P33+D33</f>
        <v>5534.0979448733851</v>
      </c>
    </row>
    <row r="34" spans="2:17" x14ac:dyDescent="0.3">
      <c r="B34" s="396"/>
      <c r="C34" s="9" t="s">
        <v>5</v>
      </c>
      <c r="D34" s="81">
        <v>-2942457.22</v>
      </c>
      <c r="E34" s="82">
        <v>65954.19</v>
      </c>
      <c r="F34" s="83">
        <f>D34-E34</f>
        <v>-3008411.41</v>
      </c>
      <c r="H34" s="11">
        <f t="shared" si="6"/>
        <v>18533962.408820521</v>
      </c>
      <c r="I34" s="84">
        <f>128.4/1000</f>
        <v>0.12840000000000001</v>
      </c>
      <c r="J34" s="81">
        <f>H34*I34</f>
        <v>2379760.773292555</v>
      </c>
      <c r="L34" s="85">
        <f t="shared" si="7"/>
        <v>4904286.6691794805</v>
      </c>
      <c r="M34" s="90">
        <f>115/1000</f>
        <v>0.115</v>
      </c>
      <c r="N34" s="83">
        <f t="shared" si="8"/>
        <v>563992.96695564024</v>
      </c>
      <c r="P34" s="83">
        <f t="shared" si="9"/>
        <v>2943753.7402481954</v>
      </c>
      <c r="Q34" s="83">
        <f>P34+D34</f>
        <v>1296.5202481951565</v>
      </c>
    </row>
    <row r="35" spans="2:17" ht="15" thickBot="1" x14ac:dyDescent="0.35">
      <c r="D35" s="64">
        <f>SUM(D32:D34)</f>
        <v>-9052633.8800000008</v>
      </c>
      <c r="E35" s="64">
        <f>SUM(E32:E34)</f>
        <v>390159.34</v>
      </c>
      <c r="F35" s="64">
        <f>SUM(F32:F34)</f>
        <v>-9442793.2200000007</v>
      </c>
      <c r="H35" s="68">
        <f t="shared" ref="H35:J35" si="10">SUM(H32:H34)</f>
        <v>52631241.830340236</v>
      </c>
      <c r="I35" s="64"/>
      <c r="J35" s="64">
        <f t="shared" si="10"/>
        <v>7456272.5317363627</v>
      </c>
      <c r="L35" s="68">
        <f t="shared" ref="L35:P35" si="11">SUM(L32:L34)</f>
        <v>14115656.064659765</v>
      </c>
      <c r="M35" s="64"/>
      <c r="N35" s="64">
        <f t="shared" si="11"/>
        <v>1623300.4474358731</v>
      </c>
      <c r="P35" s="68">
        <f t="shared" si="11"/>
        <v>9079572.9791722354</v>
      </c>
      <c r="Q35" s="86">
        <f>SUM(Q32:Q34)</f>
        <v>26939.099172235001</v>
      </c>
    </row>
    <row r="36" spans="2:17" ht="15" thickTop="1" x14ac:dyDescent="0.3">
      <c r="H36"/>
      <c r="I36"/>
      <c r="J36"/>
      <c r="L36"/>
      <c r="N36"/>
    </row>
    <row r="37" spans="2:17" x14ac:dyDescent="0.3">
      <c r="H37"/>
      <c r="I37"/>
      <c r="J37"/>
      <c r="L37"/>
      <c r="N37"/>
    </row>
    <row r="38" spans="2:17" x14ac:dyDescent="0.3">
      <c r="H38"/>
      <c r="I38"/>
      <c r="J38"/>
      <c r="L38"/>
      <c r="N38"/>
    </row>
  </sheetData>
  <mergeCells count="7">
    <mergeCell ref="B32:B34"/>
    <mergeCell ref="B22:F22"/>
    <mergeCell ref="B4:F4"/>
    <mergeCell ref="Q11:S13"/>
    <mergeCell ref="J5:K5"/>
    <mergeCell ref="B8:B19"/>
    <mergeCell ref="B26:B28"/>
  </mergeCells>
  <pageMargins left="0.7" right="0.7" top="0.75" bottom="0.75" header="0.3" footer="0.3"/>
  <pageSetup orientation="portrait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C103"/>
  <sheetViews>
    <sheetView zoomScaleNormal="100" workbookViewId="0">
      <selection activeCell="G5" sqref="G5"/>
    </sheetView>
  </sheetViews>
  <sheetFormatPr defaultRowHeight="14.4" x14ac:dyDescent="0.3"/>
  <cols>
    <col min="1" max="1" width="2.5546875" customWidth="1"/>
    <col min="2" max="2" width="12.88671875" customWidth="1"/>
    <col min="3" max="3" width="23.109375" bestFit="1" customWidth="1"/>
    <col min="4" max="5" width="17.5546875" customWidth="1"/>
    <col min="6" max="6" width="18.5546875" customWidth="1"/>
    <col min="7" max="7" width="18.5546875" style="39" customWidth="1"/>
    <col min="8" max="13" width="17.5546875" customWidth="1"/>
    <col min="15" max="15" width="13.109375" bestFit="1" customWidth="1"/>
    <col min="16" max="16" width="14" bestFit="1" customWidth="1"/>
    <col min="17" max="17" width="12.88671875" bestFit="1" customWidth="1"/>
    <col min="18" max="18" width="14" bestFit="1" customWidth="1"/>
    <col min="19" max="19" width="11.109375" bestFit="1" customWidth="1"/>
    <col min="21" max="21" width="17.109375" bestFit="1" customWidth="1"/>
    <col min="22" max="22" width="13.44140625" bestFit="1" customWidth="1"/>
  </cols>
  <sheetData>
    <row r="1" spans="1:29" x14ac:dyDescent="0.3">
      <c r="A1" t="s">
        <v>520</v>
      </c>
    </row>
    <row r="2" spans="1:29" x14ac:dyDescent="0.3">
      <c r="B2" s="302" t="s">
        <v>463</v>
      </c>
    </row>
    <row r="4" spans="1:29" ht="28.8" x14ac:dyDescent="0.3">
      <c r="C4" s="300" t="s">
        <v>462</v>
      </c>
      <c r="D4" s="300" t="s">
        <v>461</v>
      </c>
      <c r="E4" s="300" t="s">
        <v>460</v>
      </c>
      <c r="F4" s="300" t="s">
        <v>459</v>
      </c>
      <c r="G4" s="301" t="s">
        <v>458</v>
      </c>
      <c r="H4" s="300" t="s">
        <v>457</v>
      </c>
    </row>
    <row r="5" spans="1:29" x14ac:dyDescent="0.3">
      <c r="B5" s="16">
        <v>1588</v>
      </c>
      <c r="C5" s="16" t="s">
        <v>456</v>
      </c>
      <c r="D5" s="294">
        <f>F16+F20</f>
        <v>34665.373378494347</v>
      </c>
      <c r="E5" s="294">
        <f>E51+F51</f>
        <v>-20803.53766739698</v>
      </c>
      <c r="F5" s="364">
        <f>H67</f>
        <v>0</v>
      </c>
      <c r="G5" s="365">
        <f>-G6</f>
        <v>-3329.3754322983332</v>
      </c>
      <c r="H5" s="294">
        <f>SUM(D5:G5)</f>
        <v>10532.460278799033</v>
      </c>
    </row>
    <row r="6" spans="1:29" x14ac:dyDescent="0.3">
      <c r="B6" s="16">
        <v>1589</v>
      </c>
      <c r="C6" s="16" t="s">
        <v>456</v>
      </c>
      <c r="F6" s="294">
        <f>H76</f>
        <v>0</v>
      </c>
      <c r="G6" s="365">
        <f>D96</f>
        <v>3329.3754322983332</v>
      </c>
      <c r="H6" s="294">
        <f>SUM(D6:G6)</f>
        <v>3329.3754322983332</v>
      </c>
    </row>
    <row r="7" spans="1:29" x14ac:dyDescent="0.3">
      <c r="G7" s="294"/>
    </row>
    <row r="8" spans="1:29" x14ac:dyDescent="0.3">
      <c r="B8" s="179"/>
      <c r="C8" s="179"/>
      <c r="D8" s="179"/>
      <c r="G8"/>
      <c r="U8" s="39"/>
      <c r="V8" s="39"/>
      <c r="W8" s="39"/>
      <c r="X8" s="39"/>
      <c r="Y8" s="39"/>
      <c r="Z8" s="39"/>
      <c r="AA8" s="39"/>
      <c r="AB8" s="39"/>
      <c r="AC8" s="39"/>
    </row>
    <row r="9" spans="1:29" x14ac:dyDescent="0.3">
      <c r="B9" s="401" t="s">
        <v>455</v>
      </c>
      <c r="C9" s="449"/>
      <c r="D9" s="449"/>
      <c r="E9" s="449"/>
      <c r="F9" s="449"/>
      <c r="G9" s="449"/>
      <c r="H9" s="402"/>
    </row>
    <row r="10" spans="1:29" x14ac:dyDescent="0.3">
      <c r="G10"/>
    </row>
    <row r="11" spans="1:29" x14ac:dyDescent="0.3">
      <c r="B11" s="292" t="s">
        <v>454</v>
      </c>
      <c r="C11" s="292" t="s">
        <v>445</v>
      </c>
      <c r="D11" s="299" t="s">
        <v>453</v>
      </c>
      <c r="E11" s="299" t="s">
        <v>452</v>
      </c>
      <c r="F11" s="299" t="s">
        <v>363</v>
      </c>
      <c r="G11"/>
    </row>
    <row r="12" spans="1:29" x14ac:dyDescent="0.3">
      <c r="G12"/>
    </row>
    <row r="13" spans="1:29" x14ac:dyDescent="0.3">
      <c r="C13" t="s">
        <v>451</v>
      </c>
      <c r="D13" s="294">
        <v>178810.90606798959</v>
      </c>
      <c r="E13" s="294">
        <v>173347.23083463969</v>
      </c>
      <c r="F13" s="293">
        <f>D13-E13</f>
        <v>5463.6752333499026</v>
      </c>
      <c r="G13"/>
    </row>
    <row r="14" spans="1:29" x14ac:dyDescent="0.3">
      <c r="C14" t="s">
        <v>450</v>
      </c>
      <c r="D14" s="294">
        <v>31418.454344329701</v>
      </c>
      <c r="E14" s="294">
        <v>26159.26992572163</v>
      </c>
      <c r="F14" s="293">
        <f t="shared" ref="F14:F15" si="0">D14-E14</f>
        <v>5259.1844186080707</v>
      </c>
      <c r="G14"/>
      <c r="J14" s="298"/>
    </row>
    <row r="15" spans="1:29" x14ac:dyDescent="0.3">
      <c r="C15" t="s">
        <v>449</v>
      </c>
      <c r="D15" s="294">
        <v>-181841.14235584671</v>
      </c>
      <c r="E15" s="294">
        <v>-203978.328004746</v>
      </c>
      <c r="F15" s="293">
        <f t="shared" si="0"/>
        <v>22137.185648899293</v>
      </c>
      <c r="G15"/>
    </row>
    <row r="16" spans="1:29" x14ac:dyDescent="0.3">
      <c r="D16" s="296">
        <f>SUM(D12:D15)</f>
        <v>28388.2180564726</v>
      </c>
      <c r="E16" s="296">
        <f>SUM(E12:E15)</f>
        <v>-4471.8272443846799</v>
      </c>
      <c r="F16" s="295">
        <f>SUM(F12:F15)</f>
        <v>32860.045300857266</v>
      </c>
      <c r="G16"/>
    </row>
    <row r="17" spans="2:7" x14ac:dyDescent="0.3">
      <c r="D17" s="297"/>
      <c r="E17" s="297"/>
      <c r="F17" s="297"/>
      <c r="G17"/>
    </row>
    <row r="18" spans="2:7" x14ac:dyDescent="0.3">
      <c r="C18" t="s">
        <v>448</v>
      </c>
      <c r="D18" s="294">
        <v>-2265.4432708308159</v>
      </c>
      <c r="E18" s="294">
        <v>-3369.4965507263114</v>
      </c>
      <c r="F18" s="293">
        <f t="shared" ref="F18:F19" si="1">D18-E18</f>
        <v>1104.0532798954955</v>
      </c>
      <c r="G18"/>
    </row>
    <row r="19" spans="2:7" x14ac:dyDescent="0.3">
      <c r="C19" t="s">
        <v>447</v>
      </c>
      <c r="D19" s="294">
        <v>5847.0114450322926</v>
      </c>
      <c r="E19" s="294">
        <v>5145.7366472907088</v>
      </c>
      <c r="F19" s="293">
        <f t="shared" si="1"/>
        <v>701.27479774158382</v>
      </c>
      <c r="G19"/>
    </row>
    <row r="20" spans="2:7" x14ac:dyDescent="0.3">
      <c r="D20" s="296">
        <f>SUM(D18:D19)</f>
        <v>3581.5681742014767</v>
      </c>
      <c r="E20" s="296">
        <f>SUM(E18:E19)</f>
        <v>1776.2400965643974</v>
      </c>
      <c r="F20" s="295">
        <f>SUM(F18:F19)</f>
        <v>1805.3280776370793</v>
      </c>
      <c r="G20"/>
    </row>
    <row r="21" spans="2:7" x14ac:dyDescent="0.3">
      <c r="D21" s="294"/>
      <c r="E21" s="294"/>
      <c r="F21" s="293"/>
      <c r="G21"/>
    </row>
    <row r="22" spans="2:7" x14ac:dyDescent="0.3">
      <c r="G22"/>
    </row>
    <row r="23" spans="2:7" x14ac:dyDescent="0.3">
      <c r="B23" s="292" t="s">
        <v>446</v>
      </c>
      <c r="C23" s="292" t="s">
        <v>445</v>
      </c>
      <c r="G23"/>
    </row>
    <row r="24" spans="2:7" x14ac:dyDescent="0.3">
      <c r="G24"/>
    </row>
    <row r="25" spans="2:7" x14ac:dyDescent="0.3">
      <c r="E25" s="450" t="s">
        <v>519</v>
      </c>
      <c r="F25" s="450"/>
      <c r="G25"/>
    </row>
    <row r="26" spans="2:7" x14ac:dyDescent="0.3">
      <c r="E26" s="46" t="s">
        <v>444</v>
      </c>
      <c r="F26" s="46" t="s">
        <v>443</v>
      </c>
      <c r="G26"/>
    </row>
    <row r="27" spans="2:7" x14ac:dyDescent="0.3">
      <c r="B27" t="s">
        <v>442</v>
      </c>
      <c r="E27" s="280">
        <v>1946706.6739603099</v>
      </c>
      <c r="F27" s="214">
        <v>110224.99960130293</v>
      </c>
      <c r="G27"/>
    </row>
    <row r="28" spans="2:7" x14ac:dyDescent="0.3">
      <c r="E28" s="280"/>
      <c r="G28"/>
    </row>
    <row r="29" spans="2:7" x14ac:dyDescent="0.3">
      <c r="B29" t="s">
        <v>441</v>
      </c>
      <c r="E29" s="280">
        <v>1207691.8593915841</v>
      </c>
      <c r="F29" s="214">
        <v>66797.227300553888</v>
      </c>
      <c r="G29"/>
    </row>
    <row r="30" spans="2:7" x14ac:dyDescent="0.3">
      <c r="B30" s="287" t="s">
        <v>440</v>
      </c>
      <c r="E30" s="291">
        <v>730449.01643780014</v>
      </c>
      <c r="F30" s="290">
        <v>40827.321868400009</v>
      </c>
      <c r="G30"/>
    </row>
    <row r="31" spans="2:7" x14ac:dyDescent="0.3">
      <c r="B31" s="287"/>
      <c r="E31" s="280"/>
      <c r="G31"/>
    </row>
    <row r="32" spans="2:7" x14ac:dyDescent="0.3">
      <c r="B32" s="289" t="s">
        <v>439</v>
      </c>
      <c r="E32" s="288">
        <v>1938140.8758293842</v>
      </c>
      <c r="F32" s="288">
        <v>107624.5491689539</v>
      </c>
      <c r="G32"/>
    </row>
    <row r="33" spans="2:7" x14ac:dyDescent="0.3">
      <c r="B33" s="287"/>
      <c r="E33" s="280"/>
      <c r="F33" s="280"/>
      <c r="G33"/>
    </row>
    <row r="34" spans="2:7" ht="15" thickBot="1" x14ac:dyDescent="0.35">
      <c r="B34" s="286" t="s">
        <v>438</v>
      </c>
      <c r="E34" s="278">
        <v>8565.7981309280731</v>
      </c>
      <c r="F34" s="278">
        <v>2600.4504323490255</v>
      </c>
      <c r="G34"/>
    </row>
    <row r="35" spans="2:7" ht="15" thickTop="1" x14ac:dyDescent="0.3">
      <c r="E35" s="280"/>
      <c r="F35" s="280"/>
      <c r="G35"/>
    </row>
    <row r="36" spans="2:7" x14ac:dyDescent="0.3">
      <c r="B36" t="s">
        <v>437</v>
      </c>
      <c r="E36" s="285">
        <v>0</v>
      </c>
      <c r="F36" s="285">
        <v>0</v>
      </c>
      <c r="G36"/>
    </row>
    <row r="37" spans="2:7" x14ac:dyDescent="0.3">
      <c r="E37" s="280"/>
      <c r="F37" s="280"/>
      <c r="G37"/>
    </row>
    <row r="38" spans="2:7" x14ac:dyDescent="0.3">
      <c r="B38" t="s">
        <v>436</v>
      </c>
      <c r="E38" s="284">
        <v>0</v>
      </c>
      <c r="F38" s="284">
        <v>0</v>
      </c>
      <c r="G38"/>
    </row>
    <row r="39" spans="2:7" x14ac:dyDescent="0.3">
      <c r="E39" s="280"/>
      <c r="F39" s="280"/>
      <c r="G39"/>
    </row>
    <row r="40" spans="2:7" ht="15" thickBot="1" x14ac:dyDescent="0.35">
      <c r="B40" s="283" t="s">
        <v>435</v>
      </c>
      <c r="E40" s="278">
        <v>0</v>
      </c>
      <c r="F40" s="278">
        <v>0</v>
      </c>
      <c r="G40"/>
    </row>
    <row r="41" spans="2:7" ht="15" thickTop="1" x14ac:dyDescent="0.3">
      <c r="B41" s="282"/>
      <c r="E41" s="281"/>
      <c r="F41" s="281"/>
      <c r="G41"/>
    </row>
    <row r="42" spans="2:7" x14ac:dyDescent="0.3">
      <c r="E42" s="280"/>
      <c r="F42" s="280"/>
      <c r="G42"/>
    </row>
    <row r="43" spans="2:7" x14ac:dyDescent="0.3">
      <c r="B43" t="s">
        <v>434</v>
      </c>
      <c r="E43" s="280">
        <v>8565.7981309280731</v>
      </c>
      <c r="F43" s="280">
        <v>2600.4504323490255</v>
      </c>
      <c r="G43"/>
    </row>
    <row r="44" spans="2:7" x14ac:dyDescent="0.3">
      <c r="E44" s="280"/>
      <c r="F44" s="280"/>
      <c r="G44"/>
    </row>
    <row r="45" spans="2:7" x14ac:dyDescent="0.3">
      <c r="B45" t="s">
        <v>433</v>
      </c>
      <c r="E45">
        <v>0</v>
      </c>
      <c r="F45">
        <v>0</v>
      </c>
      <c r="G45"/>
    </row>
    <row r="46" spans="2:7" x14ac:dyDescent="0.3">
      <c r="E46" s="280"/>
      <c r="F46" s="280"/>
      <c r="G46"/>
    </row>
    <row r="47" spans="2:7" x14ac:dyDescent="0.3">
      <c r="B47" t="s">
        <v>432</v>
      </c>
      <c r="E47" s="280">
        <v>8565.7981309280731</v>
      </c>
      <c r="F47" s="280">
        <v>2600.4504323490255</v>
      </c>
      <c r="G47"/>
    </row>
    <row r="48" spans="2:7" x14ac:dyDescent="0.3">
      <c r="E48" s="280"/>
      <c r="F48" s="280"/>
      <c r="G48"/>
    </row>
    <row r="49" spans="2:9" x14ac:dyDescent="0.3">
      <c r="B49" t="s">
        <v>431</v>
      </c>
      <c r="E49" s="214">
        <v>28388.2180564726</v>
      </c>
      <c r="F49" s="214">
        <v>3581.5681742014767</v>
      </c>
      <c r="G49"/>
    </row>
    <row r="50" spans="2:9" x14ac:dyDescent="0.3">
      <c r="E50" s="280"/>
      <c r="F50" s="280"/>
      <c r="G50"/>
    </row>
    <row r="51" spans="2:9" ht="15" thickBot="1" x14ac:dyDescent="0.35">
      <c r="B51" s="279" t="s">
        <v>430</v>
      </c>
      <c r="E51" s="278">
        <f>E47-E49</f>
        <v>-19822.419925544527</v>
      </c>
      <c r="F51" s="278">
        <f>F47-F49</f>
        <v>-981.11774185245122</v>
      </c>
      <c r="G51"/>
    </row>
    <row r="52" spans="2:9" ht="15" thickTop="1" x14ac:dyDescent="0.3">
      <c r="G52"/>
    </row>
    <row r="53" spans="2:9" x14ac:dyDescent="0.3">
      <c r="C53" s="277"/>
      <c r="G53"/>
    </row>
    <row r="54" spans="2:9" x14ac:dyDescent="0.3">
      <c r="B54" s="401" t="s">
        <v>138</v>
      </c>
      <c r="C54" s="449"/>
      <c r="D54" s="449"/>
      <c r="E54" s="449"/>
      <c r="F54" s="449"/>
      <c r="G54" s="449"/>
      <c r="H54" s="402"/>
    </row>
    <row r="56" spans="2:9" s="98" customFormat="1" ht="28.8" x14ac:dyDescent="0.3">
      <c r="F56" s="276" t="s">
        <v>429</v>
      </c>
      <c r="G56" s="275" t="s">
        <v>428</v>
      </c>
      <c r="H56" s="275" t="s">
        <v>45</v>
      </c>
    </row>
    <row r="57" spans="2:9" x14ac:dyDescent="0.3">
      <c r="C57" s="271" t="s">
        <v>427</v>
      </c>
      <c r="D57" s="264" t="s">
        <v>426</v>
      </c>
      <c r="E57" s="264"/>
      <c r="F57" s="266">
        <f>_xll.GL("Cell","Balance",C57,"01/01/2023","01/31/2023")</f>
        <v>-1642640.66</v>
      </c>
      <c r="G57" s="270"/>
      <c r="I57" t="s">
        <v>425</v>
      </c>
    </row>
    <row r="58" spans="2:9" x14ac:dyDescent="0.3">
      <c r="C58" s="271" t="s">
        <v>424</v>
      </c>
      <c r="D58" s="264" t="s">
        <v>423</v>
      </c>
      <c r="E58" s="264"/>
      <c r="F58" s="266">
        <f>_xll.GL("Cell","Balance",C58,"01/01/2023","01/31/2023")</f>
        <v>0</v>
      </c>
      <c r="G58" s="270"/>
    </row>
    <row r="59" spans="2:9" x14ac:dyDescent="0.3">
      <c r="C59" s="271" t="s">
        <v>422</v>
      </c>
      <c r="D59" s="264" t="s">
        <v>421</v>
      </c>
      <c r="E59" s="264"/>
      <c r="F59" s="266">
        <f>_xll.GL("Cell","Balance",C59,"01/01/2023","01/31/2023")</f>
        <v>-3802.39</v>
      </c>
      <c r="G59" s="270"/>
    </row>
    <row r="60" spans="2:9" x14ac:dyDescent="0.3">
      <c r="C60" s="271" t="s">
        <v>420</v>
      </c>
      <c r="D60" s="264" t="s">
        <v>419</v>
      </c>
      <c r="E60" s="264"/>
      <c r="F60" s="266">
        <f>_xll.GL("Cell","Balance",C60,"01/01/2023","01/31/2023")</f>
        <v>-681.79</v>
      </c>
      <c r="G60" s="270"/>
    </row>
    <row r="61" spans="2:9" x14ac:dyDescent="0.3">
      <c r="C61" s="271" t="s">
        <v>418</v>
      </c>
      <c r="D61" s="264" t="s">
        <v>417</v>
      </c>
      <c r="E61" s="264"/>
      <c r="F61" s="266">
        <f>_xll.GL("Cell","Balance",C61,"01/01/2023","01/31/2023")</f>
        <v>-270888.45</v>
      </c>
      <c r="G61" s="270"/>
    </row>
    <row r="62" spans="2:9" x14ac:dyDescent="0.3">
      <c r="C62" s="271" t="s">
        <v>416</v>
      </c>
      <c r="D62" s="264" t="s">
        <v>415</v>
      </c>
      <c r="E62" s="264"/>
      <c r="F62" s="266">
        <f>_xll.GL("Cell","Balance",C62,"01/01/2023","01/31/2023")</f>
        <v>-365681.97</v>
      </c>
      <c r="G62" s="270"/>
    </row>
    <row r="63" spans="2:9" x14ac:dyDescent="0.3">
      <c r="C63" s="271" t="s">
        <v>414</v>
      </c>
      <c r="D63" s="264" t="s">
        <v>413</v>
      </c>
      <c r="E63" s="264"/>
      <c r="F63" s="266">
        <f>_xll.GL("Cell","Balance",C63,"01/01/2023","01/31/2023")</f>
        <v>-3382.64</v>
      </c>
      <c r="G63" s="270"/>
    </row>
    <row r="64" spans="2:9" x14ac:dyDescent="0.3">
      <c r="C64" s="271" t="s">
        <v>412</v>
      </c>
      <c r="D64" s="264" t="s">
        <v>411</v>
      </c>
      <c r="E64" s="264"/>
      <c r="F64" s="266">
        <v>-49929.76999999999</v>
      </c>
      <c r="G64" s="270"/>
    </row>
    <row r="65" spans="3:10" x14ac:dyDescent="0.3">
      <c r="C65" s="271" t="s">
        <v>410</v>
      </c>
      <c r="D65" s="264" t="s">
        <v>409</v>
      </c>
      <c r="E65" s="264"/>
      <c r="F65" s="266">
        <f>_xll.GL("Cell","Balance",C65,"01/01/2023","01/31/2023")</f>
        <v>0</v>
      </c>
      <c r="G65" s="270"/>
    </row>
    <row r="66" spans="3:10" x14ac:dyDescent="0.3">
      <c r="C66" s="264"/>
      <c r="D66" s="264" t="s">
        <v>397</v>
      </c>
      <c r="E66" s="264"/>
      <c r="F66" s="266"/>
      <c r="G66" s="270"/>
    </row>
    <row r="67" spans="3:10" x14ac:dyDescent="0.3">
      <c r="C67" s="264"/>
      <c r="D67" s="274" t="s">
        <v>408</v>
      </c>
      <c r="E67" s="264"/>
      <c r="F67" s="268">
        <f>SUM(F57:F66)</f>
        <v>-2337007.67</v>
      </c>
      <c r="G67" s="268">
        <v>-2337007.67</v>
      </c>
      <c r="H67" s="269">
        <f>F67-G67</f>
        <v>0</v>
      </c>
    </row>
    <row r="68" spans="3:10" x14ac:dyDescent="0.3">
      <c r="C68" s="264"/>
      <c r="D68" s="274"/>
      <c r="E68" s="264"/>
      <c r="F68" s="273"/>
    </row>
    <row r="69" spans="3:10" x14ac:dyDescent="0.3">
      <c r="C69" s="264"/>
      <c r="D69" s="271"/>
      <c r="E69" s="264"/>
      <c r="F69" s="272"/>
    </row>
    <row r="70" spans="3:10" x14ac:dyDescent="0.3">
      <c r="C70" s="271" t="s">
        <v>407</v>
      </c>
      <c r="D70" s="264" t="s">
        <v>406</v>
      </c>
      <c r="E70" s="264"/>
      <c r="F70" s="266">
        <f>_xll.GL("Cell","Balance",C70,"01/01/2023","01/31/2023")</f>
        <v>0</v>
      </c>
      <c r="G70" s="270"/>
    </row>
    <row r="71" spans="3:10" x14ac:dyDescent="0.3">
      <c r="C71" s="271" t="s">
        <v>405</v>
      </c>
      <c r="D71" s="264" t="s">
        <v>404</v>
      </c>
      <c r="E71" s="264"/>
      <c r="F71" s="266">
        <f>_xll.GL("Cell","Balance",C71,"01/01/2023","01/31/2023")</f>
        <v>-4790.1499999999996</v>
      </c>
      <c r="G71" s="270"/>
    </row>
    <row r="72" spans="3:10" x14ac:dyDescent="0.3">
      <c r="C72" s="271" t="s">
        <v>403</v>
      </c>
      <c r="D72" s="264" t="s">
        <v>402</v>
      </c>
      <c r="E72" s="264"/>
      <c r="F72" s="266">
        <f>_xll.GL("Cell","Balance",C72,"01/01/2023","01/31/2023")</f>
        <v>-207079.94</v>
      </c>
      <c r="G72" s="270"/>
    </row>
    <row r="73" spans="3:10" x14ac:dyDescent="0.3">
      <c r="C73" s="271" t="s">
        <v>401</v>
      </c>
      <c r="D73" s="264" t="s">
        <v>400</v>
      </c>
      <c r="E73" s="264"/>
      <c r="F73" s="266">
        <f>_xll.GL("Cell","Balance",C73,"01/01/2023","01/31/2023")</f>
        <v>0</v>
      </c>
      <c r="G73" s="270"/>
    </row>
    <row r="74" spans="3:10" x14ac:dyDescent="0.3">
      <c r="C74" s="271" t="s">
        <v>399</v>
      </c>
      <c r="D74" s="264" t="s">
        <v>398</v>
      </c>
      <c r="E74" s="264"/>
      <c r="F74" s="266">
        <f>_xll.GL("Cell","Balance",C74,"01/01/2023","01/31/2023")</f>
        <v>-52363.18</v>
      </c>
      <c r="G74" s="270"/>
    </row>
    <row r="75" spans="3:10" x14ac:dyDescent="0.3">
      <c r="C75" s="264"/>
      <c r="D75" s="264" t="s">
        <v>397</v>
      </c>
      <c r="E75" s="264"/>
      <c r="F75" s="266"/>
      <c r="G75" s="270"/>
    </row>
    <row r="76" spans="3:10" x14ac:dyDescent="0.3">
      <c r="C76" s="267"/>
      <c r="D76" s="264" t="s">
        <v>396</v>
      </c>
      <c r="E76" s="264"/>
      <c r="F76" s="268">
        <f>SUM(F70:F75)</f>
        <v>-264233.27</v>
      </c>
      <c r="G76" s="268">
        <v>-264233.27</v>
      </c>
      <c r="H76" s="269">
        <f>F76-G76</f>
        <v>0</v>
      </c>
    </row>
    <row r="77" spans="3:10" x14ac:dyDescent="0.3">
      <c r="C77" s="267"/>
      <c r="D77" s="264"/>
      <c r="E77" s="264"/>
      <c r="F77" s="266"/>
    </row>
    <row r="78" spans="3:10" x14ac:dyDescent="0.3">
      <c r="C78" s="267"/>
      <c r="D78" s="264"/>
      <c r="E78" s="264" t="s">
        <v>395</v>
      </c>
      <c r="F78" s="268">
        <f>F67+F76</f>
        <v>-2601240.94</v>
      </c>
      <c r="G78" s="268">
        <f>G67+G76</f>
        <v>-2601240.94</v>
      </c>
      <c r="H78" s="268">
        <f>H67+H76</f>
        <v>0</v>
      </c>
      <c r="I78" s="265"/>
    </row>
    <row r="79" spans="3:10" x14ac:dyDescent="0.3">
      <c r="C79" s="267"/>
      <c r="D79" s="264"/>
      <c r="E79" s="264"/>
      <c r="F79" s="266"/>
      <c r="G79" s="266"/>
      <c r="H79" s="266"/>
      <c r="J79" s="265"/>
    </row>
    <row r="80" spans="3:10" x14ac:dyDescent="0.3">
      <c r="C80" s="264"/>
      <c r="D80" s="264"/>
      <c r="E80" s="264"/>
      <c r="F80" s="263"/>
    </row>
    <row r="81" spans="2:29" x14ac:dyDescent="0.3">
      <c r="B81" s="401" t="s">
        <v>394</v>
      </c>
      <c r="C81" s="449"/>
      <c r="D81" s="449"/>
      <c r="E81" s="449"/>
      <c r="F81" s="449"/>
      <c r="G81" s="449"/>
      <c r="H81" s="402"/>
    </row>
    <row r="82" spans="2:29" ht="15" thickBot="1" x14ac:dyDescent="0.35"/>
    <row r="83" spans="2:29" ht="29.4" thickTop="1" x14ac:dyDescent="0.3">
      <c r="B83" s="262" t="s">
        <v>393</v>
      </c>
      <c r="C83" s="261" t="s">
        <v>392</v>
      </c>
      <c r="D83" s="260" t="s">
        <v>45</v>
      </c>
      <c r="G83"/>
      <c r="X83" s="39"/>
      <c r="Y83" s="39"/>
      <c r="Z83" s="39"/>
      <c r="AA83" s="39"/>
      <c r="AB83" s="39"/>
      <c r="AC83" s="39"/>
    </row>
    <row r="84" spans="2:29" x14ac:dyDescent="0.3">
      <c r="B84" s="259">
        <v>225524.19698309983</v>
      </c>
      <c r="C84" s="258">
        <v>225541.52888789951</v>
      </c>
      <c r="D84" s="179">
        <f>C84-B84</f>
        <v>17.331904799677432</v>
      </c>
      <c r="F84" s="179"/>
      <c r="G84" s="179"/>
      <c r="X84" s="39"/>
      <c r="Y84" s="39"/>
      <c r="Z84" s="39"/>
      <c r="AA84" s="39"/>
      <c r="AB84" s="39"/>
      <c r="AC84" s="39"/>
    </row>
    <row r="85" spans="2:29" x14ac:dyDescent="0.3">
      <c r="B85" s="259">
        <v>248219.96315179989</v>
      </c>
      <c r="C85" s="258">
        <v>248219.96315179972</v>
      </c>
      <c r="D85" s="179">
        <f t="shared" ref="D85:D95" si="2">C85-B85</f>
        <v>0</v>
      </c>
      <c r="F85" s="179"/>
      <c r="G85" s="179"/>
      <c r="X85" s="39"/>
      <c r="Y85" s="39"/>
      <c r="Z85" s="39"/>
      <c r="AA85" s="39"/>
      <c r="AB85" s="39"/>
      <c r="AC85" s="39"/>
    </row>
    <row r="86" spans="2:29" x14ac:dyDescent="0.3">
      <c r="B86" s="259">
        <v>290553.80879719986</v>
      </c>
      <c r="C86" s="258">
        <v>290553.80879720009</v>
      </c>
      <c r="D86" s="179">
        <f t="shared" si="2"/>
        <v>0</v>
      </c>
      <c r="F86" s="179"/>
      <c r="G86" s="179"/>
      <c r="X86" s="39"/>
      <c r="Y86" s="39"/>
      <c r="Z86" s="39"/>
      <c r="AA86" s="39"/>
      <c r="AB86" s="39"/>
      <c r="AC86" s="39"/>
    </row>
    <row r="87" spans="2:29" x14ac:dyDescent="0.3">
      <c r="B87" s="259">
        <v>353380.56382489938</v>
      </c>
      <c r="C87" s="258">
        <v>353512.42252489843</v>
      </c>
      <c r="D87" s="179">
        <f t="shared" si="2"/>
        <v>131.85869999905117</v>
      </c>
      <c r="F87" s="179"/>
      <c r="G87" s="179"/>
      <c r="X87" s="39"/>
      <c r="Y87" s="39"/>
      <c r="Z87" s="39"/>
      <c r="AA87" s="39"/>
      <c r="AB87" s="39"/>
      <c r="AC87" s="39"/>
    </row>
    <row r="88" spans="2:29" x14ac:dyDescent="0.3">
      <c r="B88" s="259">
        <v>372739.9708124997</v>
      </c>
      <c r="C88" s="258">
        <v>373030.28617500007</v>
      </c>
      <c r="D88" s="179">
        <f t="shared" si="2"/>
        <v>290.31536250037607</v>
      </c>
      <c r="F88" s="179"/>
      <c r="G88" s="179"/>
      <c r="X88" s="39"/>
      <c r="Y88" s="39"/>
      <c r="Z88" s="39"/>
      <c r="AA88" s="39"/>
      <c r="AB88" s="39"/>
      <c r="AC88" s="39"/>
    </row>
    <row r="89" spans="2:29" x14ac:dyDescent="0.3">
      <c r="B89" s="259">
        <v>348753.68468359881</v>
      </c>
      <c r="C89" s="258">
        <v>349140.2190667984</v>
      </c>
      <c r="D89" s="179">
        <f t="shared" si="2"/>
        <v>386.53438319958514</v>
      </c>
      <c r="F89" s="179"/>
      <c r="G89" s="179"/>
      <c r="X89" s="39"/>
      <c r="Y89" s="39"/>
      <c r="Z89" s="39"/>
      <c r="AA89" s="39"/>
      <c r="AB89" s="39"/>
      <c r="AC89" s="39"/>
    </row>
    <row r="90" spans="2:29" x14ac:dyDescent="0.3">
      <c r="B90" s="259">
        <v>182690.71412399958</v>
      </c>
      <c r="C90" s="258">
        <v>182877.56027039996</v>
      </c>
      <c r="D90" s="179">
        <f t="shared" si="2"/>
        <v>186.84614640037762</v>
      </c>
      <c r="F90" s="179"/>
      <c r="G90" s="179"/>
      <c r="X90" s="39"/>
      <c r="Y90" s="39"/>
      <c r="Z90" s="39"/>
      <c r="AA90" s="39"/>
      <c r="AB90" s="39"/>
      <c r="AC90" s="39"/>
    </row>
    <row r="91" spans="2:29" x14ac:dyDescent="0.3">
      <c r="B91" s="259">
        <v>23189.076405000022</v>
      </c>
      <c r="C91" s="258">
        <v>23557.025382300093</v>
      </c>
      <c r="D91" s="179">
        <f t="shared" si="2"/>
        <v>367.94897730007142</v>
      </c>
      <c r="F91" s="179"/>
      <c r="G91" s="179"/>
      <c r="X91" s="39"/>
      <c r="Y91" s="39"/>
      <c r="Z91" s="39"/>
      <c r="AA91" s="39"/>
      <c r="AB91" s="39"/>
      <c r="AC91" s="39"/>
    </row>
    <row r="92" spans="2:29" x14ac:dyDescent="0.3">
      <c r="B92" s="259">
        <v>137706.25492470028</v>
      </c>
      <c r="C92" s="258">
        <v>139643.6362454005</v>
      </c>
      <c r="D92" s="179">
        <f t="shared" si="2"/>
        <v>1937.381320700224</v>
      </c>
      <c r="F92" s="179"/>
      <c r="G92" s="179"/>
      <c r="X92" s="39"/>
      <c r="Y92" s="39"/>
      <c r="Z92" s="39"/>
      <c r="AA92" s="39"/>
      <c r="AB92" s="39"/>
      <c r="AC92" s="39"/>
    </row>
    <row r="93" spans="2:29" x14ac:dyDescent="0.3">
      <c r="B93" s="259">
        <v>249780.96620529998</v>
      </c>
      <c r="C93" s="258">
        <v>249780.96620529922</v>
      </c>
      <c r="D93" s="179">
        <f t="shared" si="2"/>
        <v>-7.5669959187507629E-10</v>
      </c>
      <c r="F93" s="179"/>
      <c r="G93" s="179"/>
      <c r="X93" s="39"/>
      <c r="Y93" s="39"/>
      <c r="Z93" s="39"/>
      <c r="AA93" s="39"/>
      <c r="AB93" s="39"/>
      <c r="AC93" s="39"/>
    </row>
    <row r="94" spans="2:29" x14ac:dyDescent="0.3">
      <c r="B94" s="259">
        <v>301156.30703250103</v>
      </c>
      <c r="C94" s="258">
        <v>301167.46566990076</v>
      </c>
      <c r="D94" s="179">
        <f t="shared" si="2"/>
        <v>11.158637399727013</v>
      </c>
      <c r="F94" s="179"/>
      <c r="G94" s="179"/>
      <c r="X94" s="39"/>
      <c r="Y94" s="39"/>
      <c r="Z94" s="39"/>
      <c r="AA94" s="39"/>
      <c r="AB94" s="39"/>
      <c r="AC94" s="39"/>
    </row>
    <row r="95" spans="2:29" x14ac:dyDescent="0.3">
      <c r="B95" s="257">
        <v>151878.82301019994</v>
      </c>
      <c r="C95" s="255">
        <v>151878.82301019994</v>
      </c>
      <c r="D95" s="179">
        <f t="shared" si="2"/>
        <v>0</v>
      </c>
      <c r="F95" s="179"/>
      <c r="G95" s="179"/>
      <c r="X95" s="39"/>
      <c r="Y95" s="39"/>
      <c r="Z95" s="39"/>
      <c r="AA95" s="39"/>
      <c r="AB95" s="39"/>
      <c r="AC95" s="39"/>
    </row>
    <row r="96" spans="2:29" x14ac:dyDescent="0.3">
      <c r="B96" s="256">
        <f>SUM(B84:B95)</f>
        <v>2885574.3299547983</v>
      </c>
      <c r="C96" s="255">
        <f>SUM(C84:C95)</f>
        <v>2888903.7053870969</v>
      </c>
      <c r="D96" s="254">
        <f>SUM(D84:D95)</f>
        <v>3329.3754322983332</v>
      </c>
      <c r="G96"/>
      <c r="X96" s="39"/>
      <c r="Y96" s="39"/>
      <c r="Z96" s="39"/>
      <c r="AA96" s="39"/>
      <c r="AB96" s="39"/>
      <c r="AC96" s="39"/>
    </row>
    <row r="97" spans="2:29" x14ac:dyDescent="0.3">
      <c r="B97" s="212"/>
      <c r="C97" s="179"/>
      <c r="D97" s="253"/>
      <c r="G97"/>
      <c r="X97" s="39"/>
      <c r="Y97" s="39"/>
      <c r="Z97" s="39"/>
      <c r="AA97" s="39"/>
      <c r="AB97" s="39"/>
      <c r="AC97" s="39"/>
    </row>
    <row r="98" spans="2:29" x14ac:dyDescent="0.3">
      <c r="B98" s="212"/>
      <c r="C98" s="179"/>
      <c r="D98" s="253"/>
      <c r="G98"/>
      <c r="X98" s="39"/>
      <c r="Y98" s="39"/>
      <c r="Z98" s="39"/>
      <c r="AA98" s="39"/>
      <c r="AB98" s="39"/>
      <c r="AC98" s="39"/>
    </row>
    <row r="99" spans="2:29" x14ac:dyDescent="0.3">
      <c r="B99" s="179"/>
      <c r="C99" s="179"/>
      <c r="D99" s="179"/>
      <c r="G99"/>
      <c r="X99" s="39"/>
      <c r="Y99" s="39"/>
      <c r="Z99" s="39"/>
      <c r="AA99" s="39"/>
      <c r="AB99" s="39"/>
      <c r="AC99" s="39"/>
    </row>
    <row r="100" spans="2:29" x14ac:dyDescent="0.3">
      <c r="G100"/>
    </row>
    <row r="101" spans="2:29" x14ac:dyDescent="0.3">
      <c r="G101"/>
    </row>
    <row r="102" spans="2:29" x14ac:dyDescent="0.3">
      <c r="G102"/>
    </row>
    <row r="103" spans="2:29" x14ac:dyDescent="0.3">
      <c r="G103"/>
    </row>
  </sheetData>
  <mergeCells count="4">
    <mergeCell ref="B54:H54"/>
    <mergeCell ref="B81:H81"/>
    <mergeCell ref="B9:H9"/>
    <mergeCell ref="E25:F25"/>
  </mergeCells>
  <pageMargins left="0.7" right="0.7" top="0.75" bottom="0.75" header="0.3" footer="0.3"/>
  <pageSetup scale="25" orientation="portrait" r:id="rId1"/>
  <rowBreaks count="1" manualBreakCount="1">
    <brk id="53" max="2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DF139-619F-4FA9-8B78-49951F40BFF6}">
  <sheetPr>
    <pageSetUpPr fitToPage="1"/>
  </sheetPr>
  <dimension ref="A1:O118"/>
  <sheetViews>
    <sheetView tabSelected="1" topLeftCell="B1" zoomScaleNormal="100" workbookViewId="0">
      <selection activeCell="F5" sqref="F5"/>
    </sheetView>
  </sheetViews>
  <sheetFormatPr defaultRowHeight="14.4" x14ac:dyDescent="0.3"/>
  <cols>
    <col min="1" max="1" width="2.5546875" hidden="1" customWidth="1"/>
    <col min="2" max="2" width="12.88671875" customWidth="1"/>
    <col min="3" max="3" width="23.109375" bestFit="1" customWidth="1"/>
    <col min="4" max="5" width="17.5546875" customWidth="1"/>
    <col min="6" max="6" width="18.5546875" customWidth="1"/>
    <col min="7" max="7" width="18.5546875" style="39" customWidth="1"/>
    <col min="8" max="9" width="17.5546875" customWidth="1"/>
  </cols>
  <sheetData>
    <row r="1" spans="1:15" x14ac:dyDescent="0.3">
      <c r="A1" t="s">
        <v>520</v>
      </c>
    </row>
    <row r="2" spans="1:15" x14ac:dyDescent="0.3">
      <c r="B2" s="302" t="s">
        <v>532</v>
      </c>
    </row>
    <row r="4" spans="1:15" ht="28.8" x14ac:dyDescent="0.3">
      <c r="C4" s="300" t="s">
        <v>462</v>
      </c>
      <c r="D4" s="300" t="s">
        <v>461</v>
      </c>
      <c r="E4" s="300" t="s">
        <v>460</v>
      </c>
      <c r="F4" s="300" t="s">
        <v>459</v>
      </c>
      <c r="G4" s="301" t="s">
        <v>458</v>
      </c>
      <c r="H4" s="301" t="s">
        <v>539</v>
      </c>
      <c r="I4" s="300" t="s">
        <v>457</v>
      </c>
    </row>
    <row r="5" spans="1:15" x14ac:dyDescent="0.3">
      <c r="B5" s="16">
        <v>1588</v>
      </c>
      <c r="C5" s="16" t="s">
        <v>456</v>
      </c>
      <c r="D5" s="368">
        <f>F16+F20+F26</f>
        <v>-219809.75000000003</v>
      </c>
      <c r="E5" s="368">
        <f>E57+F57+G57+E63+F63+G63</f>
        <v>-37073.074618680141</v>
      </c>
      <c r="F5" s="368">
        <f>H79</f>
        <v>0</v>
      </c>
      <c r="G5" s="368">
        <f>-G6</f>
        <v>-88846.911691998539</v>
      </c>
      <c r="H5" s="368">
        <f>-H6</f>
        <v>52516.530114490961</v>
      </c>
      <c r="I5" s="368">
        <f>SUM(D5:H5)</f>
        <v>-293213.20619618776</v>
      </c>
    </row>
    <row r="6" spans="1:15" x14ac:dyDescent="0.3">
      <c r="B6" s="16">
        <v>1589</v>
      </c>
      <c r="C6" s="16" t="s">
        <v>456</v>
      </c>
      <c r="D6" s="380"/>
      <c r="E6" s="380"/>
      <c r="F6" s="368">
        <f>H89</f>
        <v>0</v>
      </c>
      <c r="G6" s="368">
        <f>D109</f>
        <v>88846.911691998539</v>
      </c>
      <c r="H6" s="368">
        <f>D115</f>
        <v>-52516.530114490961</v>
      </c>
      <c r="I6" s="368">
        <f>SUM(D6:H6)</f>
        <v>36330.381577507578</v>
      </c>
    </row>
    <row r="7" spans="1:15" x14ac:dyDescent="0.3">
      <c r="D7" s="375"/>
      <c r="E7" s="375"/>
      <c r="F7" s="375"/>
      <c r="G7" s="364"/>
      <c r="H7" s="375"/>
    </row>
    <row r="8" spans="1:15" x14ac:dyDescent="0.3">
      <c r="B8" s="179"/>
      <c r="C8" s="179"/>
      <c r="D8" s="179"/>
      <c r="G8"/>
      <c r="J8" s="39"/>
      <c r="K8" s="39"/>
      <c r="L8" s="39"/>
      <c r="M8" s="39"/>
      <c r="N8" s="39"/>
      <c r="O8" s="39"/>
    </row>
    <row r="9" spans="1:15" x14ac:dyDescent="0.3">
      <c r="B9" s="401" t="s">
        <v>455</v>
      </c>
      <c r="C9" s="449"/>
      <c r="D9" s="449"/>
      <c r="E9" s="449"/>
      <c r="F9" s="449"/>
      <c r="G9" s="449"/>
      <c r="H9" s="402"/>
    </row>
    <row r="10" spans="1:15" x14ac:dyDescent="0.3">
      <c r="G10"/>
    </row>
    <row r="11" spans="1:15" x14ac:dyDescent="0.3">
      <c r="B11" s="292" t="s">
        <v>454</v>
      </c>
      <c r="C11" s="292" t="s">
        <v>445</v>
      </c>
      <c r="D11" s="299" t="s">
        <v>453</v>
      </c>
      <c r="E11" s="299" t="s">
        <v>452</v>
      </c>
      <c r="F11" s="299" t="s">
        <v>363</v>
      </c>
      <c r="G11"/>
    </row>
    <row r="12" spans="1:15" x14ac:dyDescent="0.3">
      <c r="G12"/>
    </row>
    <row r="13" spans="1:15" x14ac:dyDescent="0.3">
      <c r="C13" t="s">
        <v>451</v>
      </c>
      <c r="D13" s="364">
        <v>187352.41</v>
      </c>
      <c r="E13" s="364">
        <v>221396</v>
      </c>
      <c r="F13" s="381">
        <f>D13-E13</f>
        <v>-34043.589999999997</v>
      </c>
      <c r="G13"/>
    </row>
    <row r="14" spans="1:15" x14ac:dyDescent="0.3">
      <c r="C14" t="s">
        <v>450</v>
      </c>
      <c r="D14" s="364">
        <v>62674.9</v>
      </c>
      <c r="E14" s="364">
        <v>96052</v>
      </c>
      <c r="F14" s="381">
        <f t="shared" ref="F14:F15" si="0">D14-E14</f>
        <v>-33377.1</v>
      </c>
      <c r="G14"/>
    </row>
    <row r="15" spans="1:15" x14ac:dyDescent="0.3">
      <c r="C15" t="s">
        <v>449</v>
      </c>
      <c r="D15" s="364">
        <v>-340801.08</v>
      </c>
      <c r="E15" s="364">
        <v>-202638</v>
      </c>
      <c r="F15" s="381">
        <f t="shared" si="0"/>
        <v>-138163.08000000002</v>
      </c>
      <c r="G15"/>
    </row>
    <row r="16" spans="1:15" x14ac:dyDescent="0.3">
      <c r="D16" s="382">
        <f>SUM(D12:D15)</f>
        <v>-90773.770000000019</v>
      </c>
      <c r="E16" s="383">
        <f>SUM(E12:E15)</f>
        <v>114810</v>
      </c>
      <c r="F16" s="382">
        <f>SUM(F12:F15)</f>
        <v>-205583.77000000002</v>
      </c>
      <c r="G16"/>
    </row>
    <row r="17" spans="2:7" x14ac:dyDescent="0.3">
      <c r="D17" s="384"/>
      <c r="E17" s="384"/>
      <c r="F17" s="384"/>
      <c r="G17"/>
    </row>
    <row r="18" spans="2:7" x14ac:dyDescent="0.3">
      <c r="C18" t="s">
        <v>448</v>
      </c>
      <c r="D18" s="364">
        <v>-7578.96</v>
      </c>
      <c r="E18" s="364">
        <v>749.57</v>
      </c>
      <c r="F18" s="381">
        <f t="shared" ref="F18:F19" si="1">D18-E18</f>
        <v>-8328.5300000000007</v>
      </c>
      <c r="G18"/>
    </row>
    <row r="19" spans="2:7" x14ac:dyDescent="0.3">
      <c r="C19" t="s">
        <v>447</v>
      </c>
      <c r="D19" s="364">
        <v>4696.66</v>
      </c>
      <c r="E19" s="364">
        <v>9494.6</v>
      </c>
      <c r="F19" s="381">
        <f t="shared" si="1"/>
        <v>-4797.9400000000005</v>
      </c>
      <c r="G19"/>
    </row>
    <row r="20" spans="2:7" x14ac:dyDescent="0.3">
      <c r="D20" s="382">
        <v>-2882.31</v>
      </c>
      <c r="E20" s="383">
        <f>SUM(E18:E19)</f>
        <v>10244.17</v>
      </c>
      <c r="F20" s="382">
        <f>SUM(F18:F19)</f>
        <v>-13126.470000000001</v>
      </c>
      <c r="G20"/>
    </row>
    <row r="21" spans="2:7" x14ac:dyDescent="0.3">
      <c r="D21" s="375"/>
      <c r="E21" s="375"/>
      <c r="F21" s="375"/>
      <c r="G21"/>
    </row>
    <row r="22" spans="2:7" x14ac:dyDescent="0.3">
      <c r="C22" t="s">
        <v>451</v>
      </c>
      <c r="D22" s="364">
        <v>-679.85</v>
      </c>
      <c r="E22" s="364">
        <v>-457.6</v>
      </c>
      <c r="F22" s="381">
        <f>D22-E22</f>
        <v>-222.25</v>
      </c>
      <c r="G22"/>
    </row>
    <row r="23" spans="2:7" x14ac:dyDescent="0.3">
      <c r="C23" t="s">
        <v>450</v>
      </c>
      <c r="D23" s="364">
        <v>452.34</v>
      </c>
      <c r="E23" s="364">
        <v>685.5</v>
      </c>
      <c r="F23" s="381">
        <f t="shared" ref="F23:F25" si="2">D23-E23</f>
        <v>-233.16000000000003</v>
      </c>
      <c r="G23"/>
    </row>
    <row r="24" spans="2:7" x14ac:dyDescent="0.3">
      <c r="C24" t="s">
        <v>449</v>
      </c>
      <c r="D24" s="364">
        <v>2267.42</v>
      </c>
      <c r="E24" s="364">
        <v>2384</v>
      </c>
      <c r="F24" s="381">
        <f t="shared" si="2"/>
        <v>-116.57999999999993</v>
      </c>
      <c r="G24"/>
    </row>
    <row r="25" spans="2:7" x14ac:dyDescent="0.3">
      <c r="C25" t="s">
        <v>529</v>
      </c>
      <c r="D25" s="364">
        <v>-3741.33</v>
      </c>
      <c r="E25" s="364">
        <v>-3213.81</v>
      </c>
      <c r="F25" s="381">
        <f t="shared" si="2"/>
        <v>-527.52</v>
      </c>
      <c r="G25"/>
    </row>
    <row r="26" spans="2:7" x14ac:dyDescent="0.3">
      <c r="D26" s="382">
        <v>-1701.43</v>
      </c>
      <c r="E26" s="382">
        <f>SUM(E22:E25)</f>
        <v>-601.90999999999985</v>
      </c>
      <c r="F26" s="382">
        <f>SUM(F22:F25)</f>
        <v>-1099.51</v>
      </c>
      <c r="G26"/>
    </row>
    <row r="27" spans="2:7" x14ac:dyDescent="0.3">
      <c r="D27" s="294"/>
      <c r="E27" s="294"/>
      <c r="F27" s="293"/>
      <c r="G27"/>
    </row>
    <row r="28" spans="2:7" x14ac:dyDescent="0.3">
      <c r="G28"/>
    </row>
    <row r="29" spans="2:7" x14ac:dyDescent="0.3">
      <c r="B29" s="292" t="s">
        <v>446</v>
      </c>
      <c r="C29" s="292" t="s">
        <v>445</v>
      </c>
      <c r="G29"/>
    </row>
    <row r="30" spans="2:7" x14ac:dyDescent="0.3">
      <c r="G30"/>
    </row>
    <row r="31" spans="2:7" x14ac:dyDescent="0.3">
      <c r="E31" s="450" t="s">
        <v>533</v>
      </c>
      <c r="F31" s="450"/>
      <c r="G31" s="450"/>
    </row>
    <row r="32" spans="2:7" x14ac:dyDescent="0.3">
      <c r="E32" s="46" t="s">
        <v>444</v>
      </c>
      <c r="F32" s="46" t="s">
        <v>531</v>
      </c>
      <c r="G32" s="46" t="s">
        <v>530</v>
      </c>
    </row>
    <row r="33" spans="2:7" x14ac:dyDescent="0.3">
      <c r="B33" t="s">
        <v>442</v>
      </c>
      <c r="E33" s="375">
        <v>2144988.6390172127</v>
      </c>
      <c r="F33" s="375">
        <v>220051.07049025706</v>
      </c>
      <c r="G33" s="375">
        <v>10501.355340099259</v>
      </c>
    </row>
    <row r="34" spans="2:7" x14ac:dyDescent="0.3">
      <c r="E34" s="375"/>
      <c r="F34" s="375"/>
      <c r="G34" s="375"/>
    </row>
    <row r="35" spans="2:7" x14ac:dyDescent="0.3">
      <c r="B35" t="s">
        <v>441</v>
      </c>
      <c r="E35" s="375">
        <v>876903.22563190002</v>
      </c>
      <c r="F35" s="375">
        <v>92256.198748788578</v>
      </c>
      <c r="G35" s="375">
        <v>4850.453576334171</v>
      </c>
    </row>
    <row r="36" spans="2:7" x14ac:dyDescent="0.3">
      <c r="B36" s="287" t="s">
        <v>440</v>
      </c>
      <c r="E36" s="385">
        <v>1364647.0841073005</v>
      </c>
      <c r="F36" s="386">
        <v>139875.3266685</v>
      </c>
      <c r="G36" s="386">
        <v>7543.7359916999976</v>
      </c>
    </row>
    <row r="37" spans="2:7" x14ac:dyDescent="0.3">
      <c r="B37" s="287"/>
      <c r="E37" s="375"/>
      <c r="F37" s="375"/>
      <c r="G37" s="375"/>
    </row>
    <row r="38" spans="2:7" x14ac:dyDescent="0.3">
      <c r="B38" s="289" t="s">
        <v>439</v>
      </c>
      <c r="E38" s="387">
        <v>2241550.3097392004</v>
      </c>
      <c r="F38" s="387">
        <v>232131.52541728859</v>
      </c>
      <c r="G38" s="387">
        <v>12394.189568034169</v>
      </c>
    </row>
    <row r="39" spans="2:7" x14ac:dyDescent="0.3">
      <c r="B39" s="287"/>
      <c r="E39" s="375"/>
      <c r="F39" s="375"/>
      <c r="G39" s="375"/>
    </row>
    <row r="40" spans="2:7" ht="15" thickBot="1" x14ac:dyDescent="0.35">
      <c r="B40" s="286" t="s">
        <v>438</v>
      </c>
      <c r="E40" s="372">
        <v>-96561.670721987728</v>
      </c>
      <c r="F40" s="372">
        <v>-12080.454927031533</v>
      </c>
      <c r="G40" s="372">
        <v>-1892.8342279349108</v>
      </c>
    </row>
    <row r="41" spans="2:7" ht="15" thickTop="1" x14ac:dyDescent="0.3">
      <c r="E41" s="375"/>
      <c r="F41" s="375"/>
      <c r="G41" s="375"/>
    </row>
    <row r="42" spans="2:7" x14ac:dyDescent="0.3">
      <c r="B42" t="s">
        <v>437</v>
      </c>
      <c r="E42" s="388">
        <v>0</v>
      </c>
      <c r="F42" s="388">
        <v>0</v>
      </c>
      <c r="G42" s="388">
        <v>0</v>
      </c>
    </row>
    <row r="43" spans="2:7" x14ac:dyDescent="0.3">
      <c r="E43" s="375"/>
      <c r="F43" s="375"/>
      <c r="G43" s="375"/>
    </row>
    <row r="44" spans="2:7" x14ac:dyDescent="0.3">
      <c r="B44" t="s">
        <v>436</v>
      </c>
      <c r="E44" s="389">
        <v>0</v>
      </c>
      <c r="F44" s="389">
        <v>0</v>
      </c>
      <c r="G44" s="389">
        <v>0</v>
      </c>
    </row>
    <row r="45" spans="2:7" x14ac:dyDescent="0.3">
      <c r="E45" s="375"/>
      <c r="F45" s="375"/>
      <c r="G45" s="375"/>
    </row>
    <row r="46" spans="2:7" ht="15" thickBot="1" x14ac:dyDescent="0.35">
      <c r="B46" s="283" t="s">
        <v>435</v>
      </c>
      <c r="E46" s="390">
        <v>0</v>
      </c>
      <c r="F46" s="390">
        <v>0</v>
      </c>
      <c r="G46" s="390">
        <v>0</v>
      </c>
    </row>
    <row r="47" spans="2:7" ht="15" thickTop="1" x14ac:dyDescent="0.3">
      <c r="B47" s="282"/>
      <c r="E47" s="391"/>
      <c r="F47" s="391"/>
      <c r="G47" s="391"/>
    </row>
    <row r="48" spans="2:7" x14ac:dyDescent="0.3">
      <c r="E48" s="266"/>
      <c r="F48" s="266"/>
      <c r="G48" s="266"/>
    </row>
    <row r="49" spans="2:7" x14ac:dyDescent="0.3">
      <c r="B49" t="s">
        <v>434</v>
      </c>
      <c r="E49" s="266">
        <v>-96561.670721987728</v>
      </c>
      <c r="F49" s="266">
        <v>-12080.454927031533</v>
      </c>
      <c r="G49" s="266">
        <v>-1892.8342279349108</v>
      </c>
    </row>
    <row r="50" spans="2:7" x14ac:dyDescent="0.3">
      <c r="E50" s="266"/>
      <c r="F50" s="266"/>
      <c r="G50" s="266"/>
    </row>
    <row r="51" spans="2:7" x14ac:dyDescent="0.3">
      <c r="B51" t="s">
        <v>433</v>
      </c>
      <c r="E51" s="266">
        <v>0</v>
      </c>
      <c r="F51" s="266">
        <v>0</v>
      </c>
      <c r="G51" s="266">
        <v>0</v>
      </c>
    </row>
    <row r="52" spans="2:7" x14ac:dyDescent="0.3">
      <c r="E52" s="266"/>
      <c r="F52" s="266"/>
      <c r="G52" s="266"/>
    </row>
    <row r="53" spans="2:7" x14ac:dyDescent="0.3">
      <c r="B53" t="s">
        <v>432</v>
      </c>
      <c r="E53" s="266">
        <v>-96561.670721987728</v>
      </c>
      <c r="F53" s="266">
        <v>-12080.454927031533</v>
      </c>
      <c r="G53" s="266">
        <v>-1892.8342279349108</v>
      </c>
    </row>
    <row r="54" spans="2:7" x14ac:dyDescent="0.3">
      <c r="E54" s="266"/>
      <c r="F54" s="266"/>
      <c r="G54" s="266"/>
    </row>
    <row r="55" spans="2:7" x14ac:dyDescent="0.3">
      <c r="B55" t="s">
        <v>431</v>
      </c>
      <c r="E55" s="266">
        <v>-90773.765772179118</v>
      </c>
      <c r="F55" s="266">
        <v>-2882.3061220546806</v>
      </c>
      <c r="G55" s="266">
        <v>-1701.4261000000297</v>
      </c>
    </row>
    <row r="56" spans="2:7" x14ac:dyDescent="0.3">
      <c r="E56" s="266"/>
      <c r="F56" s="266"/>
      <c r="G56" s="266"/>
    </row>
    <row r="57" spans="2:7" ht="15" thickBot="1" x14ac:dyDescent="0.35">
      <c r="B57" s="279" t="s">
        <v>430</v>
      </c>
      <c r="E57" s="371">
        <f>E53-E55</f>
        <v>-5787.9049498086097</v>
      </c>
      <c r="F57" s="371">
        <f t="shared" ref="F57:G57" si="3">F53-F55</f>
        <v>-9198.1488049768523</v>
      </c>
      <c r="G57" s="371">
        <f t="shared" si="3"/>
        <v>-191.40812793488112</v>
      </c>
    </row>
    <row r="58" spans="2:7" ht="15" thickTop="1" x14ac:dyDescent="0.3">
      <c r="E58" s="375"/>
      <c r="F58" s="375"/>
      <c r="G58" s="375"/>
    </row>
    <row r="59" spans="2:7" x14ac:dyDescent="0.3">
      <c r="B59" s="47" t="s">
        <v>537</v>
      </c>
      <c r="E59" s="392" t="s">
        <v>444</v>
      </c>
      <c r="F59" s="392" t="s">
        <v>531</v>
      </c>
      <c r="G59" s="392" t="s">
        <v>530</v>
      </c>
    </row>
    <row r="60" spans="2:7" x14ac:dyDescent="0.3">
      <c r="B60" t="s">
        <v>9</v>
      </c>
      <c r="E60" s="266">
        <v>2059.8262065537092</v>
      </c>
      <c r="F60" s="266">
        <v>-219.08987454236831</v>
      </c>
      <c r="G60" s="266">
        <v>36.598617104762525</v>
      </c>
    </row>
    <row r="61" spans="2:7" x14ac:dyDescent="0.3">
      <c r="B61" t="s">
        <v>10</v>
      </c>
      <c r="E61" s="266">
        <v>-16980.151759800967</v>
      </c>
      <c r="F61" s="266">
        <v>-1937.9063814675319</v>
      </c>
      <c r="G61" s="266">
        <v>-92.988660997845727</v>
      </c>
    </row>
    <row r="62" spans="2:7" x14ac:dyDescent="0.3">
      <c r="B62" t="s">
        <v>11</v>
      </c>
      <c r="E62" s="266">
        <v>-4030.7441899403202</v>
      </c>
      <c r="F62" s="266">
        <v>-691.57048812308858</v>
      </c>
      <c r="G62" s="266">
        <v>-39.586204746156</v>
      </c>
    </row>
    <row r="63" spans="2:7" ht="15" thickBot="1" x14ac:dyDescent="0.35">
      <c r="E63" s="371">
        <f>SUM(E60:E62)</f>
        <v>-18951.069743187578</v>
      </c>
      <c r="F63" s="371">
        <f t="shared" ref="F63:G63" si="4">SUM(F60:F62)</f>
        <v>-2848.5667441329888</v>
      </c>
      <c r="G63" s="371">
        <f t="shared" si="4"/>
        <v>-95.976248639239202</v>
      </c>
    </row>
    <row r="64" spans="2:7" ht="15" thickTop="1" x14ac:dyDescent="0.3">
      <c r="C64" s="277"/>
      <c r="G64"/>
    </row>
    <row r="65" spans="2:8" x14ac:dyDescent="0.3">
      <c r="B65" s="401" t="s">
        <v>542</v>
      </c>
      <c r="C65" s="449"/>
      <c r="D65" s="449"/>
      <c r="E65" s="449"/>
      <c r="F65" s="449"/>
      <c r="G65" s="449"/>
      <c r="H65" s="402"/>
    </row>
    <row r="67" spans="2:8" s="98" customFormat="1" ht="28.8" x14ac:dyDescent="0.3">
      <c r="F67" s="276" t="s">
        <v>429</v>
      </c>
      <c r="G67" s="275" t="s">
        <v>428</v>
      </c>
      <c r="H67" s="275" t="s">
        <v>45</v>
      </c>
    </row>
    <row r="68" spans="2:8" x14ac:dyDescent="0.3">
      <c r="C68" s="271" t="s">
        <v>427</v>
      </c>
      <c r="D68" s="264" t="s">
        <v>426</v>
      </c>
      <c r="E68" s="264"/>
      <c r="F68" s="266">
        <v>-1999527.23</v>
      </c>
      <c r="G68" s="270"/>
    </row>
    <row r="69" spans="2:8" x14ac:dyDescent="0.3">
      <c r="C69" s="271" t="s">
        <v>424</v>
      </c>
      <c r="D69" s="264" t="s">
        <v>423</v>
      </c>
      <c r="E69" s="264"/>
      <c r="F69" s="266">
        <v>0</v>
      </c>
      <c r="G69" s="270"/>
    </row>
    <row r="70" spans="2:8" x14ac:dyDescent="0.3">
      <c r="C70" s="271" t="s">
        <v>422</v>
      </c>
      <c r="D70" s="264" t="s">
        <v>421</v>
      </c>
      <c r="E70" s="264"/>
      <c r="F70" s="266">
        <v>-3297</v>
      </c>
      <c r="G70" s="270"/>
    </row>
    <row r="71" spans="2:8" x14ac:dyDescent="0.3">
      <c r="C71" s="271" t="s">
        <v>420</v>
      </c>
      <c r="D71" s="264" t="s">
        <v>419</v>
      </c>
      <c r="E71" s="264"/>
      <c r="F71" s="266">
        <v>-743.37</v>
      </c>
      <c r="G71" s="270"/>
    </row>
    <row r="72" spans="2:8" x14ac:dyDescent="0.3">
      <c r="C72" s="271" t="s">
        <v>418</v>
      </c>
      <c r="D72" s="264" t="s">
        <v>417</v>
      </c>
      <c r="E72" s="264"/>
      <c r="F72" s="266">
        <v>-187845.85</v>
      </c>
      <c r="G72" s="270"/>
    </row>
    <row r="73" spans="2:8" x14ac:dyDescent="0.3">
      <c r="C73" s="271" t="s">
        <v>535</v>
      </c>
      <c r="D73" s="370" t="s">
        <v>534</v>
      </c>
      <c r="E73" s="264"/>
      <c r="F73" s="266">
        <v>-3876.79</v>
      </c>
      <c r="G73" s="270"/>
    </row>
    <row r="74" spans="2:8" x14ac:dyDescent="0.3">
      <c r="C74" s="271" t="s">
        <v>416</v>
      </c>
      <c r="D74" s="264" t="s">
        <v>415</v>
      </c>
      <c r="E74" s="264"/>
      <c r="F74" s="266">
        <v>-389747.07</v>
      </c>
      <c r="G74" s="369"/>
    </row>
    <row r="75" spans="2:8" x14ac:dyDescent="0.3">
      <c r="C75" s="271" t="s">
        <v>414</v>
      </c>
      <c r="D75" s="264" t="s">
        <v>413</v>
      </c>
      <c r="E75" s="264"/>
      <c r="F75" s="266">
        <v>-3370.71</v>
      </c>
      <c r="G75" s="369"/>
    </row>
    <row r="76" spans="2:8" x14ac:dyDescent="0.3">
      <c r="C76" s="271" t="s">
        <v>412</v>
      </c>
      <c r="D76" s="264" t="s">
        <v>411</v>
      </c>
      <c r="E76" s="264"/>
      <c r="F76" s="266">
        <v>-35455.94999999999</v>
      </c>
      <c r="G76" s="369"/>
    </row>
    <row r="77" spans="2:8" x14ac:dyDescent="0.3">
      <c r="C77" s="271" t="s">
        <v>410</v>
      </c>
      <c r="D77" s="264" t="s">
        <v>409</v>
      </c>
      <c r="E77" s="264"/>
      <c r="F77" s="266"/>
      <c r="G77" s="369"/>
    </row>
    <row r="78" spans="2:8" x14ac:dyDescent="0.3">
      <c r="C78" s="264"/>
      <c r="D78" s="264" t="s">
        <v>397</v>
      </c>
      <c r="E78" s="264"/>
      <c r="F78" s="266"/>
      <c r="G78" s="369"/>
    </row>
    <row r="79" spans="2:8" x14ac:dyDescent="0.3">
      <c r="C79" s="264"/>
      <c r="D79" s="274" t="s">
        <v>408</v>
      </c>
      <c r="E79" s="264"/>
      <c r="F79" s="268">
        <f>SUM(F68:F78)</f>
        <v>-2623863.9700000002</v>
      </c>
      <c r="G79" s="269">
        <v>-2623863.9700000002</v>
      </c>
      <c r="H79" s="269">
        <f>F79-G79</f>
        <v>0</v>
      </c>
    </row>
    <row r="80" spans="2:8" x14ac:dyDescent="0.3">
      <c r="C80" s="264"/>
      <c r="D80" s="274"/>
      <c r="E80" s="264"/>
      <c r="F80" s="273"/>
      <c r="G80" s="170"/>
    </row>
    <row r="81" spans="2:15" x14ac:dyDescent="0.3">
      <c r="C81" s="264"/>
      <c r="D81" s="271"/>
      <c r="E81" s="264"/>
      <c r="F81" s="272"/>
      <c r="G81" s="170"/>
    </row>
    <row r="82" spans="2:15" x14ac:dyDescent="0.3">
      <c r="C82" s="271" t="s">
        <v>407</v>
      </c>
      <c r="D82" s="264" t="s">
        <v>406</v>
      </c>
      <c r="E82" s="264"/>
      <c r="F82" s="266">
        <v>0</v>
      </c>
      <c r="G82" s="369"/>
    </row>
    <row r="83" spans="2:15" x14ac:dyDescent="0.3">
      <c r="C83" s="271" t="s">
        <v>405</v>
      </c>
      <c r="D83" s="264" t="s">
        <v>404</v>
      </c>
      <c r="E83" s="264"/>
      <c r="F83" s="266">
        <v>-7365.48</v>
      </c>
      <c r="G83" s="369"/>
    </row>
    <row r="84" spans="2:15" x14ac:dyDescent="0.3">
      <c r="C84" s="271" t="s">
        <v>403</v>
      </c>
      <c r="D84" s="264" t="s">
        <v>402</v>
      </c>
      <c r="E84" s="264"/>
      <c r="F84" s="266">
        <v>-254853.11</v>
      </c>
      <c r="G84" s="369"/>
    </row>
    <row r="85" spans="2:15" x14ac:dyDescent="0.3">
      <c r="C85" s="271" t="s">
        <v>536</v>
      </c>
      <c r="D85" s="370" t="s">
        <v>534</v>
      </c>
      <c r="E85" s="264"/>
      <c r="F85" s="266">
        <v>-7720.67</v>
      </c>
      <c r="G85" s="369"/>
    </row>
    <row r="86" spans="2:15" x14ac:dyDescent="0.3">
      <c r="C86" s="271" t="s">
        <v>401</v>
      </c>
      <c r="D86" s="264" t="s">
        <v>400</v>
      </c>
      <c r="E86" s="264"/>
      <c r="F86" s="266">
        <v>0</v>
      </c>
      <c r="G86" s="369"/>
    </row>
    <row r="87" spans="2:15" x14ac:dyDescent="0.3">
      <c r="C87" s="271" t="s">
        <v>399</v>
      </c>
      <c r="D87" s="264" t="s">
        <v>398</v>
      </c>
      <c r="E87" s="264"/>
      <c r="F87" s="266">
        <v>-70968.36</v>
      </c>
      <c r="G87" s="369"/>
    </row>
    <row r="88" spans="2:15" x14ac:dyDescent="0.3">
      <c r="C88" s="264"/>
      <c r="D88" s="264" t="s">
        <v>397</v>
      </c>
      <c r="E88" s="264"/>
      <c r="F88" s="266"/>
      <c r="G88" s="369"/>
    </row>
    <row r="89" spans="2:15" x14ac:dyDescent="0.3">
      <c r="C89" s="267"/>
      <c r="D89" s="264" t="s">
        <v>396</v>
      </c>
      <c r="E89" s="264"/>
      <c r="F89" s="268">
        <f>SUM(F82:F88)</f>
        <v>-340907.61999999994</v>
      </c>
      <c r="G89" s="269">
        <v>-340907.62</v>
      </c>
      <c r="H89" s="269">
        <f>F89-G89</f>
        <v>0</v>
      </c>
    </row>
    <row r="90" spans="2:15" x14ac:dyDescent="0.3">
      <c r="C90" s="267"/>
      <c r="D90" s="264"/>
      <c r="E90" s="264"/>
      <c r="F90" s="266"/>
    </row>
    <row r="91" spans="2:15" x14ac:dyDescent="0.3">
      <c r="C91" s="267"/>
      <c r="D91" s="264"/>
      <c r="E91" s="264" t="s">
        <v>395</v>
      </c>
      <c r="F91" s="268">
        <f>F79+F89</f>
        <v>-2964771.5900000003</v>
      </c>
      <c r="G91" s="268">
        <f>G79+G89</f>
        <v>-2964771.5900000003</v>
      </c>
      <c r="H91" s="268">
        <f>H79+H89</f>
        <v>0</v>
      </c>
      <c r="I91" s="265"/>
    </row>
    <row r="92" spans="2:15" x14ac:dyDescent="0.3">
      <c r="C92" s="267"/>
      <c r="D92" s="264"/>
      <c r="E92" s="264"/>
      <c r="F92" s="266"/>
      <c r="G92" s="266"/>
      <c r="H92" s="266"/>
    </row>
    <row r="93" spans="2:15" x14ac:dyDescent="0.3">
      <c r="C93" s="264"/>
      <c r="D93" s="264"/>
      <c r="E93" s="264"/>
      <c r="F93" s="263"/>
    </row>
    <row r="94" spans="2:15" x14ac:dyDescent="0.3">
      <c r="B94" s="401" t="s">
        <v>394</v>
      </c>
      <c r="C94" s="449"/>
      <c r="D94" s="449"/>
      <c r="E94" s="449"/>
      <c r="F94" s="449"/>
      <c r="G94" s="449"/>
      <c r="H94" s="402"/>
    </row>
    <row r="95" spans="2:15" ht="15" thickBot="1" x14ac:dyDescent="0.35"/>
    <row r="96" spans="2:15" ht="29.4" thickTop="1" x14ac:dyDescent="0.3">
      <c r="B96" s="262" t="s">
        <v>393</v>
      </c>
      <c r="C96" s="261" t="s">
        <v>392</v>
      </c>
      <c r="D96" s="260" t="s">
        <v>45</v>
      </c>
      <c r="G96"/>
      <c r="J96" s="39"/>
      <c r="K96" s="39"/>
      <c r="L96" s="39"/>
      <c r="M96" s="39"/>
      <c r="N96" s="39"/>
      <c r="O96" s="39"/>
    </row>
    <row r="97" spans="2:15" x14ac:dyDescent="0.3">
      <c r="B97" s="373">
        <v>222270.24166619973</v>
      </c>
      <c r="C97" s="374">
        <v>223645.13579519981</v>
      </c>
      <c r="D97" s="375">
        <f>C97-B97</f>
        <v>1374.8941290000803</v>
      </c>
      <c r="E97" s="375"/>
      <c r="F97" s="179"/>
      <c r="G97" s="179"/>
      <c r="H97" s="179"/>
      <c r="J97" s="39"/>
      <c r="K97" s="39"/>
      <c r="L97" s="39"/>
      <c r="M97" s="39"/>
      <c r="N97" s="39"/>
      <c r="O97" s="39"/>
    </row>
    <row r="98" spans="2:15" x14ac:dyDescent="0.3">
      <c r="B98" s="373">
        <v>288923.72428720025</v>
      </c>
      <c r="C98" s="374">
        <v>297062.85392560036</v>
      </c>
      <c r="D98" s="375">
        <f t="shared" ref="D98:D108" si="5">C98-B98</f>
        <v>8139.1296384001034</v>
      </c>
      <c r="E98" s="375"/>
      <c r="F98" s="179"/>
      <c r="G98" s="179"/>
      <c r="H98" s="179"/>
      <c r="J98" s="39"/>
      <c r="K98" s="39"/>
      <c r="L98" s="39"/>
      <c r="M98" s="39"/>
      <c r="N98" s="39"/>
      <c r="O98" s="39"/>
    </row>
    <row r="99" spans="2:15" x14ac:dyDescent="0.3">
      <c r="B99" s="373">
        <v>385515.3542104002</v>
      </c>
      <c r="C99" s="374">
        <v>376567.32510099979</v>
      </c>
      <c r="D99" s="375">
        <f t="shared" si="5"/>
        <v>-8948.029109400406</v>
      </c>
      <c r="E99" s="375"/>
      <c r="F99" s="179"/>
      <c r="G99" s="179"/>
      <c r="H99" s="179"/>
      <c r="J99" s="39"/>
      <c r="K99" s="39"/>
      <c r="L99" s="39"/>
      <c r="M99" s="39"/>
      <c r="N99" s="39"/>
      <c r="O99" s="39"/>
    </row>
    <row r="100" spans="2:15" x14ac:dyDescent="0.3">
      <c r="B100" s="373">
        <v>313537.25292040099</v>
      </c>
      <c r="C100" s="374">
        <v>315263.89545000112</v>
      </c>
      <c r="D100" s="375">
        <f t="shared" si="5"/>
        <v>1726.6425296001253</v>
      </c>
      <c r="E100" s="375"/>
      <c r="F100" s="179"/>
      <c r="G100" s="179"/>
      <c r="H100" s="179"/>
      <c r="J100" s="39"/>
      <c r="K100" s="39"/>
      <c r="L100" s="39"/>
      <c r="M100" s="39"/>
      <c r="N100" s="39"/>
      <c r="O100" s="39"/>
    </row>
    <row r="101" spans="2:15" x14ac:dyDescent="0.3">
      <c r="B101" s="373">
        <v>341080.19282070082</v>
      </c>
      <c r="C101" s="374">
        <v>342941.86519040068</v>
      </c>
      <c r="D101" s="375">
        <f t="shared" si="5"/>
        <v>1861.672369699867</v>
      </c>
      <c r="E101" s="375"/>
      <c r="F101" s="179"/>
      <c r="G101" s="179"/>
      <c r="H101" s="179"/>
      <c r="J101" s="39"/>
      <c r="K101" s="39"/>
      <c r="L101" s="39"/>
      <c r="M101" s="39"/>
      <c r="N101" s="39"/>
      <c r="O101" s="39"/>
    </row>
    <row r="102" spans="2:15" x14ac:dyDescent="0.3">
      <c r="B102" s="373">
        <v>365395.1540463001</v>
      </c>
      <c r="C102" s="374">
        <v>367594.46259199939</v>
      </c>
      <c r="D102" s="375">
        <f t="shared" si="5"/>
        <v>2199.3085456992849</v>
      </c>
      <c r="E102" s="375"/>
      <c r="F102" s="179"/>
      <c r="G102" s="179"/>
      <c r="H102" s="179"/>
      <c r="J102" s="39"/>
      <c r="K102" s="39"/>
      <c r="L102" s="39"/>
      <c r="M102" s="39"/>
      <c r="N102" s="39"/>
      <c r="O102" s="39"/>
    </row>
    <row r="103" spans="2:15" x14ac:dyDescent="0.3">
      <c r="B103" s="373">
        <v>315924.07775619929</v>
      </c>
      <c r="C103" s="374">
        <v>315422.31618789921</v>
      </c>
      <c r="D103" s="375">
        <f t="shared" si="5"/>
        <v>-501.76156830007676</v>
      </c>
      <c r="E103" s="375"/>
      <c r="F103" s="179"/>
      <c r="G103" s="179"/>
      <c r="H103" s="179"/>
      <c r="J103" s="39"/>
      <c r="K103" s="39"/>
      <c r="L103" s="39"/>
      <c r="M103" s="39"/>
      <c r="N103" s="39"/>
      <c r="O103" s="39"/>
    </row>
    <row r="104" spans="2:15" x14ac:dyDescent="0.3">
      <c r="B104" s="373">
        <v>304127.03265700029</v>
      </c>
      <c r="C104" s="374">
        <v>304377.68052500044</v>
      </c>
      <c r="D104" s="375">
        <f t="shared" si="5"/>
        <v>250.64786800014554</v>
      </c>
      <c r="E104" s="375"/>
      <c r="F104" s="179"/>
      <c r="G104" s="179"/>
      <c r="H104" s="179"/>
      <c r="J104" s="39"/>
      <c r="K104" s="39"/>
      <c r="L104" s="39"/>
      <c r="M104" s="39"/>
      <c r="N104" s="39"/>
      <c r="O104" s="39"/>
    </row>
    <row r="105" spans="2:15" x14ac:dyDescent="0.3">
      <c r="B105" s="373">
        <v>349219.89358310134</v>
      </c>
      <c r="C105" s="374">
        <v>370553.09079600172</v>
      </c>
      <c r="D105" s="375">
        <f t="shared" si="5"/>
        <v>21333.197212900384</v>
      </c>
      <c r="E105" s="375"/>
      <c r="F105" s="179"/>
      <c r="G105" s="179"/>
      <c r="H105" s="179"/>
      <c r="J105" s="39"/>
      <c r="K105" s="39"/>
      <c r="L105" s="39"/>
      <c r="M105" s="39"/>
      <c r="N105" s="39"/>
      <c r="O105" s="39"/>
    </row>
    <row r="106" spans="2:15" x14ac:dyDescent="0.3">
      <c r="B106" s="373">
        <v>333468.85463939863</v>
      </c>
      <c r="C106" s="374">
        <v>346838.06043119862</v>
      </c>
      <c r="D106" s="375">
        <f t="shared" si="5"/>
        <v>13369.205791799992</v>
      </c>
      <c r="E106" s="375"/>
      <c r="F106" s="179"/>
      <c r="G106" s="179"/>
      <c r="H106" s="179"/>
      <c r="J106" s="39"/>
      <c r="K106" s="39"/>
      <c r="L106" s="39"/>
      <c r="M106" s="39"/>
      <c r="N106" s="39"/>
      <c r="O106" s="39"/>
    </row>
    <row r="107" spans="2:15" x14ac:dyDescent="0.3">
      <c r="B107" s="373">
        <v>391111.11019799986</v>
      </c>
      <c r="C107" s="374">
        <v>405186.63138239924</v>
      </c>
      <c r="D107" s="375">
        <f t="shared" si="5"/>
        <v>14075.521184399375</v>
      </c>
      <c r="E107" s="375"/>
      <c r="F107" s="179"/>
      <c r="G107" s="179"/>
      <c r="H107" s="179"/>
      <c r="J107" s="39"/>
      <c r="K107" s="39"/>
      <c r="L107" s="39"/>
      <c r="M107" s="39"/>
      <c r="N107" s="39"/>
      <c r="O107" s="39"/>
    </row>
    <row r="108" spans="2:15" x14ac:dyDescent="0.3">
      <c r="B108" s="376">
        <v>265775.67</v>
      </c>
      <c r="C108" s="377">
        <v>299742.15310019965</v>
      </c>
      <c r="D108" s="375">
        <f t="shared" si="5"/>
        <v>33966.483100199664</v>
      </c>
      <c r="E108" s="375"/>
      <c r="F108" s="179"/>
      <c r="G108" s="179"/>
      <c r="H108" s="179"/>
      <c r="J108" s="39"/>
      <c r="K108" s="39"/>
      <c r="L108" s="39"/>
      <c r="M108" s="39"/>
      <c r="N108" s="39"/>
      <c r="O108" s="39"/>
    </row>
    <row r="109" spans="2:15" x14ac:dyDescent="0.3">
      <c r="B109" s="378">
        <v>3996605.0591234011</v>
      </c>
      <c r="C109" s="377">
        <v>3965195.4704768998</v>
      </c>
      <c r="D109" s="379">
        <f>SUM(D97:D108)</f>
        <v>88846.911691998539</v>
      </c>
      <c r="G109"/>
      <c r="J109" s="39"/>
      <c r="K109" s="39"/>
      <c r="L109" s="39"/>
      <c r="M109" s="39"/>
      <c r="N109" s="39"/>
      <c r="O109" s="39"/>
    </row>
    <row r="110" spans="2:15" x14ac:dyDescent="0.3">
      <c r="B110" s="212"/>
      <c r="C110" s="179"/>
      <c r="D110" s="253"/>
      <c r="G110"/>
      <c r="J110" s="39"/>
      <c r="K110" s="39"/>
      <c r="L110" s="39"/>
      <c r="M110" s="39"/>
      <c r="N110" s="39"/>
      <c r="O110" s="39"/>
    </row>
    <row r="111" spans="2:15" x14ac:dyDescent="0.3">
      <c r="B111" s="401" t="s">
        <v>539</v>
      </c>
      <c r="C111" s="449"/>
      <c r="D111" s="449"/>
      <c r="E111" s="449"/>
      <c r="F111" s="449"/>
      <c r="G111" s="449"/>
      <c r="H111" s="402"/>
    </row>
    <row r="113" spans="3:15" ht="28.8" x14ac:dyDescent="0.3">
      <c r="C113" s="393" t="s">
        <v>538</v>
      </c>
      <c r="D113" s="394">
        <v>129999.97522419575</v>
      </c>
      <c r="G113"/>
      <c r="J113" s="39"/>
      <c r="K113" s="39"/>
      <c r="L113" s="39"/>
      <c r="M113" s="39"/>
      <c r="N113" s="39"/>
      <c r="O113" s="39"/>
    </row>
    <row r="114" spans="3:15" ht="28.8" x14ac:dyDescent="0.3">
      <c r="C114" s="393" t="s">
        <v>540</v>
      </c>
      <c r="D114" s="394">
        <v>77483.445109704786</v>
      </c>
      <c r="G114"/>
      <c r="J114" s="39"/>
      <c r="K114" s="39"/>
      <c r="L114" s="39"/>
      <c r="M114" s="39"/>
      <c r="N114" s="39"/>
      <c r="O114" s="39"/>
    </row>
    <row r="115" spans="3:15" ht="15" thickBot="1" x14ac:dyDescent="0.35">
      <c r="C115" s="393" t="s">
        <v>541</v>
      </c>
      <c r="D115" s="395">
        <f>D114-D113</f>
        <v>-52516.530114490961</v>
      </c>
      <c r="G115"/>
    </row>
    <row r="116" spans="3:15" ht="15" thickTop="1" x14ac:dyDescent="0.3">
      <c r="G116"/>
    </row>
    <row r="117" spans="3:15" x14ac:dyDescent="0.3">
      <c r="G117"/>
    </row>
    <row r="118" spans="3:15" x14ac:dyDescent="0.3">
      <c r="G118"/>
    </row>
  </sheetData>
  <mergeCells count="5">
    <mergeCell ref="B9:H9"/>
    <mergeCell ref="B65:H65"/>
    <mergeCell ref="B94:H94"/>
    <mergeCell ref="E31:G31"/>
    <mergeCell ref="B111:H111"/>
  </mergeCells>
  <pageMargins left="0.70866141732283472" right="0.70866141732283472" top="0.74803149606299213" bottom="0.74803149606299213" header="0.31496062992125984" footer="0.31496062992125984"/>
  <pageSetup scale="62" fitToHeight="0" orientation="portrait" r:id="rId1"/>
  <rowBreaks count="1" manualBreakCount="1">
    <brk id="64" max="2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W129"/>
  <sheetViews>
    <sheetView zoomScaleNormal="100" workbookViewId="0">
      <selection activeCell="D16" sqref="D16:O16"/>
    </sheetView>
  </sheetViews>
  <sheetFormatPr defaultRowHeight="14.4" x14ac:dyDescent="0.3"/>
  <cols>
    <col min="3" max="3" width="26.5546875" bestFit="1" customWidth="1"/>
    <col min="4" max="18" width="14.6640625" customWidth="1"/>
    <col min="19" max="19" width="23.88671875" hidden="1" customWidth="1"/>
    <col min="20" max="20" width="14.33203125" hidden="1" customWidth="1"/>
    <col min="21" max="22" width="0" hidden="1" customWidth="1"/>
  </cols>
  <sheetData>
    <row r="2" spans="2:23" x14ac:dyDescent="0.3">
      <c r="C2" s="398" t="s">
        <v>464</v>
      </c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</row>
    <row r="3" spans="2:23" x14ac:dyDescent="0.3">
      <c r="S3" s="451" t="s">
        <v>465</v>
      </c>
      <c r="T3" s="451"/>
    </row>
    <row r="4" spans="2:23" x14ac:dyDescent="0.3">
      <c r="B4" s="303" t="s">
        <v>466</v>
      </c>
      <c r="C4" s="46">
        <v>2020</v>
      </c>
      <c r="D4" s="91" t="s">
        <v>165</v>
      </c>
      <c r="E4" s="91" t="s">
        <v>166</v>
      </c>
      <c r="F4" s="91" t="s">
        <v>167</v>
      </c>
      <c r="G4" s="91" t="s">
        <v>168</v>
      </c>
      <c r="H4" s="91" t="s">
        <v>4</v>
      </c>
      <c r="I4" s="91" t="s">
        <v>169</v>
      </c>
      <c r="J4" s="91" t="s">
        <v>170</v>
      </c>
      <c r="K4" s="91" t="s">
        <v>171</v>
      </c>
      <c r="L4" s="91" t="s">
        <v>172</v>
      </c>
      <c r="M4" s="91" t="s">
        <v>173</v>
      </c>
      <c r="N4" s="91" t="s">
        <v>174</v>
      </c>
      <c r="O4" s="91" t="s">
        <v>175</v>
      </c>
      <c r="S4" t="s">
        <v>467</v>
      </c>
      <c r="T4" s="304">
        <f>P50</f>
        <v>789878.58032242989</v>
      </c>
    </row>
    <row r="5" spans="2:23" x14ac:dyDescent="0.3">
      <c r="C5" t="s">
        <v>468</v>
      </c>
      <c r="D5" s="18">
        <v>27172056</v>
      </c>
      <c r="E5" s="18">
        <v>25399903</v>
      </c>
      <c r="F5" s="18">
        <v>24999955</v>
      </c>
      <c r="G5" s="18">
        <v>22234209</v>
      </c>
      <c r="H5" s="18">
        <v>21946604</v>
      </c>
      <c r="I5" s="18">
        <v>23965653</v>
      </c>
      <c r="J5" s="18">
        <v>30221158</v>
      </c>
      <c r="K5" s="18">
        <v>26429798</v>
      </c>
      <c r="L5" s="18">
        <v>20908479</v>
      </c>
      <c r="M5" s="18">
        <v>22166886</v>
      </c>
      <c r="N5" s="18">
        <v>23120657</v>
      </c>
      <c r="O5" s="18">
        <v>27610230</v>
      </c>
      <c r="S5" t="s">
        <v>469</v>
      </c>
      <c r="T5" s="304">
        <f>P100</f>
        <v>367771.52726566489</v>
      </c>
    </row>
    <row r="6" spans="2:23" ht="15" thickBot="1" x14ac:dyDescent="0.35">
      <c r="C6" t="s">
        <v>470</v>
      </c>
      <c r="D6" s="18">
        <v>47118.59599999999</v>
      </c>
      <c r="E6" s="18">
        <v>134240.22099999999</v>
      </c>
      <c r="F6" s="18">
        <v>249315.95199999993</v>
      </c>
      <c r="G6" s="18">
        <v>341757.99699999992</v>
      </c>
      <c r="H6" s="18">
        <v>400948.81999999977</v>
      </c>
      <c r="I6" s="18">
        <v>398746.52800000005</v>
      </c>
      <c r="J6" s="18">
        <v>397814.73099999997</v>
      </c>
      <c r="K6" s="18">
        <v>401224.85100000008</v>
      </c>
      <c r="L6" s="18">
        <v>329425.06699000014</v>
      </c>
      <c r="M6" s="18">
        <v>204706.77400000006</v>
      </c>
      <c r="N6" s="18">
        <v>130234.03299999991</v>
      </c>
      <c r="O6" s="18">
        <v>49908.966000000008</v>
      </c>
      <c r="T6" s="305">
        <f>SUM(T4:T5)</f>
        <v>1157650.1075880947</v>
      </c>
    </row>
    <row r="7" spans="2:23" ht="15" thickTop="1" x14ac:dyDescent="0.3">
      <c r="B7" s="303" t="s">
        <v>17</v>
      </c>
      <c r="C7" s="302" t="s">
        <v>471</v>
      </c>
      <c r="D7" s="306">
        <f>SUM(D5:D6)</f>
        <v>27219174.596000001</v>
      </c>
      <c r="E7" s="306">
        <f t="shared" ref="E7:O7" si="0">SUM(E5:E6)</f>
        <v>25534143.221000001</v>
      </c>
      <c r="F7" s="306">
        <f t="shared" si="0"/>
        <v>25249270.952</v>
      </c>
      <c r="G7" s="306">
        <f t="shared" si="0"/>
        <v>22575966.997000001</v>
      </c>
      <c r="H7" s="306">
        <f t="shared" si="0"/>
        <v>22347552.82</v>
      </c>
      <c r="I7" s="306">
        <f t="shared" si="0"/>
        <v>24364399.528000001</v>
      </c>
      <c r="J7" s="306">
        <f t="shared" si="0"/>
        <v>30618972.730999999</v>
      </c>
      <c r="K7" s="306">
        <f t="shared" si="0"/>
        <v>26831022.851</v>
      </c>
      <c r="L7" s="306">
        <f t="shared" si="0"/>
        <v>21237904.066989999</v>
      </c>
      <c r="M7" s="306">
        <f t="shared" si="0"/>
        <v>22371592.774</v>
      </c>
      <c r="N7" s="306">
        <f t="shared" si="0"/>
        <v>23250891.033</v>
      </c>
      <c r="O7" s="306">
        <f t="shared" si="0"/>
        <v>27660138.965999998</v>
      </c>
    </row>
    <row r="8" spans="2:23" x14ac:dyDescent="0.3"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S8" t="s">
        <v>472</v>
      </c>
      <c r="T8" s="307">
        <f>Q23</f>
        <v>1173150.0500000007</v>
      </c>
      <c r="W8" s="308"/>
    </row>
    <row r="9" spans="2:23" x14ac:dyDescent="0.3">
      <c r="C9" t="s">
        <v>473</v>
      </c>
      <c r="D9" s="18">
        <v>25656508.589999992</v>
      </c>
      <c r="E9" s="18">
        <v>24222204.700000018</v>
      </c>
      <c r="F9" s="18">
        <v>23532795.27</v>
      </c>
      <c r="G9" s="18">
        <v>20988558.799999986</v>
      </c>
      <c r="H9" s="18">
        <v>20963311.759999976</v>
      </c>
      <c r="I9" s="18">
        <v>22850727.449999996</v>
      </c>
      <c r="J9" s="18">
        <v>29131065.300000012</v>
      </c>
      <c r="K9" s="18">
        <v>25410615.680000003</v>
      </c>
      <c r="L9" s="18">
        <v>19976275.349999987</v>
      </c>
      <c r="M9" s="18">
        <v>21067383.799999993</v>
      </c>
      <c r="N9" s="18">
        <v>21791597.09</v>
      </c>
      <c r="O9" s="18">
        <v>26194884.06000001</v>
      </c>
      <c r="S9" t="s">
        <v>474</v>
      </c>
      <c r="T9" s="309">
        <v>58371.12000000081</v>
      </c>
    </row>
    <row r="10" spans="2:23" ht="15" thickBot="1" x14ac:dyDescent="0.35">
      <c r="C10" t="s">
        <v>475</v>
      </c>
      <c r="D10" s="18">
        <v>897266.30914800009</v>
      </c>
      <c r="E10" s="18">
        <v>919008.79230600002</v>
      </c>
      <c r="F10" s="18">
        <v>986093.03925000015</v>
      </c>
      <c r="G10" s="18">
        <v>928907.73914399988</v>
      </c>
      <c r="H10" s="18">
        <v>768325.31918999995</v>
      </c>
      <c r="I10" s="18">
        <v>971910.44755200006</v>
      </c>
      <c r="J10" s="18">
        <v>842039.36883000005</v>
      </c>
      <c r="K10" s="18">
        <v>865941.79678199999</v>
      </c>
      <c r="L10" s="18">
        <v>882804.09380400018</v>
      </c>
      <c r="M10" s="18">
        <v>932585.90374800004</v>
      </c>
      <c r="N10" s="18">
        <v>923497.39672200021</v>
      </c>
      <c r="O10" s="18">
        <v>750716.55712800007</v>
      </c>
      <c r="T10" s="310">
        <f>SUM(T8:T9)</f>
        <v>1231521.1700000016</v>
      </c>
    </row>
    <row r="11" spans="2:23" ht="15" thickTop="1" x14ac:dyDescent="0.3">
      <c r="C11" s="302" t="s">
        <v>476</v>
      </c>
      <c r="D11" s="311">
        <f>SUM(D9:D10)</f>
        <v>26553774.899147991</v>
      </c>
      <c r="E11" s="311">
        <f t="shared" ref="E11:O11" si="1">SUM(E9:E10)</f>
        <v>25141213.492306016</v>
      </c>
      <c r="F11" s="311">
        <f t="shared" si="1"/>
        <v>24518888.309250001</v>
      </c>
      <c r="G11" s="311">
        <f t="shared" si="1"/>
        <v>21917466.539143987</v>
      </c>
      <c r="H11" s="311">
        <f t="shared" si="1"/>
        <v>21731637.079189975</v>
      </c>
      <c r="I11" s="311">
        <f t="shared" si="1"/>
        <v>23822637.897551995</v>
      </c>
      <c r="J11" s="311">
        <f t="shared" si="1"/>
        <v>29973104.668830011</v>
      </c>
      <c r="K11" s="311">
        <f t="shared" si="1"/>
        <v>26276557.476782002</v>
      </c>
      <c r="L11" s="311">
        <f t="shared" si="1"/>
        <v>20859079.443803988</v>
      </c>
      <c r="M11" s="311">
        <f t="shared" si="1"/>
        <v>21999969.703747995</v>
      </c>
      <c r="N11" s="311">
        <f t="shared" si="1"/>
        <v>22715094.486722</v>
      </c>
      <c r="O11" s="311">
        <f t="shared" si="1"/>
        <v>26945600.617128011</v>
      </c>
    </row>
    <row r="12" spans="2:23" ht="15" thickBot="1" x14ac:dyDescent="0.35">
      <c r="C12" s="312" t="s">
        <v>477</v>
      </c>
      <c r="D12" s="313">
        <v>34365.976000000053</v>
      </c>
      <c r="E12" s="313">
        <v>11989.478000000003</v>
      </c>
      <c r="F12" s="313">
        <v>11477.600000000006</v>
      </c>
      <c r="G12" s="313">
        <v>11139.401999999973</v>
      </c>
      <c r="H12" s="313">
        <v>10038.674999999988</v>
      </c>
      <c r="I12" s="313">
        <v>12780.393000000069</v>
      </c>
      <c r="J12" s="313">
        <v>15894.713000000105</v>
      </c>
      <c r="K12" s="313">
        <v>13917.287000000011</v>
      </c>
      <c r="L12" s="313"/>
      <c r="M12" s="314"/>
      <c r="N12" s="314"/>
      <c r="O12" s="314"/>
      <c r="S12" s="47" t="s">
        <v>45</v>
      </c>
      <c r="T12" s="315">
        <f>T6-T10</f>
        <v>-73871.062411906896</v>
      </c>
      <c r="U12" t="s">
        <v>478</v>
      </c>
    </row>
    <row r="13" spans="2:23" ht="15" thickTop="1" x14ac:dyDescent="0.3">
      <c r="C13" s="312" t="s">
        <v>479</v>
      </c>
      <c r="D13" s="313"/>
      <c r="E13" s="313"/>
      <c r="F13" s="313"/>
      <c r="G13" s="313"/>
      <c r="H13" s="313"/>
      <c r="I13" s="313"/>
      <c r="J13" s="313"/>
      <c r="K13" s="313"/>
      <c r="L13" s="313"/>
      <c r="M13" s="314"/>
      <c r="N13" s="314"/>
      <c r="O13" s="314"/>
    </row>
    <row r="14" spans="2:23" ht="28.8" x14ac:dyDescent="0.3">
      <c r="P14" s="97" t="s">
        <v>480</v>
      </c>
      <c r="Q14" s="97" t="s">
        <v>481</v>
      </c>
    </row>
    <row r="15" spans="2:23" x14ac:dyDescent="0.3">
      <c r="B15" s="303" t="s">
        <v>18</v>
      </c>
      <c r="C15" s="47" t="s">
        <v>164</v>
      </c>
      <c r="D15" s="316">
        <f t="shared" ref="D15:O15" si="2">D7-D11</f>
        <v>665399.69685200974</v>
      </c>
      <c r="E15" s="316">
        <f t="shared" si="2"/>
        <v>392929.72869398445</v>
      </c>
      <c r="F15" s="316">
        <f t="shared" si="2"/>
        <v>730382.64274999872</v>
      </c>
      <c r="G15" s="316">
        <f t="shared" si="2"/>
        <v>658500.45785601437</v>
      </c>
      <c r="H15" s="316">
        <f t="shared" si="2"/>
        <v>615915.74081002548</v>
      </c>
      <c r="I15" s="316">
        <f t="shared" si="2"/>
        <v>541761.63044800609</v>
      </c>
      <c r="J15" s="316">
        <f t="shared" si="2"/>
        <v>645868.06216998771</v>
      </c>
      <c r="K15" s="316">
        <f t="shared" si="2"/>
        <v>554465.37421799824</v>
      </c>
      <c r="L15" s="316">
        <f t="shared" si="2"/>
        <v>378824.62318601087</v>
      </c>
      <c r="M15" s="316">
        <f t="shared" si="2"/>
        <v>371623.07025200501</v>
      </c>
      <c r="N15" s="316">
        <f t="shared" si="2"/>
        <v>535796.54627799988</v>
      </c>
      <c r="O15" s="316">
        <f t="shared" si="2"/>
        <v>714538.34887198731</v>
      </c>
      <c r="P15" s="316">
        <f>SUM(D15:O15)</f>
        <v>6806005.9223860279</v>
      </c>
      <c r="Q15" s="63">
        <f>AVERAGE(D15:O15)</f>
        <v>567167.16019883566</v>
      </c>
      <c r="T15" s="304"/>
    </row>
    <row r="16" spans="2:23" ht="15" thickBot="1" x14ac:dyDescent="0.35">
      <c r="C16" t="s">
        <v>482</v>
      </c>
      <c r="D16" s="317">
        <f t="shared" ref="D16:O16" si="3">D15/D7</f>
        <v>2.4445990987169527E-2</v>
      </c>
      <c r="E16" s="317">
        <f t="shared" si="3"/>
        <v>1.5388404666377368E-2</v>
      </c>
      <c r="F16" s="317">
        <f t="shared" si="3"/>
        <v>2.8926880468687154E-2</v>
      </c>
      <c r="G16" s="317">
        <f t="shared" si="3"/>
        <v>2.916820608142805E-2</v>
      </c>
      <c r="H16" s="317">
        <f t="shared" si="3"/>
        <v>2.7560768992066553E-2</v>
      </c>
      <c r="I16" s="317">
        <f t="shared" si="3"/>
        <v>2.2235788319979074E-2</v>
      </c>
      <c r="J16" s="317">
        <f t="shared" si="3"/>
        <v>2.1093720806514268E-2</v>
      </c>
      <c r="K16" s="317">
        <f t="shared" si="3"/>
        <v>2.0665085237230648E-2</v>
      </c>
      <c r="L16" s="317">
        <f t="shared" si="3"/>
        <v>1.7837194385618149E-2</v>
      </c>
      <c r="M16" s="317">
        <f t="shared" si="3"/>
        <v>1.6611381854040402E-2</v>
      </c>
      <c r="N16" s="317">
        <f t="shared" si="3"/>
        <v>2.3044129599916991E-2</v>
      </c>
      <c r="O16" s="317">
        <f t="shared" si="3"/>
        <v>2.5832782320808365E-2</v>
      </c>
    </row>
    <row r="17" spans="3:18" ht="15" thickTop="1" x14ac:dyDescent="0.3"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</row>
    <row r="18" spans="3:18" x14ac:dyDescent="0.3">
      <c r="C18" s="398" t="s">
        <v>483</v>
      </c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398"/>
    </row>
    <row r="20" spans="3:18" x14ac:dyDescent="0.3">
      <c r="C20" s="91" t="s">
        <v>484</v>
      </c>
      <c r="D20" s="91" t="s">
        <v>0</v>
      </c>
      <c r="E20" s="12" t="s">
        <v>1</v>
      </c>
      <c r="F20" s="12" t="s">
        <v>2</v>
      </c>
      <c r="G20" s="12" t="s">
        <v>3</v>
      </c>
      <c r="H20" s="12" t="s">
        <v>4</v>
      </c>
      <c r="I20" s="12" t="s">
        <v>5</v>
      </c>
      <c r="J20" s="12" t="s">
        <v>6</v>
      </c>
      <c r="K20" s="12" t="s">
        <v>7</v>
      </c>
      <c r="L20" s="12" t="s">
        <v>8</v>
      </c>
      <c r="M20" s="12" t="s">
        <v>9</v>
      </c>
      <c r="N20" s="12" t="s">
        <v>10</v>
      </c>
      <c r="O20" s="12" t="s">
        <v>11</v>
      </c>
      <c r="P20" s="12" t="s">
        <v>14</v>
      </c>
      <c r="Q20" s="12" t="s">
        <v>164</v>
      </c>
      <c r="R20" s="12" t="s">
        <v>485</v>
      </c>
    </row>
    <row r="21" spans="3:18" x14ac:dyDescent="0.3">
      <c r="D21" s="228"/>
      <c r="E21" s="1"/>
      <c r="F21" s="5"/>
      <c r="G21" s="229"/>
      <c r="H21" s="1"/>
      <c r="I21" s="1"/>
      <c r="J21" s="1"/>
      <c r="K21" s="1"/>
      <c r="L21" s="5"/>
      <c r="M21" s="229"/>
      <c r="N21" s="1"/>
      <c r="O21" s="5"/>
    </row>
    <row r="22" spans="3:18" x14ac:dyDescent="0.3">
      <c r="C22" s="230" t="s">
        <v>357</v>
      </c>
      <c r="D22" s="231">
        <v>-2683321.0400000005</v>
      </c>
      <c r="E22" s="231">
        <v>-2617293.2999999989</v>
      </c>
      <c r="F22" s="231">
        <v>-2497776.0199999996</v>
      </c>
      <c r="G22" s="231">
        <v>-2296292.0600000005</v>
      </c>
      <c r="H22" s="231">
        <v>-1712112.47</v>
      </c>
      <c r="I22" s="232">
        <v>-1705948.24</v>
      </c>
      <c r="J22" s="232">
        <v>-2353950.1799999997</v>
      </c>
      <c r="K22" s="231">
        <v>-3093559.98</v>
      </c>
      <c r="L22" s="231">
        <v>-2759517.01</v>
      </c>
      <c r="M22" s="231">
        <v>-1997510.94</v>
      </c>
      <c r="N22" s="231">
        <v>-2123420.3199999989</v>
      </c>
      <c r="O22" s="231">
        <v>-2304358.04</v>
      </c>
      <c r="P22" s="236">
        <f>SUM(D22:O22)</f>
        <v>-28145059.599999998</v>
      </c>
    </row>
    <row r="23" spans="3:18" x14ac:dyDescent="0.3">
      <c r="C23" s="230" t="s">
        <v>358</v>
      </c>
      <c r="D23" s="231">
        <v>2487543.33</v>
      </c>
      <c r="E23" s="231">
        <v>2513031.52</v>
      </c>
      <c r="F23" s="231">
        <v>2192593.4500000002</v>
      </c>
      <c r="G23" s="231">
        <v>1913496.56</v>
      </c>
      <c r="H23" s="231">
        <v>1843216.89</v>
      </c>
      <c r="I23" s="232">
        <v>2424564.7599999998</v>
      </c>
      <c r="J23" s="232">
        <v>3223783.97</v>
      </c>
      <c r="K23" s="231">
        <v>2776411.95</v>
      </c>
      <c r="L23" s="231">
        <v>2214726.36</v>
      </c>
      <c r="M23" s="231">
        <v>2158150.35</v>
      </c>
      <c r="N23" s="231">
        <v>2368876.5099999998</v>
      </c>
      <c r="O23" s="231">
        <v>3201814</v>
      </c>
      <c r="P23" s="236">
        <f>SUM(D23:O23)</f>
        <v>29318209.649999999</v>
      </c>
      <c r="Q23" s="319">
        <f>P22+P23</f>
        <v>1173150.0500000007</v>
      </c>
      <c r="R23" t="s">
        <v>486</v>
      </c>
    </row>
    <row r="24" spans="3:18" x14ac:dyDescent="0.3">
      <c r="C24" s="230" t="s">
        <v>359</v>
      </c>
      <c r="D24" s="320">
        <v>-9445.7299999999814</v>
      </c>
      <c r="E24" s="321">
        <v>247192.57999999961</v>
      </c>
      <c r="F24" s="321">
        <v>-47001.149999999907</v>
      </c>
      <c r="G24" s="322">
        <v>685575.30000000028</v>
      </c>
      <c r="H24" s="321">
        <v>376872.77</v>
      </c>
      <c r="I24" s="321">
        <v>-97477.130000000354</v>
      </c>
      <c r="J24" s="321">
        <v>-1357205.67</v>
      </c>
      <c r="K24" s="321">
        <v>623602.73</v>
      </c>
      <c r="L24" s="321">
        <v>696669.51</v>
      </c>
      <c r="M24" s="321">
        <v>166018.03081404901</v>
      </c>
      <c r="N24" s="321">
        <v>-58193.810183182301</v>
      </c>
      <c r="O24" s="321">
        <v>-827666.02916431404</v>
      </c>
      <c r="P24" s="323">
        <f>SUM(D24:O24)</f>
        <v>398941.4014665524</v>
      </c>
      <c r="Q24" s="324">
        <f>Q23+P24</f>
        <v>1572091.4514665531</v>
      </c>
      <c r="R24" t="s">
        <v>487</v>
      </c>
    </row>
    <row r="25" spans="3:18" x14ac:dyDescent="0.3">
      <c r="C25" s="237"/>
      <c r="D25" s="238">
        <f t="shared" ref="D25:L25" si="4">SUM(D22:D24)</f>
        <v>-205223.44000000041</v>
      </c>
      <c r="E25" s="239">
        <f t="shared" si="4"/>
        <v>142930.80000000075</v>
      </c>
      <c r="F25" s="239">
        <f t="shared" si="4"/>
        <v>-352183.71999999927</v>
      </c>
      <c r="G25" s="240">
        <f t="shared" si="4"/>
        <v>302779.79999999981</v>
      </c>
      <c r="H25" s="239">
        <f t="shared" si="4"/>
        <v>507977.18999999994</v>
      </c>
      <c r="I25" s="239">
        <f t="shared" si="4"/>
        <v>621139.38999999943</v>
      </c>
      <c r="J25" s="239">
        <f t="shared" si="4"/>
        <v>-487371.87999999942</v>
      </c>
      <c r="K25" s="239">
        <f t="shared" si="4"/>
        <v>306454.70000000019</v>
      </c>
      <c r="L25" s="239">
        <f t="shared" si="4"/>
        <v>151878.8600000001</v>
      </c>
      <c r="M25" s="239">
        <f>SUM(M22:M24)</f>
        <v>326657.44081404916</v>
      </c>
      <c r="N25" s="239">
        <f>SUM(N22:N24)</f>
        <v>187262.37981681857</v>
      </c>
      <c r="O25" s="239">
        <f>SUM(O22:O24)</f>
        <v>69789.930835685926</v>
      </c>
    </row>
    <row r="26" spans="3:18" x14ac:dyDescent="0.3">
      <c r="C26" s="237"/>
      <c r="D26" s="231"/>
      <c r="E26" s="232"/>
      <c r="F26" s="232"/>
      <c r="G26" s="241"/>
      <c r="H26" s="232"/>
      <c r="I26" s="232"/>
      <c r="J26" s="232"/>
      <c r="K26" s="232"/>
      <c r="L26" s="232"/>
      <c r="M26" s="232"/>
      <c r="N26" s="232"/>
      <c r="O26" s="232"/>
    </row>
    <row r="27" spans="3:18" x14ac:dyDescent="0.3">
      <c r="C27" s="230" t="s">
        <v>360</v>
      </c>
      <c r="D27" s="231">
        <v>1769979.52</v>
      </c>
      <c r="E27" s="231">
        <v>142930.79999999999</v>
      </c>
      <c r="F27" s="231">
        <v>-352183.71</v>
      </c>
      <c r="G27" s="231">
        <v>302779.81</v>
      </c>
      <c r="H27" s="231">
        <v>507977.2</v>
      </c>
      <c r="I27" s="232">
        <v>621139.4</v>
      </c>
      <c r="J27" s="232">
        <v>-487371.87</v>
      </c>
      <c r="K27" s="231">
        <v>306454.71000000002</v>
      </c>
      <c r="L27" s="231">
        <v>151878.85999999999</v>
      </c>
      <c r="M27" s="231">
        <v>326657.46000000002</v>
      </c>
      <c r="N27" s="231">
        <v>187262.39</v>
      </c>
      <c r="O27" s="231">
        <v>69789.899999999994</v>
      </c>
    </row>
    <row r="28" spans="3:18" x14ac:dyDescent="0.3">
      <c r="C28" s="237"/>
      <c r="D28" s="231"/>
      <c r="E28" s="232"/>
      <c r="F28" s="232"/>
      <c r="G28" s="241"/>
      <c r="H28" s="232"/>
      <c r="I28" s="232"/>
      <c r="J28" s="232"/>
      <c r="K28" s="232"/>
      <c r="L28" s="232"/>
      <c r="M28" s="232"/>
      <c r="N28" s="232"/>
      <c r="O28" s="232"/>
    </row>
    <row r="29" spans="3:18" x14ac:dyDescent="0.3">
      <c r="C29" s="230" t="s">
        <v>52</v>
      </c>
      <c r="D29" s="231">
        <v>-1975202.96</v>
      </c>
      <c r="E29" s="232"/>
      <c r="F29" s="232"/>
      <c r="G29" s="241"/>
      <c r="H29" s="232"/>
      <c r="I29" s="232"/>
      <c r="J29" s="232"/>
      <c r="K29" s="232"/>
      <c r="L29" s="232"/>
      <c r="M29" s="232"/>
      <c r="N29" s="232"/>
      <c r="O29" s="232"/>
    </row>
    <row r="30" spans="3:18" x14ac:dyDescent="0.3">
      <c r="C30" s="237"/>
      <c r="D30" s="231"/>
      <c r="E30" s="232"/>
      <c r="F30" s="232"/>
      <c r="G30" s="241"/>
      <c r="H30" s="232"/>
      <c r="I30" s="232"/>
      <c r="J30" s="232"/>
      <c r="K30" s="232"/>
      <c r="L30" s="232"/>
      <c r="M30" s="232"/>
      <c r="N30" s="232"/>
      <c r="O30" s="232"/>
    </row>
    <row r="31" spans="3:18" x14ac:dyDescent="0.3">
      <c r="C31" s="230" t="s">
        <v>361</v>
      </c>
      <c r="D31" s="231"/>
      <c r="E31" s="232"/>
      <c r="F31" s="232"/>
      <c r="G31" s="241"/>
      <c r="H31" s="232"/>
      <c r="I31" s="232"/>
      <c r="J31" s="232"/>
      <c r="K31" s="232"/>
      <c r="L31" s="232"/>
      <c r="M31" s="232"/>
      <c r="N31" s="232"/>
      <c r="O31" s="232"/>
    </row>
    <row r="32" spans="3:18" x14ac:dyDescent="0.3">
      <c r="C32" s="237"/>
      <c r="D32" s="231"/>
      <c r="E32" s="232"/>
      <c r="F32" s="232"/>
      <c r="G32" s="241"/>
      <c r="H32" s="232"/>
      <c r="I32" s="232"/>
      <c r="J32" s="232"/>
      <c r="K32" s="232"/>
      <c r="L32" s="232"/>
      <c r="M32" s="232"/>
      <c r="N32" s="232"/>
      <c r="O32" s="232"/>
    </row>
    <row r="33" spans="2:18" x14ac:dyDescent="0.3">
      <c r="C33" s="230" t="s">
        <v>362</v>
      </c>
      <c r="D33" s="231">
        <f t="shared" ref="D33:L33" si="5">D27+D29</f>
        <v>-205223.43999999994</v>
      </c>
      <c r="E33" s="232">
        <f t="shared" si="5"/>
        <v>142930.79999999999</v>
      </c>
      <c r="F33" s="232">
        <f t="shared" si="5"/>
        <v>-352183.71</v>
      </c>
      <c r="G33" s="241">
        <f t="shared" si="5"/>
        <v>302779.81</v>
      </c>
      <c r="H33" s="232">
        <f t="shared" si="5"/>
        <v>507977.2</v>
      </c>
      <c r="I33" s="232">
        <f t="shared" si="5"/>
        <v>621139.4</v>
      </c>
      <c r="J33" s="232">
        <f t="shared" si="5"/>
        <v>-487371.87</v>
      </c>
      <c r="K33" s="232">
        <f t="shared" si="5"/>
        <v>306454.71000000002</v>
      </c>
      <c r="L33" s="232">
        <f t="shared" si="5"/>
        <v>151878.85999999999</v>
      </c>
      <c r="M33" s="232">
        <f>M27+M29</f>
        <v>326657.46000000002</v>
      </c>
      <c r="N33" s="232">
        <f>N27+N29</f>
        <v>187262.39</v>
      </c>
      <c r="O33" s="232">
        <f>O27+O29</f>
        <v>69789.899999999994</v>
      </c>
    </row>
    <row r="34" spans="2:18" x14ac:dyDescent="0.3">
      <c r="C34" s="237"/>
      <c r="D34" s="231"/>
      <c r="E34" s="232"/>
      <c r="F34" s="232"/>
      <c r="G34" s="241"/>
      <c r="H34" s="232"/>
      <c r="I34" s="232"/>
      <c r="J34" s="232"/>
      <c r="K34" s="232"/>
      <c r="L34" s="232"/>
      <c r="M34" s="232"/>
      <c r="N34" s="232"/>
      <c r="O34" s="232"/>
    </row>
    <row r="35" spans="2:18" x14ac:dyDescent="0.3">
      <c r="C35" s="237"/>
      <c r="D35" s="231"/>
      <c r="E35" s="232"/>
      <c r="F35" s="232"/>
      <c r="G35" s="241"/>
      <c r="H35" s="232"/>
      <c r="I35" s="232"/>
      <c r="J35" s="242"/>
      <c r="K35" s="232"/>
      <c r="L35" s="232"/>
      <c r="M35" s="232"/>
      <c r="N35" s="232"/>
      <c r="O35" s="232"/>
    </row>
    <row r="36" spans="2:18" ht="15" thickBot="1" x14ac:dyDescent="0.35">
      <c r="C36" s="230" t="s">
        <v>363</v>
      </c>
      <c r="D36" s="244">
        <f>D25-D33</f>
        <v>-4.6566128730773926E-10</v>
      </c>
      <c r="E36" s="245">
        <f>E25-E33</f>
        <v>7.5669959187507629E-10</v>
      </c>
      <c r="F36" s="245">
        <f>F25-F33</f>
        <v>-9.9999992526136339E-3</v>
      </c>
      <c r="G36" s="246">
        <f>G25-G33+G31</f>
        <v>-1.0000000183936208E-2</v>
      </c>
      <c r="H36" s="245">
        <f>H25-H33</f>
        <v>-1.0000000067520887E-2</v>
      </c>
      <c r="I36" s="245">
        <f>I25-I33</f>
        <v>-1.0000000591389835E-2</v>
      </c>
      <c r="J36" s="246">
        <f>J25-J33+J31</f>
        <v>-9.9999994272366166E-3</v>
      </c>
      <c r="K36" s="245">
        <f>K25-K33</f>
        <v>-9.999999834690243E-3</v>
      </c>
      <c r="L36" s="245">
        <f>L25-L33</f>
        <v>0</v>
      </c>
      <c r="M36" s="245">
        <f>M25-M33</f>
        <v>-1.9185950863175094E-2</v>
      </c>
      <c r="N36" s="245">
        <f>N25-N33</f>
        <v>-1.0183181439060718E-2</v>
      </c>
      <c r="O36" s="245">
        <f>O25-O33</f>
        <v>3.0835685931378976E-2</v>
      </c>
    </row>
    <row r="37" spans="2:18" ht="15" thickTop="1" x14ac:dyDescent="0.3"/>
    <row r="39" spans="2:18" x14ac:dyDescent="0.3">
      <c r="C39" t="s">
        <v>488</v>
      </c>
      <c r="D39" s="325">
        <v>567951.12</v>
      </c>
      <c r="E39" s="325">
        <v>179912.61</v>
      </c>
      <c r="F39" s="325">
        <v>181457.78000000003</v>
      </c>
      <c r="G39" s="325">
        <v>-323007.89920533798</v>
      </c>
      <c r="H39" s="325">
        <v>-415831.61499999993</v>
      </c>
      <c r="I39" s="325">
        <v>-172778.1275</v>
      </c>
      <c r="J39" s="325">
        <v>684977.06</v>
      </c>
      <c r="K39" s="325">
        <v>239353.66</v>
      </c>
      <c r="L39" s="325">
        <v>-92132.57</v>
      </c>
      <c r="M39" s="325">
        <v>-116763.47000000003</v>
      </c>
      <c r="N39" s="325">
        <v>359249.68</v>
      </c>
      <c r="O39" s="325">
        <v>683323.24</v>
      </c>
      <c r="P39" s="326">
        <f>SUM(D39:O39)</f>
        <v>1775711.4682946622</v>
      </c>
    </row>
    <row r="41" spans="2:18" x14ac:dyDescent="0.3">
      <c r="C41" t="s">
        <v>489</v>
      </c>
      <c r="D41" s="18">
        <v>19771404.130000003</v>
      </c>
      <c r="E41" s="18">
        <v>18845528.759999994</v>
      </c>
      <c r="F41" s="18">
        <v>18288098.41</v>
      </c>
      <c r="G41" s="18">
        <v>16588195.350000011</v>
      </c>
      <c r="H41" s="18">
        <v>16433181.539999995</v>
      </c>
      <c r="I41" s="18">
        <v>17852330.829999998</v>
      </c>
      <c r="J41" s="18">
        <v>23366929.17000002</v>
      </c>
      <c r="K41" s="18">
        <v>20206891.769999996</v>
      </c>
      <c r="L41" s="18">
        <v>15092893.699999997</v>
      </c>
      <c r="M41" s="18">
        <v>15970311.899999993</v>
      </c>
      <c r="N41" s="18">
        <v>16664464.529999988</v>
      </c>
      <c r="O41" s="18">
        <v>20912959.070000015</v>
      </c>
      <c r="P41" s="308">
        <f>SUM(D41:O41)</f>
        <v>219993189.16000003</v>
      </c>
    </row>
    <row r="42" spans="2:18" x14ac:dyDescent="0.3">
      <c r="C42" t="s">
        <v>490</v>
      </c>
      <c r="D42">
        <v>0.10231999999999999</v>
      </c>
      <c r="E42">
        <v>0.11331000000000001</v>
      </c>
      <c r="F42">
        <v>0.11942</v>
      </c>
      <c r="G42">
        <v>0.115</v>
      </c>
      <c r="H42">
        <v>0.115</v>
      </c>
      <c r="I42">
        <v>0.115</v>
      </c>
      <c r="J42">
        <v>9.9019999999999997E-2</v>
      </c>
      <c r="K42">
        <v>0.10348</v>
      </c>
      <c r="L42">
        <v>0.12176000000000001</v>
      </c>
      <c r="M42">
        <v>0.12806000000000001</v>
      </c>
      <c r="N42">
        <v>0.11705</v>
      </c>
      <c r="O42">
        <v>0.10557999999999999</v>
      </c>
    </row>
    <row r="43" spans="2:18" x14ac:dyDescent="0.3">
      <c r="D43" s="327">
        <f>D41*D42</f>
        <v>2023010.0705816001</v>
      </c>
      <c r="E43" s="327">
        <f t="shared" ref="E43:O43" si="6">E41*E42</f>
        <v>2135386.8637955994</v>
      </c>
      <c r="F43" s="327">
        <f t="shared" si="6"/>
        <v>2183964.7121222001</v>
      </c>
      <c r="G43" s="327">
        <f t="shared" si="6"/>
        <v>1907642.4652500013</v>
      </c>
      <c r="H43" s="327">
        <f t="shared" si="6"/>
        <v>1889815.8770999995</v>
      </c>
      <c r="I43" s="327">
        <f t="shared" si="6"/>
        <v>2053018.0454499999</v>
      </c>
      <c r="J43" s="327">
        <f t="shared" si="6"/>
        <v>2313793.3264134019</v>
      </c>
      <c r="K43" s="327">
        <f t="shared" si="6"/>
        <v>2091009.1603595996</v>
      </c>
      <c r="L43" s="327">
        <f t="shared" si="6"/>
        <v>1837710.7369119998</v>
      </c>
      <c r="M43" s="327">
        <f t="shared" si="6"/>
        <v>2045158.1419139991</v>
      </c>
      <c r="N43" s="327">
        <f t="shared" si="6"/>
        <v>1950575.5732364987</v>
      </c>
      <c r="O43" s="327">
        <f t="shared" si="6"/>
        <v>2207990.2186106015</v>
      </c>
      <c r="P43" s="326">
        <f>SUM(D43:O43)</f>
        <v>24639075.191745505</v>
      </c>
    </row>
    <row r="45" spans="2:18" x14ac:dyDescent="0.3">
      <c r="B45" s="303" t="s">
        <v>491</v>
      </c>
      <c r="C45" t="s">
        <v>492</v>
      </c>
      <c r="D45" s="328">
        <f>D39+D43</f>
        <v>2590961.1905816002</v>
      </c>
      <c r="E45" s="328">
        <f t="shared" ref="E45:P45" si="7">E39+E43</f>
        <v>2315299.4737955993</v>
      </c>
      <c r="F45" s="328">
        <f t="shared" si="7"/>
        <v>2365422.4921222003</v>
      </c>
      <c r="G45" s="328">
        <f t="shared" si="7"/>
        <v>1584634.5660446633</v>
      </c>
      <c r="H45" s="328">
        <f t="shared" si="7"/>
        <v>1473984.2620999995</v>
      </c>
      <c r="I45" s="328">
        <f t="shared" si="7"/>
        <v>1880239.9179499999</v>
      </c>
      <c r="J45" s="328">
        <f t="shared" si="7"/>
        <v>2998770.3864134019</v>
      </c>
      <c r="K45" s="328">
        <f t="shared" si="7"/>
        <v>2330362.8203595998</v>
      </c>
      <c r="L45" s="328">
        <f t="shared" si="7"/>
        <v>1745578.1669119997</v>
      </c>
      <c r="M45" s="328">
        <f t="shared" si="7"/>
        <v>1928394.6719139991</v>
      </c>
      <c r="N45" s="328">
        <f t="shared" si="7"/>
        <v>2309825.2532364987</v>
      </c>
      <c r="O45" s="328">
        <f t="shared" si="7"/>
        <v>2891313.4586106017</v>
      </c>
      <c r="P45" s="328">
        <f t="shared" si="7"/>
        <v>26414786.660040166</v>
      </c>
    </row>
    <row r="48" spans="2:18" s="330" customFormat="1" x14ac:dyDescent="0.3">
      <c r="B48" s="303" t="s">
        <v>20</v>
      </c>
      <c r="C48" s="329" t="s">
        <v>493</v>
      </c>
      <c r="D48" s="330">
        <f>(D7/D45)/100</f>
        <v>0.10505435085227979</v>
      </c>
      <c r="E48" s="330">
        <f t="shared" ref="E48:O48" si="8">(E7/E45)/100</f>
        <v>0.11028440817265189</v>
      </c>
      <c r="F48" s="330">
        <f t="shared" si="8"/>
        <v>0.1067431760545532</v>
      </c>
      <c r="G48" s="330">
        <f t="shared" si="8"/>
        <v>0.14246797009704817</v>
      </c>
      <c r="H48" s="330">
        <f t="shared" si="8"/>
        <v>0.15161323899185483</v>
      </c>
      <c r="I48" s="330">
        <f t="shared" si="8"/>
        <v>0.12958133318733162</v>
      </c>
      <c r="J48" s="330">
        <f t="shared" si="8"/>
        <v>0.10210509237294754</v>
      </c>
      <c r="K48" s="330">
        <f t="shared" si="8"/>
        <v>0.11513667578535984</v>
      </c>
      <c r="L48" s="330">
        <f t="shared" si="8"/>
        <v>0.12166687501918481</v>
      </c>
      <c r="M48" s="330">
        <f t="shared" si="8"/>
        <v>0.11601148405889035</v>
      </c>
      <c r="N48" s="330">
        <f t="shared" si="8"/>
        <v>0.10066082271990549</v>
      </c>
      <c r="O48" s="330">
        <f t="shared" si="8"/>
        <v>9.566634459375381E-2</v>
      </c>
      <c r="R48" s="330" t="s">
        <v>494</v>
      </c>
    </row>
    <row r="49" spans="3:18" x14ac:dyDescent="0.3">
      <c r="C49" s="237"/>
    </row>
    <row r="50" spans="3:18" s="157" customFormat="1" ht="15" thickBot="1" x14ac:dyDescent="0.35">
      <c r="C50" s="331" t="s">
        <v>495</v>
      </c>
      <c r="D50" s="332">
        <f>(D15)*D48</f>
        <v>69903.133210091648</v>
      </c>
      <c r="E50" s="332">
        <f t="shared" ref="E50:O50" si="9">(E15)*E48</f>
        <v>43334.022582456753</v>
      </c>
      <c r="F50" s="332">
        <f t="shared" si="9"/>
        <v>77963.363022252946</v>
      </c>
      <c r="G50" s="332">
        <f t="shared" si="9"/>
        <v>93815.223538723192</v>
      </c>
      <c r="H50" s="332">
        <f t="shared" si="9"/>
        <v>93380.980410275704</v>
      </c>
      <c r="I50" s="332">
        <f t="shared" si="9"/>
        <v>70202.194343195093</v>
      </c>
      <c r="J50" s="332">
        <f t="shared" si="9"/>
        <v>65946.418148603218</v>
      </c>
      <c r="K50" s="332">
        <f t="shared" si="9"/>
        <v>63839.300025545883</v>
      </c>
      <c r="L50" s="332">
        <f t="shared" si="9"/>
        <v>46090.408083362163</v>
      </c>
      <c r="M50" s="332">
        <f t="shared" si="9"/>
        <v>43112.543890456371</v>
      </c>
      <c r="N50" s="332">
        <f t="shared" si="9"/>
        <v>53933.721158827386</v>
      </c>
      <c r="O50" s="332">
        <f t="shared" si="9"/>
        <v>68357.271908639421</v>
      </c>
      <c r="P50" s="333">
        <f>SUM(D50:O50)</f>
        <v>789878.58032242989</v>
      </c>
      <c r="Q50" s="334"/>
      <c r="R50" s="157" t="s">
        <v>496</v>
      </c>
    </row>
    <row r="51" spans="3:18" ht="15" thickTop="1" x14ac:dyDescent="0.3"/>
    <row r="52" spans="3:18" x14ac:dyDescent="0.3">
      <c r="C52" s="398" t="s">
        <v>497</v>
      </c>
      <c r="D52" s="398"/>
      <c r="E52" s="398"/>
      <c r="F52" s="398"/>
      <c r="G52" s="398"/>
      <c r="H52" s="398"/>
      <c r="I52" s="398"/>
      <c r="J52" s="398"/>
      <c r="K52" s="398"/>
      <c r="L52" s="398"/>
      <c r="M52" s="398"/>
      <c r="N52" s="398"/>
      <c r="O52" s="398"/>
      <c r="P52" s="398"/>
    </row>
    <row r="55" spans="3:18" x14ac:dyDescent="0.3">
      <c r="C55" s="91" t="s">
        <v>498</v>
      </c>
      <c r="D55" s="12" t="s">
        <v>0</v>
      </c>
      <c r="E55" s="12" t="s">
        <v>1</v>
      </c>
      <c r="F55" s="12" t="s">
        <v>2</v>
      </c>
      <c r="G55" s="12" t="s">
        <v>3</v>
      </c>
      <c r="H55" s="12" t="s">
        <v>4</v>
      </c>
      <c r="I55" s="12" t="s">
        <v>5</v>
      </c>
      <c r="J55" s="12" t="s">
        <v>6</v>
      </c>
      <c r="K55" s="12" t="s">
        <v>7</v>
      </c>
      <c r="L55" s="12" t="s">
        <v>8</v>
      </c>
      <c r="M55" s="12" t="s">
        <v>9</v>
      </c>
      <c r="N55" s="12" t="s">
        <v>10</v>
      </c>
      <c r="O55" s="12" t="s">
        <v>11</v>
      </c>
      <c r="P55" s="12" t="s">
        <v>14</v>
      </c>
      <c r="Q55" s="12" t="s">
        <v>164</v>
      </c>
      <c r="R55" s="12" t="s">
        <v>485</v>
      </c>
    </row>
    <row r="56" spans="3:18" x14ac:dyDescent="0.3">
      <c r="D56" s="228"/>
      <c r="E56" s="1"/>
      <c r="F56" s="5"/>
      <c r="G56" s="229"/>
      <c r="H56" s="1"/>
      <c r="I56" s="1"/>
      <c r="J56" s="1"/>
      <c r="K56" s="1"/>
      <c r="L56" s="5"/>
      <c r="M56" s="229"/>
      <c r="N56" s="1"/>
      <c r="O56" s="5"/>
    </row>
    <row r="57" spans="3:18" x14ac:dyDescent="0.3">
      <c r="C57" s="230" t="s">
        <v>357</v>
      </c>
      <c r="D57" s="231">
        <v>-493767.73</v>
      </c>
      <c r="E57" s="231">
        <v>-486075.25000000012</v>
      </c>
      <c r="F57" s="231">
        <v>-667079.71000000008</v>
      </c>
      <c r="G57" s="231">
        <v>-547429.47</v>
      </c>
      <c r="H57" s="231">
        <v>-598522.43999999994</v>
      </c>
      <c r="I57" s="232">
        <v>-424979.50999999995</v>
      </c>
      <c r="J57" s="232">
        <v>-542212.18999999994</v>
      </c>
      <c r="K57" s="232">
        <v>-540272.1</v>
      </c>
      <c r="L57" s="232">
        <v>-591533.47</v>
      </c>
      <c r="M57" s="232">
        <v>-561484.18999999994</v>
      </c>
      <c r="N57" s="232">
        <v>-743286.54000000015</v>
      </c>
      <c r="O57" s="232">
        <v>-569493.4</v>
      </c>
      <c r="P57" s="236">
        <f>SUM(D57:O57)</f>
        <v>-6766135.9999999991</v>
      </c>
    </row>
    <row r="58" spans="3:18" x14ac:dyDescent="0.3">
      <c r="C58" s="230" t="s">
        <v>358</v>
      </c>
      <c r="D58" s="231">
        <v>807923.89</v>
      </c>
      <c r="E58" s="231">
        <v>486854.23</v>
      </c>
      <c r="F58" s="231">
        <v>800058.04</v>
      </c>
      <c r="G58" s="231">
        <v>402578.18</v>
      </c>
      <c r="H58" s="231">
        <v>637426.57999999996</v>
      </c>
      <c r="I58" s="232">
        <v>394234.57</v>
      </c>
      <c r="J58" s="232">
        <v>577402.64</v>
      </c>
      <c r="K58" s="232">
        <v>538637.9</v>
      </c>
      <c r="L58" s="232">
        <v>496991.52</v>
      </c>
      <c r="M58" s="232">
        <v>649973.92000000004</v>
      </c>
      <c r="N58" s="232">
        <v>562406.51</v>
      </c>
      <c r="O58" s="232">
        <v>470019.14</v>
      </c>
      <c r="P58" s="236">
        <f>SUM(D58:O58)</f>
        <v>6824507.1200000001</v>
      </c>
      <c r="Q58" s="335">
        <f>P57+P58</f>
        <v>58371.120000001043</v>
      </c>
      <c r="R58" t="s">
        <v>486</v>
      </c>
    </row>
    <row r="59" spans="3:18" x14ac:dyDescent="0.3">
      <c r="C59" s="230" t="s">
        <v>359</v>
      </c>
      <c r="D59" s="233"/>
      <c r="E59" s="234"/>
      <c r="F59" s="234"/>
      <c r="G59" s="234"/>
      <c r="H59" s="234"/>
      <c r="I59" s="234"/>
      <c r="J59" s="234"/>
      <c r="K59" s="234">
        <v>-486930.83</v>
      </c>
      <c r="L59" s="234">
        <v>18998.643281707016</v>
      </c>
      <c r="M59" s="234">
        <v>-127352.13473298799</v>
      </c>
      <c r="N59" s="234">
        <v>-179415.42795828401</v>
      </c>
      <c r="O59" s="234">
        <v>230132.93940956501</v>
      </c>
      <c r="P59" s="323">
        <f>SUM(D59:O59)</f>
        <v>-544566.81000000006</v>
      </c>
      <c r="Q59" s="324">
        <f>Q58+P59</f>
        <v>-486195.68999999901</v>
      </c>
      <c r="R59" t="s">
        <v>487</v>
      </c>
    </row>
    <row r="60" spans="3:18" x14ac:dyDescent="0.3">
      <c r="C60" s="237"/>
      <c r="D60" s="238">
        <f t="shared" ref="D60:L60" si="10">SUM(D57:D59)</f>
        <v>314156.16000000003</v>
      </c>
      <c r="E60" s="239">
        <f t="shared" si="10"/>
        <v>778.97999999986496</v>
      </c>
      <c r="F60" s="239">
        <f t="shared" si="10"/>
        <v>132978.32999999996</v>
      </c>
      <c r="G60" s="240">
        <f t="shared" si="10"/>
        <v>-144851.28999999998</v>
      </c>
      <c r="H60" s="239">
        <f t="shared" si="10"/>
        <v>38904.140000000014</v>
      </c>
      <c r="I60" s="239">
        <f t="shared" si="10"/>
        <v>-30744.939999999944</v>
      </c>
      <c r="J60" s="239">
        <f t="shared" si="10"/>
        <v>35190.45000000007</v>
      </c>
      <c r="K60" s="239">
        <f t="shared" si="10"/>
        <v>-488565.02999999997</v>
      </c>
      <c r="L60" s="239">
        <f t="shared" si="10"/>
        <v>-75543.306718292937</v>
      </c>
      <c r="M60" s="239">
        <f>SUM(M57:M59)</f>
        <v>-38862.404732987896</v>
      </c>
      <c r="N60" s="239">
        <f>SUM(N57:N59)</f>
        <v>-360295.45795828418</v>
      </c>
      <c r="O60" s="239">
        <f>SUM(O57:O59)</f>
        <v>130658.679409565</v>
      </c>
    </row>
    <row r="61" spans="3:18" x14ac:dyDescent="0.3">
      <c r="C61" s="237"/>
      <c r="D61" s="231"/>
      <c r="E61" s="232"/>
      <c r="F61" s="232"/>
      <c r="G61" s="241"/>
      <c r="H61" s="232"/>
      <c r="I61" s="232"/>
      <c r="J61" s="232"/>
      <c r="K61" s="232"/>
      <c r="L61" s="232"/>
      <c r="M61" s="232"/>
      <c r="N61" s="232"/>
      <c r="O61" s="232"/>
    </row>
    <row r="62" spans="3:18" x14ac:dyDescent="0.3">
      <c r="C62" s="230" t="s">
        <v>499</v>
      </c>
      <c r="D62" s="231">
        <v>-1821078.8</v>
      </c>
      <c r="E62" s="231">
        <v>778.98</v>
      </c>
      <c r="F62" s="231">
        <v>132978.32999999999</v>
      </c>
      <c r="G62" s="231">
        <v>-144851.29</v>
      </c>
      <c r="H62" s="231">
        <v>38904.14</v>
      </c>
      <c r="I62" s="232">
        <v>-30744.94</v>
      </c>
      <c r="J62" s="232">
        <v>35190.449999999997</v>
      </c>
      <c r="K62" s="232">
        <v>-488565.03</v>
      </c>
      <c r="L62" s="232">
        <v>-75543.31</v>
      </c>
      <c r="M62" s="232">
        <v>-38862.400000000001</v>
      </c>
      <c r="N62" s="232">
        <v>-360295.46</v>
      </c>
      <c r="O62" s="232">
        <v>130658.68</v>
      </c>
    </row>
    <row r="63" spans="3:18" x14ac:dyDescent="0.3">
      <c r="C63" s="237"/>
      <c r="D63" s="231"/>
      <c r="E63" s="232"/>
      <c r="F63" s="232"/>
      <c r="G63" s="241"/>
      <c r="H63" s="232"/>
      <c r="I63" s="232"/>
      <c r="J63" s="232"/>
      <c r="K63" s="232"/>
      <c r="L63" s="232"/>
      <c r="M63" s="232"/>
      <c r="N63" s="232"/>
      <c r="O63" s="232"/>
    </row>
    <row r="64" spans="3:18" x14ac:dyDescent="0.3">
      <c r="C64" s="230" t="s">
        <v>52</v>
      </c>
      <c r="D64" s="231">
        <v>2135234.96</v>
      </c>
      <c r="E64" s="232"/>
      <c r="F64" s="232"/>
      <c r="G64" s="241"/>
      <c r="H64" s="232"/>
      <c r="I64" s="232"/>
      <c r="J64" s="232"/>
      <c r="K64" s="232"/>
      <c r="L64" s="232"/>
      <c r="M64" s="232"/>
      <c r="N64" s="232"/>
      <c r="O64" s="232"/>
    </row>
    <row r="65" spans="3:15" x14ac:dyDescent="0.3">
      <c r="C65" s="237"/>
      <c r="D65" s="231"/>
      <c r="E65" s="232"/>
      <c r="F65" s="232"/>
      <c r="G65" s="241"/>
      <c r="H65" s="232"/>
      <c r="I65" s="232"/>
      <c r="J65" s="232"/>
      <c r="K65" s="232"/>
      <c r="L65" s="232"/>
      <c r="M65" s="232"/>
      <c r="N65" s="232"/>
      <c r="O65" s="232"/>
    </row>
    <row r="66" spans="3:15" x14ac:dyDescent="0.3">
      <c r="C66" s="230" t="s">
        <v>500</v>
      </c>
      <c r="D66" s="231"/>
      <c r="E66" s="232"/>
      <c r="F66" s="232"/>
      <c r="G66" s="241"/>
      <c r="H66" s="232"/>
      <c r="I66" s="232"/>
      <c r="J66" s="232"/>
      <c r="K66" s="232"/>
      <c r="L66" s="232"/>
      <c r="M66" s="232"/>
      <c r="N66" s="232"/>
      <c r="O66" s="232"/>
    </row>
    <row r="67" spans="3:15" x14ac:dyDescent="0.3">
      <c r="C67" s="237"/>
      <c r="D67" s="231"/>
      <c r="E67" s="232"/>
      <c r="F67" s="232"/>
      <c r="G67" s="241"/>
      <c r="H67" s="232"/>
      <c r="I67" s="232"/>
      <c r="J67" s="232"/>
      <c r="K67" s="232"/>
      <c r="L67" s="232"/>
      <c r="M67" s="232"/>
      <c r="N67" s="232"/>
      <c r="O67" s="232"/>
    </row>
    <row r="68" spans="3:15" x14ac:dyDescent="0.3">
      <c r="C68" s="230" t="s">
        <v>362</v>
      </c>
      <c r="D68" s="231">
        <f t="shared" ref="D68:L68" si="11">D62+D64</f>
        <v>314156.15999999992</v>
      </c>
      <c r="E68" s="232">
        <f t="shared" si="11"/>
        <v>778.98</v>
      </c>
      <c r="F68" s="232">
        <f t="shared" si="11"/>
        <v>132978.32999999999</v>
      </c>
      <c r="G68" s="241">
        <f t="shared" si="11"/>
        <v>-144851.29</v>
      </c>
      <c r="H68" s="232">
        <f t="shared" si="11"/>
        <v>38904.14</v>
      </c>
      <c r="I68" s="232">
        <f t="shared" si="11"/>
        <v>-30744.94</v>
      </c>
      <c r="J68" s="232">
        <f t="shared" si="11"/>
        <v>35190.449999999997</v>
      </c>
      <c r="K68" s="232">
        <f t="shared" si="11"/>
        <v>-488565.03</v>
      </c>
      <c r="L68" s="232">
        <f t="shared" si="11"/>
        <v>-75543.31</v>
      </c>
      <c r="M68" s="232">
        <f>M62+M64</f>
        <v>-38862.400000000001</v>
      </c>
      <c r="N68" s="232">
        <f>N62+N64</f>
        <v>-360295.46</v>
      </c>
      <c r="O68" s="232">
        <f>O62+O64</f>
        <v>130658.68</v>
      </c>
    </row>
    <row r="69" spans="3:15" x14ac:dyDescent="0.3">
      <c r="C69" s="237"/>
      <c r="D69" s="231"/>
      <c r="E69" s="232"/>
      <c r="F69" s="232"/>
      <c r="G69" s="241"/>
      <c r="H69" s="232"/>
      <c r="I69" s="232"/>
      <c r="J69" s="232"/>
      <c r="K69" s="232"/>
      <c r="L69" s="232"/>
      <c r="M69" s="232"/>
      <c r="N69" s="232"/>
      <c r="O69" s="232"/>
    </row>
    <row r="70" spans="3:15" x14ac:dyDescent="0.3">
      <c r="C70" s="237"/>
      <c r="D70" s="231"/>
      <c r="E70" s="232"/>
      <c r="F70" s="232"/>
      <c r="G70" s="241"/>
      <c r="H70" s="232"/>
      <c r="I70" s="232"/>
      <c r="J70" s="242"/>
      <c r="K70" s="232"/>
      <c r="L70" s="232"/>
      <c r="M70" s="232"/>
      <c r="N70" s="232"/>
      <c r="O70" s="232"/>
    </row>
    <row r="71" spans="3:15" ht="15" thickBot="1" x14ac:dyDescent="0.35">
      <c r="C71" s="243" t="s">
        <v>363</v>
      </c>
      <c r="D71" s="244">
        <f>D60-D68</f>
        <v>0</v>
      </c>
      <c r="E71" s="245">
        <f>E60-E68</f>
        <v>-1.3505996321327984E-10</v>
      </c>
      <c r="F71" s="245">
        <f>F60-F68</f>
        <v>0</v>
      </c>
      <c r="G71" s="246">
        <f>G60-G68+G66</f>
        <v>2.9103830456733704E-11</v>
      </c>
      <c r="H71" s="245">
        <f>H60-H68</f>
        <v>0</v>
      </c>
      <c r="I71" s="245">
        <f>I60-I68</f>
        <v>5.4569682106375694E-11</v>
      </c>
      <c r="J71" s="246">
        <f>J60-J68+J66</f>
        <v>7.2759576141834259E-11</v>
      </c>
      <c r="K71" s="245">
        <f>K60-K68</f>
        <v>0</v>
      </c>
      <c r="L71" s="245">
        <f>L60-L68</f>
        <v>3.2817070605233312E-3</v>
      </c>
      <c r="M71" s="245">
        <f>M60-M68</f>
        <v>-4.7329878943855874E-3</v>
      </c>
      <c r="N71" s="245">
        <f>N60-N68</f>
        <v>2.0417158375494182E-3</v>
      </c>
      <c r="O71" s="245">
        <f>O60-O68</f>
        <v>-5.9043499641120434E-4</v>
      </c>
    </row>
    <row r="72" spans="3:15" ht="15" thickTop="1" x14ac:dyDescent="0.3"/>
    <row r="73" spans="3:15" x14ac:dyDescent="0.3">
      <c r="E73" s="401"/>
      <c r="F73" s="449"/>
      <c r="G73" s="449"/>
      <c r="H73" s="449"/>
      <c r="I73" s="449"/>
      <c r="J73" s="449"/>
      <c r="K73" s="449"/>
      <c r="L73" s="449"/>
      <c r="M73" s="449"/>
      <c r="N73" s="449"/>
      <c r="O73" s="402"/>
    </row>
    <row r="74" spans="3:15" x14ac:dyDescent="0.3">
      <c r="E74" s="336" t="s">
        <v>12</v>
      </c>
      <c r="F74" s="336" t="s">
        <v>13</v>
      </c>
      <c r="G74" s="337" t="s">
        <v>15</v>
      </c>
      <c r="H74" s="338"/>
      <c r="I74" s="339"/>
      <c r="J74" s="340" t="s">
        <v>15</v>
      </c>
      <c r="K74" s="337"/>
      <c r="L74" s="341"/>
      <c r="N74" s="18"/>
    </row>
    <row r="75" spans="3:15" ht="57.6" x14ac:dyDescent="0.3">
      <c r="E75" s="15"/>
      <c r="F75" s="15"/>
      <c r="G75" s="13" t="s">
        <v>16</v>
      </c>
      <c r="H75" s="22" t="s">
        <v>28</v>
      </c>
      <c r="I75" s="17"/>
      <c r="J75" s="22" t="s">
        <v>30</v>
      </c>
      <c r="K75" s="13" t="s">
        <v>29</v>
      </c>
      <c r="L75" s="27" t="s">
        <v>24</v>
      </c>
      <c r="N75" s="22" t="s">
        <v>26</v>
      </c>
      <c r="O75" s="22" t="s">
        <v>27</v>
      </c>
    </row>
    <row r="76" spans="3:15" x14ac:dyDescent="0.3">
      <c r="E76" s="342" t="s">
        <v>21</v>
      </c>
      <c r="F76" s="342" t="s">
        <v>22</v>
      </c>
      <c r="G76" s="342" t="s">
        <v>23</v>
      </c>
      <c r="H76" s="343" t="s">
        <v>501</v>
      </c>
      <c r="I76" s="25"/>
      <c r="J76" s="344" t="s">
        <v>25</v>
      </c>
      <c r="K76" s="342" t="s">
        <v>33</v>
      </c>
      <c r="L76" s="345" t="s">
        <v>502</v>
      </c>
      <c r="N76" s="346" t="s">
        <v>188</v>
      </c>
      <c r="O76" s="345" t="s">
        <v>503</v>
      </c>
    </row>
    <row r="77" spans="3:15" x14ac:dyDescent="0.3">
      <c r="C77" s="396">
        <v>2020</v>
      </c>
      <c r="D77" s="1" t="s">
        <v>0</v>
      </c>
      <c r="E77" s="2">
        <v>27172056</v>
      </c>
      <c r="F77" s="3">
        <v>47118.596000000136</v>
      </c>
      <c r="G77" s="3">
        <v>853988.60000000009</v>
      </c>
      <c r="H77" s="4">
        <f t="shared" ref="H77:H88" si="12">E77+F77-G77</f>
        <v>26365185.995999999</v>
      </c>
      <c r="I77" s="19"/>
      <c r="J77" s="19">
        <v>5840145.1900000013</v>
      </c>
      <c r="K77" s="2">
        <v>25611549.320000004</v>
      </c>
      <c r="L77" s="4">
        <f>H77*(J77/K77)</f>
        <v>6011995.3015788412</v>
      </c>
      <c r="N77" s="2">
        <v>486075.25000000023</v>
      </c>
      <c r="O77" s="1"/>
    </row>
    <row r="78" spans="3:15" x14ac:dyDescent="0.3">
      <c r="C78" s="396"/>
      <c r="D78" s="5" t="s">
        <v>1</v>
      </c>
      <c r="E78" s="6">
        <v>25399903</v>
      </c>
      <c r="F78" s="7">
        <v>134240.22099999967</v>
      </c>
      <c r="G78" s="7">
        <v>875762.2</v>
      </c>
      <c r="H78" s="8">
        <f t="shared" si="12"/>
        <v>24658381.021000002</v>
      </c>
      <c r="I78" s="20"/>
      <c r="J78" s="20">
        <v>5357088.3900000043</v>
      </c>
      <c r="K78" s="6">
        <v>24202617.149999999</v>
      </c>
      <c r="L78" s="8">
        <f t="shared" ref="L78:L88" si="13">H78*(J78/K78)</f>
        <v>5457968.6926046163</v>
      </c>
      <c r="N78" s="6">
        <v>667011.18000000063</v>
      </c>
      <c r="O78" s="5"/>
    </row>
    <row r="79" spans="3:15" x14ac:dyDescent="0.3">
      <c r="C79" s="396"/>
      <c r="D79" s="5" t="s">
        <v>2</v>
      </c>
      <c r="E79" s="6">
        <v>24999955</v>
      </c>
      <c r="F79" s="7">
        <v>249315.95199999979</v>
      </c>
      <c r="G79" s="7">
        <v>939426.70000000007</v>
      </c>
      <c r="H79" s="8">
        <f t="shared" si="12"/>
        <v>24309844.252</v>
      </c>
      <c r="I79" s="20"/>
      <c r="J79" s="20">
        <v>5244306.3500000015</v>
      </c>
      <c r="K79" s="6">
        <v>23532404.760000002</v>
      </c>
      <c r="L79" s="8">
        <f t="shared" si="13"/>
        <v>5417562.3731824094</v>
      </c>
      <c r="N79" s="6">
        <v>547086.0699999989</v>
      </c>
      <c r="O79" s="5"/>
    </row>
    <row r="80" spans="3:15" x14ac:dyDescent="0.3">
      <c r="C80" s="396"/>
      <c r="D80" s="347" t="s">
        <v>3</v>
      </c>
      <c r="E80" s="348">
        <v>22234209</v>
      </c>
      <c r="F80" s="348">
        <v>341757.99700000032</v>
      </c>
      <c r="G80" s="348">
        <v>884711.09999999986</v>
      </c>
      <c r="H80" s="348">
        <f t="shared" si="12"/>
        <v>21691255.897</v>
      </c>
      <c r="I80" s="349"/>
      <c r="J80" s="349">
        <v>4415731.7299999911</v>
      </c>
      <c r="K80" s="348">
        <v>21003927.080000002</v>
      </c>
      <c r="L80" s="348">
        <f t="shared" si="13"/>
        <v>4560231.3587889448</v>
      </c>
      <c r="M80" s="312"/>
      <c r="N80" s="348">
        <v>605264.24999999814</v>
      </c>
      <c r="O80" s="347"/>
    </row>
    <row r="81" spans="2:16" x14ac:dyDescent="0.3">
      <c r="C81" s="396"/>
      <c r="D81" s="347" t="s">
        <v>4</v>
      </c>
      <c r="E81" s="348">
        <v>21946604</v>
      </c>
      <c r="F81" s="348">
        <v>400948.81999999931</v>
      </c>
      <c r="G81" s="348">
        <v>730159.89999999991</v>
      </c>
      <c r="H81" s="348">
        <f t="shared" si="12"/>
        <v>21617392.920000002</v>
      </c>
      <c r="I81" s="349"/>
      <c r="J81" s="349">
        <v>4505001.0299999937</v>
      </c>
      <c r="K81" s="348">
        <v>20938182.569999989</v>
      </c>
      <c r="L81" s="348">
        <f t="shared" si="13"/>
        <v>4651138.0366913397</v>
      </c>
      <c r="M81" s="312"/>
      <c r="N81" s="348">
        <v>418649.62999999966</v>
      </c>
      <c r="O81" s="347"/>
    </row>
    <row r="82" spans="2:16" x14ac:dyDescent="0.3">
      <c r="C82" s="396"/>
      <c r="D82" s="347" t="s">
        <v>5</v>
      </c>
      <c r="E82" s="348">
        <v>23965653</v>
      </c>
      <c r="F82" s="348">
        <v>398746.52799999953</v>
      </c>
      <c r="G82" s="348">
        <v>926150.45000000007</v>
      </c>
      <c r="H82" s="348">
        <f t="shared" si="12"/>
        <v>23438249.078000002</v>
      </c>
      <c r="I82" s="349"/>
      <c r="J82" s="349">
        <v>4723919.59</v>
      </c>
      <c r="K82" s="348">
        <v>22576250.419999998</v>
      </c>
      <c r="L82" s="348">
        <f t="shared" si="13"/>
        <v>4904286.6691794805</v>
      </c>
      <c r="M82" s="312"/>
      <c r="N82" s="348">
        <v>543250.72999999882</v>
      </c>
      <c r="O82" s="347"/>
    </row>
    <row r="83" spans="2:16" x14ac:dyDescent="0.3">
      <c r="C83" s="396"/>
      <c r="D83" s="5" t="s">
        <v>6</v>
      </c>
      <c r="E83" s="6">
        <v>30221158</v>
      </c>
      <c r="F83" s="7">
        <v>397814.73099999904</v>
      </c>
      <c r="G83" s="7">
        <v>802163.64999999991</v>
      </c>
      <c r="H83" s="8">
        <f t="shared" si="12"/>
        <v>29816809.081</v>
      </c>
      <c r="I83" s="20"/>
      <c r="J83" s="20">
        <v>5617866.7200000025</v>
      </c>
      <c r="K83" s="6">
        <v>28984795.890000023</v>
      </c>
      <c r="L83" s="8">
        <f t="shared" si="13"/>
        <v>5779128.4806161048</v>
      </c>
      <c r="N83" s="6">
        <v>578921.22999999812</v>
      </c>
      <c r="O83" s="5"/>
    </row>
    <row r="84" spans="2:16" x14ac:dyDescent="0.3">
      <c r="C84" s="396"/>
      <c r="D84" s="5" t="s">
        <v>7</v>
      </c>
      <c r="E84" s="6">
        <v>26429798</v>
      </c>
      <c r="F84" s="7">
        <v>401224.85099999921</v>
      </c>
      <c r="G84" s="7">
        <v>828694.45</v>
      </c>
      <c r="H84" s="8">
        <f t="shared" si="12"/>
        <v>26002328.401000001</v>
      </c>
      <c r="I84" s="20"/>
      <c r="J84" s="20">
        <v>5171907.6600000039</v>
      </c>
      <c r="K84" s="6">
        <v>25378799.43</v>
      </c>
      <c r="L84" s="8">
        <f t="shared" si="13"/>
        <v>5298975.6984326961</v>
      </c>
      <c r="N84" s="6">
        <v>529189.51</v>
      </c>
      <c r="O84" s="5"/>
    </row>
    <row r="85" spans="2:16" x14ac:dyDescent="0.3">
      <c r="C85" s="396"/>
      <c r="D85" s="5" t="s">
        <v>8</v>
      </c>
      <c r="E85" s="6">
        <v>26429798</v>
      </c>
      <c r="F85" s="7">
        <v>329425.06698999926</v>
      </c>
      <c r="G85" s="7">
        <v>844926.70000000019</v>
      </c>
      <c r="H85" s="8">
        <f t="shared" si="12"/>
        <v>25914296.36699</v>
      </c>
      <c r="I85" s="20"/>
      <c r="J85" s="20">
        <v>4845064.0299999993</v>
      </c>
      <c r="K85" s="6">
        <v>19937957.729999997</v>
      </c>
      <c r="L85" s="8">
        <f t="shared" si="13"/>
        <v>6297356.3737444496</v>
      </c>
      <c r="N85" s="6">
        <v>560719.18999999948</v>
      </c>
      <c r="O85" s="5"/>
    </row>
    <row r="86" spans="2:16" x14ac:dyDescent="0.3">
      <c r="C86" s="396"/>
      <c r="D86" s="5" t="s">
        <v>9</v>
      </c>
      <c r="E86" s="6">
        <v>22166886</v>
      </c>
      <c r="F86" s="7">
        <v>204706.774</v>
      </c>
      <c r="G86" s="7">
        <v>892711.39999999991</v>
      </c>
      <c r="H86" s="8">
        <f t="shared" si="12"/>
        <v>21478881.374000002</v>
      </c>
      <c r="I86" s="20"/>
      <c r="J86" s="20">
        <v>4965987.8100000005</v>
      </c>
      <c r="K86" s="6">
        <v>20936299.709999993</v>
      </c>
      <c r="L86" s="8">
        <f t="shared" si="13"/>
        <v>5094685.5248147435</v>
      </c>
      <c r="N86" s="6">
        <v>742614.01999999816</v>
      </c>
      <c r="O86" s="5"/>
    </row>
    <row r="87" spans="2:16" x14ac:dyDescent="0.3">
      <c r="C87" s="396"/>
      <c r="D87" s="5" t="s">
        <v>10</v>
      </c>
      <c r="E87" s="6">
        <v>23120657</v>
      </c>
      <c r="F87" s="7">
        <v>130234.03299999965</v>
      </c>
      <c r="G87" s="7">
        <v>884004.20000000019</v>
      </c>
      <c r="H87" s="8">
        <f t="shared" si="12"/>
        <v>22366886.833000001</v>
      </c>
      <c r="I87" s="20"/>
      <c r="J87" s="20">
        <v>4871933.7199999932</v>
      </c>
      <c r="K87" s="6">
        <v>21536398.249999981</v>
      </c>
      <c r="L87" s="8">
        <f t="shared" si="13"/>
        <v>5059805.6791189145</v>
      </c>
      <c r="N87" s="6">
        <v>568554.44000000111</v>
      </c>
      <c r="O87" s="5"/>
    </row>
    <row r="88" spans="2:16" x14ac:dyDescent="0.3">
      <c r="C88" s="396"/>
      <c r="D88" s="9" t="s">
        <v>11</v>
      </c>
      <c r="E88" s="10">
        <v>27610230</v>
      </c>
      <c r="F88" s="11">
        <v>49908.965999999913</v>
      </c>
      <c r="G88" s="11">
        <v>718477.7</v>
      </c>
      <c r="H88" s="14">
        <f t="shared" si="12"/>
        <v>26941661.265999999</v>
      </c>
      <c r="I88" s="21"/>
      <c r="J88" s="21">
        <v>5085360.3000000007</v>
      </c>
      <c r="K88" s="10">
        <v>25998319.370000016</v>
      </c>
      <c r="L88" s="14">
        <f t="shared" si="13"/>
        <v>5269881.2053313144</v>
      </c>
      <c r="N88" s="10">
        <v>544336.97999999858</v>
      </c>
      <c r="O88" s="9"/>
    </row>
    <row r="89" spans="2:16" ht="15" thickBot="1" x14ac:dyDescent="0.35">
      <c r="H89" s="31">
        <f>SUM(H77:H88)</f>
        <v>294601172.48598999</v>
      </c>
      <c r="I89" s="18"/>
      <c r="J89" s="31">
        <f>SUM(J77:J88)</f>
        <v>60644312.519999996</v>
      </c>
      <c r="K89" s="31">
        <f>SUM(K77:K88)</f>
        <v>280637501.68000001</v>
      </c>
      <c r="L89" s="31">
        <f>SUM(L77:L88)</f>
        <v>63803015.394083858</v>
      </c>
      <c r="N89" s="31">
        <f>SUM(N77:N88)</f>
        <v>6791672.479999993</v>
      </c>
      <c r="O89" s="37">
        <f>N89/L89</f>
        <v>0.10644751565503206</v>
      </c>
    </row>
    <row r="90" spans="2:16" ht="15" thickTop="1" x14ac:dyDescent="0.3">
      <c r="H90" s="350"/>
      <c r="I90" s="18"/>
      <c r="J90" s="351" t="s">
        <v>504</v>
      </c>
      <c r="K90" s="352">
        <f>J89/K89</f>
        <v>0.21609482751578346</v>
      </c>
      <c r="L90" s="350"/>
      <c r="N90" s="350"/>
      <c r="O90" s="37"/>
    </row>
    <row r="93" spans="2:16" x14ac:dyDescent="0.3">
      <c r="D93" s="91" t="s">
        <v>0</v>
      </c>
      <c r="E93" s="91" t="s">
        <v>1</v>
      </c>
      <c r="F93" s="91" t="s">
        <v>2</v>
      </c>
      <c r="G93" s="91" t="s">
        <v>3</v>
      </c>
      <c r="H93" s="91" t="s">
        <v>4</v>
      </c>
      <c r="I93" s="91" t="s">
        <v>5</v>
      </c>
      <c r="J93" s="91" t="s">
        <v>6</v>
      </c>
      <c r="K93" s="91" t="s">
        <v>7</v>
      </c>
      <c r="L93" s="91" t="s">
        <v>8</v>
      </c>
      <c r="M93" s="91" t="s">
        <v>9</v>
      </c>
      <c r="N93" s="91" t="s">
        <v>10</v>
      </c>
      <c r="O93" s="91" t="s">
        <v>11</v>
      </c>
      <c r="P93" s="91" t="s">
        <v>14</v>
      </c>
    </row>
    <row r="94" spans="2:16" x14ac:dyDescent="0.3">
      <c r="B94" s="303" t="s">
        <v>505</v>
      </c>
      <c r="C94" t="s">
        <v>506</v>
      </c>
      <c r="D94" s="18">
        <v>6011995.3015788412</v>
      </c>
      <c r="E94" s="18">
        <v>5457968.6926046163</v>
      </c>
      <c r="F94" s="18">
        <v>5417562.3731824094</v>
      </c>
      <c r="G94" s="18">
        <v>4560231.3587889448</v>
      </c>
      <c r="H94" s="18">
        <v>4651138.0366913397</v>
      </c>
      <c r="I94" s="18">
        <v>4904286.6691794805</v>
      </c>
      <c r="J94" s="18">
        <v>5779128.4806161048</v>
      </c>
      <c r="K94" s="18">
        <v>5298975.6984326961</v>
      </c>
      <c r="L94" s="18">
        <v>6297356.3737444496</v>
      </c>
      <c r="M94" s="18">
        <v>5094685.5248147435</v>
      </c>
      <c r="N94" s="18">
        <v>5059805.6791189145</v>
      </c>
      <c r="O94" s="18">
        <v>5269881.2053313144</v>
      </c>
      <c r="P94" s="308">
        <f>SUM(D94:O94)</f>
        <v>63803015.394083858</v>
      </c>
    </row>
    <row r="95" spans="2:16" x14ac:dyDescent="0.3">
      <c r="B95" s="344" t="s">
        <v>25</v>
      </c>
      <c r="C95" t="s">
        <v>507</v>
      </c>
      <c r="D95" s="18">
        <v>5840145.1900000013</v>
      </c>
      <c r="E95" s="18">
        <v>5357088.3900000043</v>
      </c>
      <c r="F95" s="18">
        <v>5244306.3500000015</v>
      </c>
      <c r="G95" s="18">
        <v>4415731.7299999911</v>
      </c>
      <c r="H95" s="18">
        <v>4505001.0299999937</v>
      </c>
      <c r="I95" s="18">
        <v>4723919.59</v>
      </c>
      <c r="J95" s="18">
        <v>5617866.7200000025</v>
      </c>
      <c r="K95" s="18">
        <v>5171907.6600000039</v>
      </c>
      <c r="L95" s="18">
        <v>4845064.0299999993</v>
      </c>
      <c r="M95" s="18">
        <v>4965987.8100000005</v>
      </c>
      <c r="N95" s="18">
        <v>4871933.7199999932</v>
      </c>
      <c r="O95" s="18">
        <v>5085360.3000000007</v>
      </c>
      <c r="P95" s="308">
        <f>SUM(D95:O95)</f>
        <v>60644312.519999996</v>
      </c>
    </row>
    <row r="96" spans="2:16" x14ac:dyDescent="0.3">
      <c r="B96" s="344" t="s">
        <v>508</v>
      </c>
      <c r="C96" t="s">
        <v>45</v>
      </c>
      <c r="D96" s="353">
        <f>D94-D95</f>
        <v>171850.11157883983</v>
      </c>
      <c r="E96" s="353">
        <f t="shared" ref="E96:O96" si="14">E94-E95</f>
        <v>100880.30260461196</v>
      </c>
      <c r="F96" s="353">
        <f t="shared" si="14"/>
        <v>173256.02318240795</v>
      </c>
      <c r="G96" s="353">
        <f t="shared" si="14"/>
        <v>144499.62878895365</v>
      </c>
      <c r="H96" s="353">
        <f t="shared" si="14"/>
        <v>146137.00669134595</v>
      </c>
      <c r="I96" s="353">
        <f t="shared" si="14"/>
        <v>180367.07917948067</v>
      </c>
      <c r="J96" s="353">
        <f t="shared" si="14"/>
        <v>161261.76061610226</v>
      </c>
      <c r="K96" s="353">
        <f t="shared" si="14"/>
        <v>127068.03843269218</v>
      </c>
      <c r="L96" s="353">
        <f t="shared" si="14"/>
        <v>1452292.3437444502</v>
      </c>
      <c r="M96" s="353">
        <f t="shared" si="14"/>
        <v>128697.71481474303</v>
      </c>
      <c r="N96" s="353">
        <f t="shared" si="14"/>
        <v>187871.95911892131</v>
      </c>
      <c r="O96" s="353">
        <f t="shared" si="14"/>
        <v>184520.90533131361</v>
      </c>
      <c r="P96" s="353">
        <f>SUM(D96:O96)</f>
        <v>3158702.8740838626</v>
      </c>
    </row>
    <row r="98" spans="2:18" s="252" customFormat="1" x14ac:dyDescent="0.3">
      <c r="B98" s="344" t="s">
        <v>509</v>
      </c>
      <c r="C98" s="252" t="s">
        <v>182</v>
      </c>
      <c r="D98" s="354">
        <v>0.10231999999999999</v>
      </c>
      <c r="E98" s="354">
        <v>0.11331000000000001</v>
      </c>
      <c r="F98" s="354">
        <v>0.11942</v>
      </c>
      <c r="G98" s="355">
        <v>0.115</v>
      </c>
      <c r="H98" s="355">
        <v>0.115</v>
      </c>
      <c r="I98" s="355">
        <v>0.115</v>
      </c>
      <c r="J98" s="354">
        <v>9.9019999999999997E-2</v>
      </c>
      <c r="K98" s="354">
        <v>0.10348</v>
      </c>
      <c r="L98" s="354">
        <v>0.12176000000000001</v>
      </c>
      <c r="M98" s="354">
        <v>0.12806000000000001</v>
      </c>
      <c r="N98" s="354">
        <v>0.11705</v>
      </c>
      <c r="O98" s="354">
        <v>0.10557999999999999</v>
      </c>
      <c r="P98" s="354"/>
      <c r="R98" s="252" t="s">
        <v>510</v>
      </c>
    </row>
    <row r="100" spans="2:18" s="157" customFormat="1" x14ac:dyDescent="0.3">
      <c r="C100" s="331" t="s">
        <v>495</v>
      </c>
      <c r="D100" s="332">
        <f>D96*D98</f>
        <v>17583.703416746892</v>
      </c>
      <c r="E100" s="332">
        <f t="shared" ref="E100:O100" si="15">E96*E98</f>
        <v>11430.747088128583</v>
      </c>
      <c r="F100" s="332">
        <f t="shared" si="15"/>
        <v>20690.234288443156</v>
      </c>
      <c r="G100" s="332">
        <f t="shared" si="15"/>
        <v>16617.457310729671</v>
      </c>
      <c r="H100" s="332">
        <f t="shared" si="15"/>
        <v>16805.755769504784</v>
      </c>
      <c r="I100" s="332">
        <f t="shared" si="15"/>
        <v>20742.21410564028</v>
      </c>
      <c r="J100" s="332">
        <f t="shared" si="15"/>
        <v>15968.139536206445</v>
      </c>
      <c r="K100" s="332">
        <f t="shared" si="15"/>
        <v>13149.000617014986</v>
      </c>
      <c r="L100" s="332">
        <f t="shared" si="15"/>
        <v>176831.11577432428</v>
      </c>
      <c r="M100" s="332">
        <f t="shared" si="15"/>
        <v>16481.029359175995</v>
      </c>
      <c r="N100" s="332">
        <f t="shared" si="15"/>
        <v>21990.412814869738</v>
      </c>
      <c r="O100" s="332">
        <f t="shared" si="15"/>
        <v>19481.71718488009</v>
      </c>
      <c r="P100" s="332">
        <f>SUM(D100:O100)</f>
        <v>367771.52726566489</v>
      </c>
      <c r="R100" s="157" t="s">
        <v>511</v>
      </c>
    </row>
    <row r="103" spans="2:18" hidden="1" x14ac:dyDescent="0.3">
      <c r="C103" s="398" t="s">
        <v>512</v>
      </c>
      <c r="D103" s="398"/>
      <c r="E103" s="398"/>
      <c r="F103" s="398"/>
      <c r="G103" s="398"/>
      <c r="H103" s="398"/>
      <c r="I103" s="398"/>
      <c r="J103" s="398"/>
      <c r="K103" s="398"/>
      <c r="L103" s="398"/>
      <c r="M103" s="398"/>
      <c r="N103" s="398"/>
      <c r="O103" s="398"/>
      <c r="P103" s="398"/>
    </row>
    <row r="104" spans="2:18" hidden="1" x14ac:dyDescent="0.3"/>
    <row r="105" spans="2:18" hidden="1" x14ac:dyDescent="0.3">
      <c r="D105" s="91" t="s">
        <v>3</v>
      </c>
      <c r="E105" s="91" t="s">
        <v>4</v>
      </c>
      <c r="F105" s="91" t="s">
        <v>5</v>
      </c>
    </row>
    <row r="106" spans="2:18" hidden="1" x14ac:dyDescent="0.3">
      <c r="B106" s="303" t="s">
        <v>505</v>
      </c>
      <c r="C106" t="s">
        <v>506</v>
      </c>
      <c r="D106" s="18">
        <v>4560231.3587889448</v>
      </c>
      <c r="E106" s="18">
        <v>4651138.0366913397</v>
      </c>
      <c r="F106" s="18">
        <v>4904286.6691794805</v>
      </c>
    </row>
    <row r="107" spans="2:18" hidden="1" x14ac:dyDescent="0.3">
      <c r="B107" s="344" t="s">
        <v>25</v>
      </c>
      <c r="C107" t="s">
        <v>507</v>
      </c>
      <c r="D107" s="18">
        <v>4415731.7299999911</v>
      </c>
      <c r="E107" s="18">
        <v>4505001.0299999937</v>
      </c>
      <c r="F107" s="18">
        <v>4723919.59</v>
      </c>
    </row>
    <row r="108" spans="2:18" hidden="1" x14ac:dyDescent="0.3">
      <c r="B108" s="344" t="s">
        <v>508</v>
      </c>
      <c r="C108" t="s">
        <v>45</v>
      </c>
      <c r="D108" s="353">
        <f>D106-D107</f>
        <v>144499.62878895365</v>
      </c>
      <c r="E108" s="353">
        <f>E106-E107</f>
        <v>146137.00669134595</v>
      </c>
      <c r="F108" s="353">
        <f>F106-F107</f>
        <v>180367.07917948067</v>
      </c>
    </row>
    <row r="109" spans="2:18" hidden="1" x14ac:dyDescent="0.3"/>
    <row r="110" spans="2:18" hidden="1" x14ac:dyDescent="0.3">
      <c r="C110" t="s">
        <v>513</v>
      </c>
      <c r="D110" s="356">
        <v>0.13707</v>
      </c>
      <c r="E110" s="356">
        <v>9.2929999999999999E-2</v>
      </c>
      <c r="F110" s="356">
        <f>115/1000</f>
        <v>0.115</v>
      </c>
    </row>
    <row r="111" spans="2:18" hidden="1" x14ac:dyDescent="0.3"/>
    <row r="112" spans="2:18" hidden="1" x14ac:dyDescent="0.3">
      <c r="C112" s="357" t="s">
        <v>514</v>
      </c>
      <c r="D112" s="358">
        <f>D107*D110</f>
        <v>605264.34823109873</v>
      </c>
      <c r="E112" s="358">
        <f>E107*E110</f>
        <v>418649.74571789941</v>
      </c>
      <c r="F112" s="358">
        <f>F107*F110</f>
        <v>543250.75285000005</v>
      </c>
      <c r="G112" s="359">
        <f>SUM(D112:F112)</f>
        <v>1567164.8467989983</v>
      </c>
    </row>
    <row r="113" spans="3:8" hidden="1" x14ac:dyDescent="0.3"/>
    <row r="114" spans="3:8" hidden="1" x14ac:dyDescent="0.3">
      <c r="C114" t="s">
        <v>515</v>
      </c>
      <c r="D114" s="356">
        <f>115/1000</f>
        <v>0.115</v>
      </c>
      <c r="E114" s="356">
        <f>115/1000</f>
        <v>0.115</v>
      </c>
      <c r="F114" s="356">
        <f>115/1000</f>
        <v>0.115</v>
      </c>
    </row>
    <row r="115" spans="3:8" hidden="1" x14ac:dyDescent="0.3"/>
    <row r="116" spans="3:8" hidden="1" x14ac:dyDescent="0.3">
      <c r="C116" s="360" t="s">
        <v>516</v>
      </c>
      <c r="D116" s="361">
        <f>D107*D114</f>
        <v>507809.14894999901</v>
      </c>
      <c r="E116" s="361">
        <f>E107*E114</f>
        <v>518075.11844999931</v>
      </c>
      <c r="F116" s="361">
        <f>F107*F114</f>
        <v>543250.75285000005</v>
      </c>
      <c r="G116" s="361">
        <f>SUM(D116:F116)</f>
        <v>1569135.0202499984</v>
      </c>
      <c r="H116" s="62">
        <f>G116-G112</f>
        <v>1970.1734510001261</v>
      </c>
    </row>
    <row r="117" spans="3:8" hidden="1" x14ac:dyDescent="0.3"/>
    <row r="118" spans="3:8" hidden="1" x14ac:dyDescent="0.3">
      <c r="C118" t="s">
        <v>517</v>
      </c>
      <c r="D118" s="356">
        <f>150.57/1000</f>
        <v>0.15056999999999998</v>
      </c>
      <c r="E118" s="356">
        <f>147.18/1000</f>
        <v>0.14718000000000001</v>
      </c>
      <c r="F118" s="356">
        <f>128.4/1000</f>
        <v>0.12840000000000001</v>
      </c>
    </row>
    <row r="119" spans="3:8" hidden="1" x14ac:dyDescent="0.3">
      <c r="D119" s="362"/>
      <c r="E119" s="362"/>
      <c r="F119" s="362"/>
    </row>
    <row r="120" spans="3:8" hidden="1" x14ac:dyDescent="0.3">
      <c r="C120" s="363" t="s">
        <v>518</v>
      </c>
      <c r="D120" s="335">
        <f>D118*D107</f>
        <v>664876.72658609855</v>
      </c>
      <c r="E120" s="335">
        <f>E118*E107</f>
        <v>663046.05159539916</v>
      </c>
      <c r="F120" s="335">
        <f>F118*F107</f>
        <v>606551.27535600006</v>
      </c>
      <c r="G120" s="335">
        <f>SUM(D120:F120)</f>
        <v>1934474.0535374978</v>
      </c>
      <c r="H120" s="62">
        <f>G120-G116</f>
        <v>365339.03328749933</v>
      </c>
    </row>
    <row r="121" spans="3:8" hidden="1" x14ac:dyDescent="0.3"/>
    <row r="122" spans="3:8" hidden="1" x14ac:dyDescent="0.3"/>
    <row r="123" spans="3:8" hidden="1" x14ac:dyDescent="0.3"/>
    <row r="124" spans="3:8" hidden="1" x14ac:dyDescent="0.3"/>
    <row r="125" spans="3:8" hidden="1" x14ac:dyDescent="0.3"/>
    <row r="126" spans="3:8" hidden="1" x14ac:dyDescent="0.3"/>
    <row r="127" spans="3:8" hidden="1" x14ac:dyDescent="0.3"/>
    <row r="128" spans="3:8" hidden="1" x14ac:dyDescent="0.3"/>
    <row r="129" hidden="1" x14ac:dyDescent="0.3"/>
  </sheetData>
  <mergeCells count="7">
    <mergeCell ref="C103:P103"/>
    <mergeCell ref="C2:P2"/>
    <mergeCell ref="S3:T3"/>
    <mergeCell ref="C18:P18"/>
    <mergeCell ref="C52:P52"/>
    <mergeCell ref="E73:O73"/>
    <mergeCell ref="C77:C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CB53"/>
  <sheetViews>
    <sheetView workbookViewId="0">
      <selection activeCell="H19" sqref="H19"/>
    </sheetView>
  </sheetViews>
  <sheetFormatPr defaultRowHeight="14.4" x14ac:dyDescent="0.3"/>
  <cols>
    <col min="3" max="3" width="25" bestFit="1" customWidth="1"/>
    <col min="4" max="9" width="13.6640625" customWidth="1"/>
    <col min="10" max="12" width="0" hidden="1" customWidth="1"/>
    <col min="13" max="75" width="13.6640625" customWidth="1"/>
  </cols>
  <sheetData>
    <row r="4" spans="3:80" s="98" customFormat="1" ht="28.8" x14ac:dyDescent="0.3">
      <c r="D4" s="102">
        <v>43465</v>
      </c>
      <c r="E4" s="102">
        <v>43830</v>
      </c>
      <c r="F4" s="103" t="s">
        <v>52</v>
      </c>
      <c r="G4" s="65" t="s">
        <v>53</v>
      </c>
      <c r="H4" s="103" t="s">
        <v>54</v>
      </c>
    </row>
    <row r="5" spans="3:80" x14ac:dyDescent="0.3">
      <c r="C5" t="s">
        <v>55</v>
      </c>
      <c r="D5" s="39">
        <v>-1884544.95</v>
      </c>
      <c r="E5" s="39">
        <v>-1001147.33</v>
      </c>
      <c r="F5" s="39">
        <v>-1267536.8799999999</v>
      </c>
      <c r="G5" s="62">
        <f>E5+F5</f>
        <v>-2268684.21</v>
      </c>
      <c r="H5" s="104">
        <f>R13+AB13+AL13+AV13+BF13</f>
        <v>2268684.02</v>
      </c>
      <c r="I5" s="62">
        <f>G5+H5</f>
        <v>-0.18999999994412065</v>
      </c>
    </row>
    <row r="6" spans="3:80" x14ac:dyDescent="0.3">
      <c r="C6" t="s">
        <v>56</v>
      </c>
      <c r="D6" s="39">
        <v>1779321.02</v>
      </c>
      <c r="E6" s="39">
        <v>2038364.08</v>
      </c>
      <c r="F6" s="39">
        <v>390351.77</v>
      </c>
      <c r="G6" s="62">
        <f>E6+F6</f>
        <v>2428715.85</v>
      </c>
      <c r="H6" s="104">
        <f>R14+AB14+AL14+AV14+BF14</f>
        <v>-2428715.4500000002</v>
      </c>
      <c r="I6" s="62">
        <f>G6+H6</f>
        <v>0.39999999990686774</v>
      </c>
    </row>
    <row r="8" spans="3:80" ht="15" thickBot="1" x14ac:dyDescent="0.35"/>
    <row r="9" spans="3:80" s="128" customFormat="1" ht="16.8" thickBot="1" x14ac:dyDescent="0.35">
      <c r="C9" s="105"/>
      <c r="D9" s="106"/>
      <c r="E9" s="404">
        <v>2014</v>
      </c>
      <c r="F9" s="405"/>
      <c r="G9" s="405"/>
      <c r="H9" s="405"/>
      <c r="I9" s="405"/>
      <c r="J9" s="405"/>
      <c r="K9" s="405"/>
      <c r="L9" s="405"/>
      <c r="M9" s="405"/>
      <c r="N9" s="424"/>
      <c r="O9" s="404">
        <v>2015</v>
      </c>
      <c r="P9" s="405"/>
      <c r="Q9" s="405"/>
      <c r="R9" s="405"/>
      <c r="S9" s="405"/>
      <c r="T9" s="405"/>
      <c r="U9" s="405"/>
      <c r="V9" s="405"/>
      <c r="W9" s="405"/>
      <c r="X9" s="424"/>
      <c r="Y9" s="404">
        <v>2016</v>
      </c>
      <c r="Z9" s="405"/>
      <c r="AA9" s="405"/>
      <c r="AB9" s="405"/>
      <c r="AC9" s="405"/>
      <c r="AD9" s="405"/>
      <c r="AE9" s="405"/>
      <c r="AF9" s="405"/>
      <c r="AG9" s="405"/>
      <c r="AH9" s="424"/>
      <c r="AI9" s="404">
        <v>2017</v>
      </c>
      <c r="AJ9" s="405"/>
      <c r="AK9" s="405"/>
      <c r="AL9" s="405"/>
      <c r="AM9" s="405"/>
      <c r="AN9" s="405"/>
      <c r="AO9" s="405"/>
      <c r="AP9" s="405"/>
      <c r="AQ9" s="405"/>
      <c r="AR9" s="424"/>
      <c r="AS9" s="404">
        <v>2018</v>
      </c>
      <c r="AT9" s="405"/>
      <c r="AU9" s="405"/>
      <c r="AV9" s="405"/>
      <c r="AW9" s="405"/>
      <c r="AX9" s="405"/>
      <c r="AY9" s="405"/>
      <c r="AZ9" s="405"/>
      <c r="BA9" s="405"/>
      <c r="BB9" s="405"/>
      <c r="BC9" s="404">
        <v>2019</v>
      </c>
      <c r="BD9" s="405"/>
      <c r="BE9" s="405"/>
      <c r="BF9" s="405"/>
      <c r="BG9" s="405"/>
      <c r="BH9" s="405"/>
      <c r="BI9" s="405"/>
      <c r="BJ9" s="405"/>
      <c r="BK9" s="405"/>
      <c r="BL9" s="424"/>
      <c r="BM9" s="404">
        <v>2020</v>
      </c>
      <c r="BN9" s="405"/>
      <c r="BO9" s="405"/>
      <c r="BP9" s="405"/>
      <c r="BQ9" s="406" t="s">
        <v>57</v>
      </c>
      <c r="BR9" s="407"/>
      <c r="BS9" s="407"/>
      <c r="BT9" s="408"/>
      <c r="BU9" s="129"/>
      <c r="BV9" s="130" t="s">
        <v>115</v>
      </c>
      <c r="BW9" s="131"/>
      <c r="BX9" s="132"/>
    </row>
    <row r="10" spans="3:80" s="128" customFormat="1" ht="12.75" customHeight="1" x14ac:dyDescent="0.3">
      <c r="C10" s="409" t="s">
        <v>58</v>
      </c>
      <c r="D10" s="411" t="s">
        <v>59</v>
      </c>
      <c r="E10" s="413" t="s">
        <v>60</v>
      </c>
      <c r="F10" s="416" t="s">
        <v>61</v>
      </c>
      <c r="G10" s="419" t="s">
        <v>62</v>
      </c>
      <c r="H10" s="419" t="s">
        <v>116</v>
      </c>
      <c r="I10" s="419" t="s">
        <v>63</v>
      </c>
      <c r="J10" s="419" t="s">
        <v>64</v>
      </c>
      <c r="K10" s="419" t="s">
        <v>65</v>
      </c>
      <c r="L10" s="419" t="s">
        <v>62</v>
      </c>
      <c r="M10" s="419" t="s">
        <v>117</v>
      </c>
      <c r="N10" s="425" t="s">
        <v>66</v>
      </c>
      <c r="O10" s="428" t="s">
        <v>67</v>
      </c>
      <c r="P10" s="419" t="s">
        <v>68</v>
      </c>
      <c r="Q10" s="419" t="s">
        <v>69</v>
      </c>
      <c r="R10" s="431" t="s">
        <v>118</v>
      </c>
      <c r="S10" s="419" t="s">
        <v>70</v>
      </c>
      <c r="T10" s="419" t="s">
        <v>71</v>
      </c>
      <c r="U10" s="419" t="s">
        <v>72</v>
      </c>
      <c r="V10" s="419" t="s">
        <v>69</v>
      </c>
      <c r="W10" s="416" t="s">
        <v>119</v>
      </c>
      <c r="X10" s="434" t="s">
        <v>73</v>
      </c>
      <c r="Y10" s="413" t="s">
        <v>74</v>
      </c>
      <c r="Z10" s="416" t="s">
        <v>75</v>
      </c>
      <c r="AA10" s="416" t="s">
        <v>76</v>
      </c>
      <c r="AB10" s="439" t="s">
        <v>120</v>
      </c>
      <c r="AC10" s="416" t="s">
        <v>77</v>
      </c>
      <c r="AD10" s="416" t="s">
        <v>78</v>
      </c>
      <c r="AE10" s="416" t="s">
        <v>79</v>
      </c>
      <c r="AF10" s="416" t="s">
        <v>76</v>
      </c>
      <c r="AG10" s="416" t="s">
        <v>121</v>
      </c>
      <c r="AH10" s="434" t="s">
        <v>80</v>
      </c>
      <c r="AI10" s="413" t="s">
        <v>81</v>
      </c>
      <c r="AJ10" s="416" t="s">
        <v>82</v>
      </c>
      <c r="AK10" s="416" t="s">
        <v>83</v>
      </c>
      <c r="AL10" s="439" t="s">
        <v>122</v>
      </c>
      <c r="AM10" s="416" t="s">
        <v>84</v>
      </c>
      <c r="AN10" s="416" t="s">
        <v>85</v>
      </c>
      <c r="AO10" s="416" t="s">
        <v>86</v>
      </c>
      <c r="AP10" s="416" t="s">
        <v>83</v>
      </c>
      <c r="AQ10" s="416" t="s">
        <v>123</v>
      </c>
      <c r="AR10" s="434" t="s">
        <v>87</v>
      </c>
      <c r="AS10" s="413" t="s">
        <v>88</v>
      </c>
      <c r="AT10" s="416" t="s">
        <v>89</v>
      </c>
      <c r="AU10" s="416" t="s">
        <v>90</v>
      </c>
      <c r="AV10" s="439" t="s">
        <v>124</v>
      </c>
      <c r="AW10" s="416" t="s">
        <v>91</v>
      </c>
      <c r="AX10" s="416" t="s">
        <v>92</v>
      </c>
      <c r="AY10" s="416" t="s">
        <v>93</v>
      </c>
      <c r="AZ10" s="416" t="s">
        <v>90</v>
      </c>
      <c r="BA10" s="416" t="s">
        <v>125</v>
      </c>
      <c r="BB10" s="416" t="s">
        <v>94</v>
      </c>
      <c r="BC10" s="413" t="s">
        <v>95</v>
      </c>
      <c r="BD10" s="416" t="s">
        <v>96</v>
      </c>
      <c r="BE10" s="416" t="s">
        <v>97</v>
      </c>
      <c r="BF10" s="439" t="s">
        <v>126</v>
      </c>
      <c r="BG10" s="416" t="s">
        <v>98</v>
      </c>
      <c r="BH10" s="416" t="s">
        <v>99</v>
      </c>
      <c r="BI10" s="416" t="s">
        <v>100</v>
      </c>
      <c r="BJ10" s="416" t="s">
        <v>97</v>
      </c>
      <c r="BK10" s="416" t="s">
        <v>127</v>
      </c>
      <c r="BL10" s="434" t="s">
        <v>101</v>
      </c>
      <c r="BM10" s="413" t="s">
        <v>102</v>
      </c>
      <c r="BN10" s="416" t="s">
        <v>103</v>
      </c>
      <c r="BO10" s="416" t="s">
        <v>104</v>
      </c>
      <c r="BP10" s="416" t="s">
        <v>105</v>
      </c>
      <c r="BQ10" s="413" t="s">
        <v>128</v>
      </c>
      <c r="BR10" s="416" t="s">
        <v>112</v>
      </c>
      <c r="BS10" s="416" t="s">
        <v>106</v>
      </c>
      <c r="BT10" s="416" t="s">
        <v>107</v>
      </c>
      <c r="BU10" s="444" t="s">
        <v>108</v>
      </c>
      <c r="BV10" s="434" t="s">
        <v>109</v>
      </c>
      <c r="BW10" s="434" t="s">
        <v>129</v>
      </c>
      <c r="BX10" s="132"/>
    </row>
    <row r="11" spans="3:80" s="128" customFormat="1" ht="30.75" customHeight="1" x14ac:dyDescent="0.3">
      <c r="C11" s="410"/>
      <c r="D11" s="412"/>
      <c r="E11" s="414"/>
      <c r="F11" s="417"/>
      <c r="G11" s="420"/>
      <c r="H11" s="422"/>
      <c r="I11" s="420"/>
      <c r="J11" s="422"/>
      <c r="K11" s="420"/>
      <c r="L11" s="420"/>
      <c r="M11" s="422"/>
      <c r="N11" s="426"/>
      <c r="O11" s="429"/>
      <c r="P11" s="422"/>
      <c r="Q11" s="422"/>
      <c r="R11" s="432"/>
      <c r="S11" s="422"/>
      <c r="T11" s="422"/>
      <c r="U11" s="422"/>
      <c r="V11" s="422"/>
      <c r="W11" s="417"/>
      <c r="X11" s="435"/>
      <c r="Y11" s="414"/>
      <c r="Z11" s="417"/>
      <c r="AA11" s="437"/>
      <c r="AB11" s="440"/>
      <c r="AC11" s="437"/>
      <c r="AD11" s="417"/>
      <c r="AE11" s="437"/>
      <c r="AF11" s="437"/>
      <c r="AG11" s="437"/>
      <c r="AH11" s="435"/>
      <c r="AI11" s="414"/>
      <c r="AJ11" s="417"/>
      <c r="AK11" s="437"/>
      <c r="AL11" s="440"/>
      <c r="AM11" s="437"/>
      <c r="AN11" s="417"/>
      <c r="AO11" s="437"/>
      <c r="AP11" s="437"/>
      <c r="AQ11" s="437"/>
      <c r="AR11" s="435"/>
      <c r="AS11" s="414"/>
      <c r="AT11" s="417"/>
      <c r="AU11" s="437"/>
      <c r="AV11" s="440"/>
      <c r="AW11" s="437"/>
      <c r="AX11" s="417"/>
      <c r="AY11" s="437"/>
      <c r="AZ11" s="437"/>
      <c r="BA11" s="437"/>
      <c r="BB11" s="417"/>
      <c r="BC11" s="414"/>
      <c r="BD11" s="417"/>
      <c r="BE11" s="437"/>
      <c r="BF11" s="440"/>
      <c r="BG11" s="437"/>
      <c r="BH11" s="417"/>
      <c r="BI11" s="437"/>
      <c r="BJ11" s="437"/>
      <c r="BK11" s="437"/>
      <c r="BL11" s="435"/>
      <c r="BM11" s="442"/>
      <c r="BN11" s="437"/>
      <c r="BO11" s="437"/>
      <c r="BP11" s="437"/>
      <c r="BQ11" s="414"/>
      <c r="BR11" s="417"/>
      <c r="BS11" s="417"/>
      <c r="BT11" s="417"/>
      <c r="BU11" s="445"/>
      <c r="BV11" s="435"/>
      <c r="BW11" s="435"/>
      <c r="BX11" s="132"/>
    </row>
    <row r="12" spans="3:80" s="128" customFormat="1" ht="38.25" customHeight="1" thickBot="1" x14ac:dyDescent="0.35">
      <c r="C12" s="410"/>
      <c r="D12" s="412"/>
      <c r="E12" s="415"/>
      <c r="F12" s="418"/>
      <c r="G12" s="421"/>
      <c r="H12" s="423"/>
      <c r="I12" s="421"/>
      <c r="J12" s="423"/>
      <c r="K12" s="421"/>
      <c r="L12" s="421"/>
      <c r="M12" s="423"/>
      <c r="N12" s="427"/>
      <c r="O12" s="430"/>
      <c r="P12" s="423"/>
      <c r="Q12" s="423"/>
      <c r="R12" s="433"/>
      <c r="S12" s="423"/>
      <c r="T12" s="423"/>
      <c r="U12" s="423"/>
      <c r="V12" s="423"/>
      <c r="W12" s="418"/>
      <c r="X12" s="436"/>
      <c r="Y12" s="415"/>
      <c r="Z12" s="418"/>
      <c r="AA12" s="438"/>
      <c r="AB12" s="441"/>
      <c r="AC12" s="438"/>
      <c r="AD12" s="418"/>
      <c r="AE12" s="438"/>
      <c r="AF12" s="438"/>
      <c r="AG12" s="438"/>
      <c r="AH12" s="436"/>
      <c r="AI12" s="415"/>
      <c r="AJ12" s="418"/>
      <c r="AK12" s="438"/>
      <c r="AL12" s="441"/>
      <c r="AM12" s="438"/>
      <c r="AN12" s="418"/>
      <c r="AO12" s="438"/>
      <c r="AP12" s="438"/>
      <c r="AQ12" s="438"/>
      <c r="AR12" s="436"/>
      <c r="AS12" s="415"/>
      <c r="AT12" s="418"/>
      <c r="AU12" s="438"/>
      <c r="AV12" s="441"/>
      <c r="AW12" s="438"/>
      <c r="AX12" s="418"/>
      <c r="AY12" s="438"/>
      <c r="AZ12" s="438"/>
      <c r="BA12" s="438"/>
      <c r="BB12" s="418"/>
      <c r="BC12" s="415"/>
      <c r="BD12" s="418"/>
      <c r="BE12" s="438"/>
      <c r="BF12" s="441"/>
      <c r="BG12" s="438"/>
      <c r="BH12" s="418"/>
      <c r="BI12" s="438"/>
      <c r="BJ12" s="438"/>
      <c r="BK12" s="438"/>
      <c r="BL12" s="436"/>
      <c r="BM12" s="443"/>
      <c r="BN12" s="438"/>
      <c r="BO12" s="438"/>
      <c r="BP12" s="438"/>
      <c r="BQ12" s="415"/>
      <c r="BR12" s="418"/>
      <c r="BS12" s="418"/>
      <c r="BT12" s="418" t="s">
        <v>110</v>
      </c>
      <c r="BU12" s="446"/>
      <c r="BV12" s="447"/>
      <c r="BW12" s="436"/>
      <c r="BX12" s="132"/>
    </row>
    <row r="13" spans="3:80" s="128" customFormat="1" ht="16.8" thickBot="1" x14ac:dyDescent="0.35">
      <c r="C13" s="107" t="s">
        <v>113</v>
      </c>
      <c r="D13" s="108">
        <v>1588</v>
      </c>
      <c r="E13" s="109"/>
      <c r="F13" s="110"/>
      <c r="G13" s="110"/>
      <c r="H13" s="112">
        <v>533065</v>
      </c>
      <c r="I13" s="111">
        <f t="shared" ref="I13:I14" si="0">E13+F13-G13+H13</f>
        <v>533065</v>
      </c>
      <c r="J13" s="110"/>
      <c r="K13" s="110"/>
      <c r="L13" s="110"/>
      <c r="M13" s="112">
        <v>11604</v>
      </c>
      <c r="N13" s="111">
        <f t="shared" ref="N13:N14" si="1">J13+K13-L13+M13</f>
        <v>11604</v>
      </c>
      <c r="O13" s="113">
        <f t="shared" ref="O13:O14" si="2">I13</f>
        <v>533065</v>
      </c>
      <c r="P13" s="112">
        <v>-516208</v>
      </c>
      <c r="Q13" s="112">
        <v>349831</v>
      </c>
      <c r="R13" s="114">
        <v>52591.4</v>
      </c>
      <c r="S13" s="111">
        <f t="shared" ref="S13:S14" si="3">O13+P13-Q13+SUM(R13:R13)</f>
        <v>-280382.59999999998</v>
      </c>
      <c r="T13" s="111">
        <f t="shared" ref="T13:T14" si="4">N13</f>
        <v>11604</v>
      </c>
      <c r="U13" s="112">
        <v>1399.87</v>
      </c>
      <c r="V13" s="112">
        <v>5635</v>
      </c>
      <c r="W13" s="112">
        <v>-829.72</v>
      </c>
      <c r="X13" s="115">
        <f t="shared" ref="X13:X14" si="5">T13+U13-V13+W13</f>
        <v>6539.1499999999987</v>
      </c>
      <c r="Y13" s="113">
        <f t="shared" ref="Y13:Y14" si="6">S13</f>
        <v>-280382.59999999998</v>
      </c>
      <c r="Z13" s="112">
        <v>-168950.48</v>
      </c>
      <c r="AA13" s="112">
        <v>183234</v>
      </c>
      <c r="AB13" s="114">
        <v>828492.14</v>
      </c>
      <c r="AC13" s="111">
        <f t="shared" ref="AC13:AC14" si="7">Y13+Z13-AA13+SUM(AB13:AB13)</f>
        <v>195925.06000000006</v>
      </c>
      <c r="AD13" s="116">
        <f t="shared" ref="AD13:AD14" si="8">X13</f>
        <v>6539.1499999999987</v>
      </c>
      <c r="AE13" s="112">
        <v>-3807.03</v>
      </c>
      <c r="AF13" s="112">
        <v>8154</v>
      </c>
      <c r="AG13" s="112">
        <v>2840.52</v>
      </c>
      <c r="AH13" s="115">
        <f t="shared" ref="AH13:AH14" si="9">AD13+AE13-AF13+AG13</f>
        <v>-2581.360000000001</v>
      </c>
      <c r="AI13" s="113">
        <f t="shared" ref="AI13:AI14" si="10">AC13</f>
        <v>195925.06000000006</v>
      </c>
      <c r="AJ13" s="112">
        <v>-454744.88</v>
      </c>
      <c r="AK13" s="112"/>
      <c r="AL13" s="117">
        <v>1076393.98</v>
      </c>
      <c r="AM13" s="111">
        <f t="shared" ref="AM13:AM14" si="11">AI13+AJ13-AK13+SUM(AL13:AL13)</f>
        <v>817574.16</v>
      </c>
      <c r="AN13" s="116">
        <f t="shared" ref="AN13:AN14" si="12">AH13</f>
        <v>-2581.360000000001</v>
      </c>
      <c r="AO13" s="112">
        <v>-5152.08</v>
      </c>
      <c r="AP13" s="112"/>
      <c r="AQ13" s="118">
        <v>4228.95</v>
      </c>
      <c r="AR13" s="115">
        <f t="shared" ref="AR13:AR14" si="13">AN13+AO13-AP13+AQ13</f>
        <v>-3504.4900000000007</v>
      </c>
      <c r="AS13" s="113">
        <f t="shared" ref="AS13:AS14" si="14">AM13</f>
        <v>817574.16</v>
      </c>
      <c r="AT13" s="119">
        <v>-744641.4</v>
      </c>
      <c r="AU13" s="112"/>
      <c r="AV13" s="114">
        <v>-191423.23</v>
      </c>
      <c r="AW13" s="111">
        <f t="shared" ref="AW13:AW14" si="15">AS13+AT13-AU13+SUM(AV13:AV13)</f>
        <v>-118490.47</v>
      </c>
      <c r="AX13" s="116">
        <f t="shared" ref="AX13:AX14" si="16">AR13</f>
        <v>-3504.4900000000007</v>
      </c>
      <c r="AY13" s="119">
        <v>-15118.04</v>
      </c>
      <c r="AZ13" s="112"/>
      <c r="BA13" s="112">
        <v>7763.6900000000023</v>
      </c>
      <c r="BB13" s="111">
        <f t="shared" ref="BB13:BB14" si="17">AX13+AY13-AZ13+BA13</f>
        <v>-10858.84</v>
      </c>
      <c r="BC13" s="113">
        <f t="shared" ref="BC13:BC14" si="18">AW13</f>
        <v>-118490.47</v>
      </c>
      <c r="BD13" s="119">
        <v>883397.61999999732</v>
      </c>
      <c r="BE13" s="112"/>
      <c r="BF13" s="114">
        <v>502629.73</v>
      </c>
      <c r="BG13" s="111">
        <f t="shared" ref="BG13:BG14" si="19">BC13+BD13-BE13+SUM(BF13:BF13)</f>
        <v>1267536.8799999973</v>
      </c>
      <c r="BH13" s="116">
        <f t="shared" ref="BH13:BH14" si="20">BB13</f>
        <v>-10858.84</v>
      </c>
      <c r="BI13" s="119">
        <v>-36192.800000000003</v>
      </c>
      <c r="BJ13" s="112"/>
      <c r="BK13" s="120">
        <v>39675.737758904099</v>
      </c>
      <c r="BL13" s="115">
        <f t="shared" ref="BL13:BL14" si="21">BH13+BI13-BJ13+BK13</f>
        <v>-7375.9022410959005</v>
      </c>
      <c r="BM13" s="121"/>
      <c r="BN13" s="121"/>
      <c r="BO13" s="116">
        <f t="shared" ref="BO13:BO14" si="22">BG13-BM13</f>
        <v>1267536.8799999973</v>
      </c>
      <c r="BP13" s="122">
        <f t="shared" ref="BP13:BP14" si="23">BL13-BN13</f>
        <v>-7375.9022410959005</v>
      </c>
      <c r="BQ13" s="123">
        <f t="shared" ref="BQ13:BQ14" si="24">+BO13*((2.18%*6/12)+(0.57%*6/12))</f>
        <v>17428.632099999963</v>
      </c>
      <c r="BR13" s="121"/>
      <c r="BS13" s="124">
        <f t="shared" ref="BS13:BS14" si="25">BP13+BQ13+BR13</f>
        <v>10052.729858904062</v>
      </c>
      <c r="BT13" s="104">
        <f>IF(BU13="Yes", SUM(BO13:BR13), 0)</f>
        <v>1277589.6098589015</v>
      </c>
      <c r="BU13" s="125" t="s">
        <v>111</v>
      </c>
      <c r="BV13" s="126">
        <v>-1045862.53</v>
      </c>
      <c r="BW13" s="127">
        <f t="shared" ref="BW13:BW14" si="26">ROUND(BV13-SUM(BG13,BL13),2)</f>
        <v>-2306023.5099999998</v>
      </c>
      <c r="BX13" s="133" t="str">
        <f t="shared" ref="BX13:BX14" si="27">IF(ABS(BW13)&gt;1,"Please provide an explanation of the variance in the Manager's Summary","")</f>
        <v>Please provide an explanation of the variance in the Manager's Summary</v>
      </c>
      <c r="BY13" s="134"/>
      <c r="BZ13" s="134"/>
      <c r="CA13" s="134"/>
      <c r="CB13" s="134"/>
    </row>
    <row r="14" spans="3:80" s="128" customFormat="1" ht="16.8" thickBot="1" x14ac:dyDescent="0.35">
      <c r="C14" s="135" t="s">
        <v>114</v>
      </c>
      <c r="D14" s="136">
        <v>1589</v>
      </c>
      <c r="E14" s="137"/>
      <c r="F14" s="138"/>
      <c r="G14" s="138"/>
      <c r="H14" s="139">
        <v>1041033</v>
      </c>
      <c r="I14" s="140">
        <f t="shared" si="0"/>
        <v>1041033</v>
      </c>
      <c r="J14" s="138"/>
      <c r="K14" s="138"/>
      <c r="L14" s="138"/>
      <c r="M14" s="139">
        <v>4563</v>
      </c>
      <c r="N14" s="140">
        <f t="shared" si="1"/>
        <v>4563</v>
      </c>
      <c r="O14" s="141">
        <f t="shared" si="2"/>
        <v>1041033</v>
      </c>
      <c r="P14" s="139">
        <v>363636</v>
      </c>
      <c r="Q14" s="139">
        <v>597818</v>
      </c>
      <c r="R14" s="142">
        <v>-52591.4</v>
      </c>
      <c r="S14" s="140">
        <f t="shared" si="3"/>
        <v>754259.6</v>
      </c>
      <c r="T14" s="140">
        <f t="shared" si="4"/>
        <v>4563</v>
      </c>
      <c r="U14" s="139">
        <v>5083.68</v>
      </c>
      <c r="V14" s="139">
        <v>7281</v>
      </c>
      <c r="W14" s="139">
        <v>103.08000000000004</v>
      </c>
      <c r="X14" s="143">
        <f t="shared" si="5"/>
        <v>2468.7600000000002</v>
      </c>
      <c r="Y14" s="141">
        <f t="shared" si="6"/>
        <v>754259.6</v>
      </c>
      <c r="Z14" s="139">
        <v>324279.26</v>
      </c>
      <c r="AA14" s="139">
        <v>443215</v>
      </c>
      <c r="AB14" s="142">
        <v>-987789.66</v>
      </c>
      <c r="AC14" s="140">
        <f t="shared" si="7"/>
        <v>-352465.80000000016</v>
      </c>
      <c r="AD14" s="144">
        <f t="shared" si="8"/>
        <v>2468.7600000000002</v>
      </c>
      <c r="AE14" s="139">
        <v>5834.57</v>
      </c>
      <c r="AF14" s="139">
        <v>2567</v>
      </c>
      <c r="AG14" s="139">
        <v>-4753.3999999999996</v>
      </c>
      <c r="AH14" s="143">
        <f t="shared" si="9"/>
        <v>982.93000000000029</v>
      </c>
      <c r="AI14" s="141">
        <f t="shared" si="10"/>
        <v>-352465.80000000016</v>
      </c>
      <c r="AJ14" s="139">
        <v>378643.45999999996</v>
      </c>
      <c r="AK14" s="139"/>
      <c r="AL14" s="145">
        <v>-1076393.98</v>
      </c>
      <c r="AM14" s="140">
        <f t="shared" si="11"/>
        <v>-1050216.3200000003</v>
      </c>
      <c r="AN14" s="144">
        <f t="shared" si="12"/>
        <v>982.93000000000029</v>
      </c>
      <c r="AO14" s="139">
        <v>6293.26</v>
      </c>
      <c r="AP14" s="139"/>
      <c r="AQ14" s="146">
        <v>-6612.8600000000006</v>
      </c>
      <c r="AR14" s="143">
        <f t="shared" si="13"/>
        <v>663.32999999999993</v>
      </c>
      <c r="AS14" s="141">
        <f t="shared" si="14"/>
        <v>-1050216.3200000003</v>
      </c>
      <c r="AT14" s="147">
        <v>712761.9</v>
      </c>
      <c r="AU14" s="139"/>
      <c r="AV14" s="142">
        <v>190689.22</v>
      </c>
      <c r="AW14" s="140">
        <f t="shared" si="15"/>
        <v>-146765.20000000027</v>
      </c>
      <c r="AX14" s="144">
        <f t="shared" si="16"/>
        <v>663.32999999999993</v>
      </c>
      <c r="AY14" s="147">
        <v>15709.61</v>
      </c>
      <c r="AZ14" s="139"/>
      <c r="BA14" s="139">
        <v>-9928.27</v>
      </c>
      <c r="BB14" s="140">
        <f t="shared" si="17"/>
        <v>6444.67</v>
      </c>
      <c r="BC14" s="141">
        <f t="shared" si="18"/>
        <v>-146765.20000000027</v>
      </c>
      <c r="BD14" s="147">
        <v>259043.05999999982</v>
      </c>
      <c r="BE14" s="139"/>
      <c r="BF14" s="142">
        <v>-502629.63</v>
      </c>
      <c r="BG14" s="140">
        <f t="shared" si="19"/>
        <v>-390351.77000000048</v>
      </c>
      <c r="BH14" s="144">
        <f t="shared" si="20"/>
        <v>6444.67</v>
      </c>
      <c r="BI14" s="147">
        <v>55732.32</v>
      </c>
      <c r="BJ14" s="139"/>
      <c r="BK14" s="148">
        <v>-39692.227758904104</v>
      </c>
      <c r="BL14" s="143">
        <f t="shared" si="21"/>
        <v>22484.762241095894</v>
      </c>
      <c r="BM14" s="149"/>
      <c r="BN14" s="149"/>
      <c r="BO14" s="144">
        <f t="shared" si="22"/>
        <v>-390351.77000000048</v>
      </c>
      <c r="BP14" s="150">
        <f t="shared" si="23"/>
        <v>22484.762241095894</v>
      </c>
      <c r="BQ14" s="151">
        <f t="shared" si="24"/>
        <v>-5367.3368375000064</v>
      </c>
      <c r="BR14" s="149"/>
      <c r="BS14" s="152">
        <f t="shared" si="25"/>
        <v>17117.425403595887</v>
      </c>
      <c r="BT14" s="153">
        <f>IF(BU14="Yes", SUM(BO14:BR14), 0)</f>
        <v>-373234.34459640458</v>
      </c>
      <c r="BU14" s="154" t="s">
        <v>111</v>
      </c>
      <c r="BV14" s="155">
        <v>2107879.7799999998</v>
      </c>
      <c r="BW14" s="156">
        <f t="shared" si="26"/>
        <v>2475746.79</v>
      </c>
      <c r="BX14" s="133" t="str">
        <f t="shared" si="27"/>
        <v>Please provide an explanation of the variance in the Manager's Summary</v>
      </c>
      <c r="BY14" s="134"/>
      <c r="BZ14" s="134"/>
      <c r="CA14" s="134"/>
      <c r="CB14" s="134"/>
    </row>
    <row r="17" spans="3:14" x14ac:dyDescent="0.3">
      <c r="D17" s="100">
        <v>44196</v>
      </c>
      <c r="E17" s="101" t="s">
        <v>52</v>
      </c>
      <c r="F17" s="101" t="s">
        <v>130</v>
      </c>
    </row>
    <row r="18" spans="3:14" x14ac:dyDescent="0.3">
      <c r="C18" t="s">
        <v>55</v>
      </c>
      <c r="D18" s="39">
        <v>2546147.14</v>
      </c>
      <c r="E18" s="39">
        <v>-1267536.8799999999</v>
      </c>
      <c r="F18" s="62">
        <f>D18+E18</f>
        <v>1278610.2600000002</v>
      </c>
    </row>
    <row r="19" spans="3:14" x14ac:dyDescent="0.3">
      <c r="C19" t="s">
        <v>56</v>
      </c>
      <c r="D19" s="39">
        <v>-583066.56999999995</v>
      </c>
      <c r="E19" s="39">
        <v>390351.77</v>
      </c>
      <c r="F19" s="62">
        <f t="shared" ref="F19" si="28">D19+E19</f>
        <v>-192714.79999999993</v>
      </c>
    </row>
    <row r="21" spans="3:14" x14ac:dyDescent="0.3">
      <c r="D21" s="91">
        <v>1589</v>
      </c>
      <c r="M21" s="91">
        <v>1588</v>
      </c>
    </row>
    <row r="22" spans="3:14" x14ac:dyDescent="0.3">
      <c r="D22" s="39">
        <v>-200286.96</v>
      </c>
      <c r="E22" s="62"/>
      <c r="M22" s="39">
        <v>-493767.73</v>
      </c>
      <c r="N22" t="s">
        <v>146</v>
      </c>
    </row>
    <row r="23" spans="3:14" x14ac:dyDescent="0.3">
      <c r="D23" s="39">
        <v>58371.12</v>
      </c>
      <c r="E23" s="62"/>
      <c r="M23" s="39">
        <v>1173150.05</v>
      </c>
      <c r="N23" t="s">
        <v>137</v>
      </c>
    </row>
    <row r="24" spans="3:14" x14ac:dyDescent="0.3">
      <c r="D24" s="62">
        <v>-544566.81000000006</v>
      </c>
      <c r="M24" s="39">
        <v>398941.4</v>
      </c>
      <c r="N24" t="s">
        <v>145</v>
      </c>
    </row>
    <row r="25" spans="3:14" x14ac:dyDescent="0.3">
      <c r="D25" s="62">
        <f>-1934948</f>
        <v>-1934948</v>
      </c>
      <c r="E25" t="s">
        <v>152</v>
      </c>
      <c r="M25" s="39">
        <v>200286.96</v>
      </c>
      <c r="N25" t="s">
        <v>134</v>
      </c>
    </row>
    <row r="26" spans="3:14" ht="15" thickBot="1" x14ac:dyDescent="0.35">
      <c r="D26" s="62"/>
      <c r="M26" s="64">
        <f>M23+M24+M25+M22</f>
        <v>1278610.6800000002</v>
      </c>
    </row>
    <row r="27" spans="3:14" ht="15.6" thickTop="1" thickBot="1" x14ac:dyDescent="0.35">
      <c r="D27" s="158">
        <f>SUM(D22:D25)</f>
        <v>-2621430.65</v>
      </c>
      <c r="M27" s="39"/>
    </row>
    <row r="28" spans="3:14" ht="15" thickTop="1" x14ac:dyDescent="0.3">
      <c r="D28" s="39"/>
      <c r="M28" s="39">
        <v>-25526.87</v>
      </c>
      <c r="N28" t="s">
        <v>147</v>
      </c>
    </row>
    <row r="29" spans="3:14" x14ac:dyDescent="0.3">
      <c r="D29" s="39">
        <f>D27+G6</f>
        <v>-192714.79999999981</v>
      </c>
      <c r="E29" s="62"/>
      <c r="M29" s="39">
        <v>-128533.52</v>
      </c>
      <c r="N29" t="s">
        <v>148</v>
      </c>
    </row>
    <row r="30" spans="3:14" x14ac:dyDescent="0.3">
      <c r="D30" s="39">
        <v>-493767.73</v>
      </c>
      <c r="M30" s="39">
        <v>338289.44</v>
      </c>
      <c r="N30" t="s">
        <v>149</v>
      </c>
    </row>
    <row r="31" spans="3:14" ht="15.75" customHeight="1" thickBot="1" x14ac:dyDescent="0.35">
      <c r="D31" s="158">
        <f>D29+D30</f>
        <v>-686482.5299999998</v>
      </c>
      <c r="E31" t="s">
        <v>131</v>
      </c>
      <c r="M31" s="39">
        <v>-301238</v>
      </c>
      <c r="N31" t="s">
        <v>150</v>
      </c>
    </row>
    <row r="32" spans="3:14" ht="15.75" customHeight="1" thickTop="1" x14ac:dyDescent="0.3">
      <c r="M32" s="39">
        <v>-26939.1</v>
      </c>
      <c r="N32" t="s">
        <v>151</v>
      </c>
    </row>
    <row r="33" spans="3:15" ht="15" customHeight="1" thickBot="1" x14ac:dyDescent="0.35">
      <c r="D33" s="163">
        <f>-D30</f>
        <v>493767.73</v>
      </c>
      <c r="E33" t="s">
        <v>133</v>
      </c>
      <c r="M33" s="64">
        <f>SUM(M28:M32)</f>
        <v>-143948.05000000002</v>
      </c>
    </row>
    <row r="34" spans="3:15" ht="15" thickTop="1" x14ac:dyDescent="0.3">
      <c r="D34" s="159">
        <v>-200286.96</v>
      </c>
      <c r="E34" t="s">
        <v>134</v>
      </c>
      <c r="N34" s="236"/>
    </row>
    <row r="35" spans="3:15" ht="15" thickBot="1" x14ac:dyDescent="0.35">
      <c r="D35" s="160">
        <v>25536.71</v>
      </c>
      <c r="E35" t="s">
        <v>135</v>
      </c>
      <c r="I35" s="47" t="s">
        <v>141</v>
      </c>
      <c r="M35" s="64">
        <f>M26+M33</f>
        <v>1134662.6300000001</v>
      </c>
    </row>
    <row r="36" spans="3:15" ht="15" thickTop="1" x14ac:dyDescent="0.3">
      <c r="D36" s="160">
        <v>32834.46</v>
      </c>
      <c r="E36" t="s">
        <v>137</v>
      </c>
    </row>
    <row r="37" spans="3:15" x14ac:dyDescent="0.3">
      <c r="D37" s="161">
        <v>-544566.81000000006</v>
      </c>
      <c r="E37" t="s">
        <v>136</v>
      </c>
      <c r="I37" s="47" t="s">
        <v>142</v>
      </c>
      <c r="M37" s="39">
        <v>200286.96</v>
      </c>
    </row>
    <row r="38" spans="3:15" ht="15" thickBot="1" x14ac:dyDescent="0.35">
      <c r="D38" s="158">
        <f>SUM(D33:D37)</f>
        <v>-192714.87</v>
      </c>
      <c r="E38" t="s">
        <v>132</v>
      </c>
    </row>
    <row r="39" spans="3:15" ht="15.6" thickTop="1" thickBot="1" x14ac:dyDescent="0.35">
      <c r="I39" s="47" t="s">
        <v>143</v>
      </c>
      <c r="M39" s="64">
        <f>M35-M37</f>
        <v>934375.67000000016</v>
      </c>
    </row>
    <row r="40" spans="3:15" ht="15" thickTop="1" x14ac:dyDescent="0.3"/>
    <row r="41" spans="3:15" x14ac:dyDescent="0.3">
      <c r="D41" s="39">
        <v>25526.87</v>
      </c>
      <c r="E41" t="s">
        <v>140</v>
      </c>
    </row>
    <row r="42" spans="3:15" x14ac:dyDescent="0.3">
      <c r="D42" s="39">
        <v>-393.64000000001397</v>
      </c>
      <c r="E42" t="s">
        <v>138</v>
      </c>
      <c r="O42" s="62"/>
    </row>
    <row r="43" spans="3:15" x14ac:dyDescent="0.3">
      <c r="D43" s="39">
        <v>301238</v>
      </c>
      <c r="E43" t="s">
        <v>139</v>
      </c>
    </row>
    <row r="44" spans="3:15" x14ac:dyDescent="0.3">
      <c r="D44" s="39">
        <v>26939.1</v>
      </c>
      <c r="E44" t="s">
        <v>151</v>
      </c>
    </row>
    <row r="45" spans="3:15" ht="15" thickBot="1" x14ac:dyDescent="0.35">
      <c r="D45" s="64">
        <f>SUM(D41:D44)</f>
        <v>353310.32999999996</v>
      </c>
    </row>
    <row r="46" spans="3:15" ht="15" thickTop="1" x14ac:dyDescent="0.3"/>
    <row r="47" spans="3:15" x14ac:dyDescent="0.3">
      <c r="C47" s="47" t="s">
        <v>141</v>
      </c>
      <c r="D47" s="62">
        <f>D45+D38</f>
        <v>160595.45999999996</v>
      </c>
      <c r="E47" s="62"/>
    </row>
    <row r="48" spans="3:15" x14ac:dyDescent="0.3">
      <c r="C48" s="47" t="s">
        <v>142</v>
      </c>
      <c r="D48" s="62">
        <f>D34</f>
        <v>-200286.96</v>
      </c>
    </row>
    <row r="49" spans="3:6" x14ac:dyDescent="0.3">
      <c r="C49" s="47"/>
    </row>
    <row r="50" spans="3:6" ht="15" thickBot="1" x14ac:dyDescent="0.35">
      <c r="C50" s="47" t="s">
        <v>143</v>
      </c>
      <c r="D50" s="64">
        <f>D47-D48</f>
        <v>360882.41999999993</v>
      </c>
      <c r="E50" s="47" t="s">
        <v>144</v>
      </c>
    </row>
    <row r="51" spans="3:6" ht="15" thickTop="1" x14ac:dyDescent="0.3"/>
    <row r="52" spans="3:6" x14ac:dyDescent="0.3">
      <c r="F52" s="62"/>
    </row>
    <row r="53" spans="3:6" x14ac:dyDescent="0.3">
      <c r="F53" s="62"/>
    </row>
  </sheetData>
  <mergeCells count="81">
    <mergeCell ref="BS10:BS12"/>
    <mergeCell ref="BT10:BT12"/>
    <mergeCell ref="BU10:BU12"/>
    <mergeCell ref="BV10:BV12"/>
    <mergeCell ref="BW10:BW12"/>
    <mergeCell ref="BR10:BR12"/>
    <mergeCell ref="BG10:BG12"/>
    <mergeCell ref="BH10:BH12"/>
    <mergeCell ref="BI10:BI12"/>
    <mergeCell ref="BJ10:BJ12"/>
    <mergeCell ref="BK10:BK12"/>
    <mergeCell ref="BL10:BL12"/>
    <mergeCell ref="BM10:BM12"/>
    <mergeCell ref="BN10:BN12"/>
    <mergeCell ref="BO10:BO12"/>
    <mergeCell ref="BP10:BP12"/>
    <mergeCell ref="BQ10:BQ12"/>
    <mergeCell ref="BF10:BF12"/>
    <mergeCell ref="AU10:AU12"/>
    <mergeCell ref="AV10:AV12"/>
    <mergeCell ref="AW10:AW12"/>
    <mergeCell ref="AX10:AX12"/>
    <mergeCell ref="AY10:AY12"/>
    <mergeCell ref="AZ10:AZ12"/>
    <mergeCell ref="BA10:BA12"/>
    <mergeCell ref="BB10:BB12"/>
    <mergeCell ref="BC10:BC12"/>
    <mergeCell ref="BD10:BD12"/>
    <mergeCell ref="BE10:BE12"/>
    <mergeCell ref="AT10:AT12"/>
    <mergeCell ref="AI10:AI12"/>
    <mergeCell ref="AJ10:AJ12"/>
    <mergeCell ref="AK10:AK12"/>
    <mergeCell ref="AL10:AL12"/>
    <mergeCell ref="AM10:AM12"/>
    <mergeCell ref="AN10:AN12"/>
    <mergeCell ref="AO10:AO12"/>
    <mergeCell ref="AP10:AP12"/>
    <mergeCell ref="AQ10:AQ12"/>
    <mergeCell ref="AR10:AR12"/>
    <mergeCell ref="AS10:AS12"/>
    <mergeCell ref="AH10:AH12"/>
    <mergeCell ref="W10:W12"/>
    <mergeCell ref="X10:X12"/>
    <mergeCell ref="Y10:Y12"/>
    <mergeCell ref="Z10:Z12"/>
    <mergeCell ref="AA10:AA12"/>
    <mergeCell ref="AB10:AB12"/>
    <mergeCell ref="AC10:AC12"/>
    <mergeCell ref="AD10:AD12"/>
    <mergeCell ref="AE10:AE12"/>
    <mergeCell ref="AF10:AF12"/>
    <mergeCell ref="AG10:AG12"/>
    <mergeCell ref="V10:V12"/>
    <mergeCell ref="K10:K12"/>
    <mergeCell ref="L10:L12"/>
    <mergeCell ref="M10:M12"/>
    <mergeCell ref="N10:N12"/>
    <mergeCell ref="O10:O12"/>
    <mergeCell ref="P10:P12"/>
    <mergeCell ref="Q10:Q12"/>
    <mergeCell ref="R10:R12"/>
    <mergeCell ref="S10:S12"/>
    <mergeCell ref="T10:T12"/>
    <mergeCell ref="U10:U12"/>
    <mergeCell ref="BM9:BP9"/>
    <mergeCell ref="BQ9:BT9"/>
    <mergeCell ref="C10:C12"/>
    <mergeCell ref="D10:D12"/>
    <mergeCell ref="E10:E12"/>
    <mergeCell ref="F10:F12"/>
    <mergeCell ref="G10:G12"/>
    <mergeCell ref="H10:H12"/>
    <mergeCell ref="I10:I12"/>
    <mergeCell ref="J10:J12"/>
    <mergeCell ref="E9:N9"/>
    <mergeCell ref="O9:X9"/>
    <mergeCell ref="Y9:AH9"/>
    <mergeCell ref="AI9:AR9"/>
    <mergeCell ref="AS9:BB9"/>
    <mergeCell ref="BC9:BL9"/>
  </mergeCells>
  <dataValidations disablePrompts="1" count="1">
    <dataValidation errorTitle="Selection Needed" error="Please select an option from the drop-down list." prompt="Use the following format eg: January 1, 2013" sqref="BU13:BU14" xr:uid="{00000000-0002-0000-0100-000000000000}"/>
  </dataValidations>
  <pageMargins left="0.7" right="0.7" top="0.75" bottom="0.75" header="0.3" footer="0.3"/>
  <pageSetup orientation="portrait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W89"/>
  <sheetViews>
    <sheetView workbookViewId="0">
      <selection activeCell="H19" sqref="H19"/>
    </sheetView>
  </sheetViews>
  <sheetFormatPr defaultRowHeight="14.4" x14ac:dyDescent="0.3"/>
  <cols>
    <col min="1" max="1" width="10.5546875" bestFit="1" customWidth="1"/>
    <col min="2" max="2" width="13.44140625" bestFit="1" customWidth="1"/>
    <col min="3" max="4" width="14.33203125" style="39" bestFit="1" customWidth="1"/>
    <col min="5" max="5" width="13.33203125" style="39" bestFit="1" customWidth="1"/>
    <col min="6" max="13" width="12.88671875" style="39" customWidth="1"/>
    <col min="14" max="17" width="13.33203125" style="39" bestFit="1" customWidth="1"/>
    <col min="18" max="18" width="10.5546875" bestFit="1" customWidth="1"/>
    <col min="19" max="19" width="13.33203125" style="39" bestFit="1" customWidth="1"/>
    <col min="20" max="20" width="11.5546875" bestFit="1" customWidth="1"/>
    <col min="21" max="21" width="13.33203125" bestFit="1" customWidth="1"/>
  </cols>
  <sheetData>
    <row r="5" spans="2:23" x14ac:dyDescent="0.3">
      <c r="F5" s="164"/>
      <c r="G5" s="164"/>
      <c r="H5" s="164"/>
      <c r="I5" s="164"/>
      <c r="J5" s="164"/>
      <c r="K5" s="164"/>
      <c r="L5" s="164"/>
      <c r="O5" s="101"/>
    </row>
    <row r="6" spans="2:23" ht="43.2" x14ac:dyDescent="0.3">
      <c r="C6" s="165" t="s">
        <v>153</v>
      </c>
      <c r="D6" s="101" t="s">
        <v>154</v>
      </c>
      <c r="E6" s="101" t="s">
        <v>140</v>
      </c>
      <c r="F6" s="103" t="s">
        <v>155</v>
      </c>
      <c r="G6" s="103" t="s">
        <v>156</v>
      </c>
      <c r="H6" s="103" t="s">
        <v>157</v>
      </c>
      <c r="I6" s="103" t="s">
        <v>158</v>
      </c>
      <c r="J6" s="103" t="s">
        <v>142</v>
      </c>
      <c r="K6" s="103" t="s">
        <v>159</v>
      </c>
      <c r="L6" s="103" t="s">
        <v>160</v>
      </c>
      <c r="M6" s="103" t="s">
        <v>161</v>
      </c>
      <c r="N6" s="166" t="s">
        <v>162</v>
      </c>
      <c r="O6" s="101" t="s">
        <v>138</v>
      </c>
      <c r="P6" s="101" t="s">
        <v>45</v>
      </c>
      <c r="Q6" s="101" t="s">
        <v>163</v>
      </c>
      <c r="S6" s="167" t="s">
        <v>164</v>
      </c>
      <c r="T6" s="168"/>
      <c r="W6" s="101"/>
    </row>
    <row r="7" spans="2:23" x14ac:dyDescent="0.3">
      <c r="B7" t="s">
        <v>165</v>
      </c>
      <c r="C7" s="169">
        <v>-544960.45000000007</v>
      </c>
      <c r="D7" s="39">
        <v>601643.20000000019</v>
      </c>
      <c r="E7" s="170"/>
      <c r="F7" s="39">
        <v>625339.58999999985</v>
      </c>
      <c r="G7" s="162"/>
      <c r="I7" s="162">
        <v>0</v>
      </c>
      <c r="J7" s="162"/>
      <c r="N7" s="171">
        <f t="shared" ref="N7:N11" si="0">D7-G7-I7-K7-J7+E7+M7-L7</f>
        <v>601643.20000000019</v>
      </c>
      <c r="O7" s="39">
        <v>-9050.9599999999991</v>
      </c>
      <c r="P7" s="39">
        <f t="shared" ref="P7:P17" si="1">C7+D7+O7</f>
        <v>47631.790000000117</v>
      </c>
      <c r="Q7" s="39">
        <f>P7</f>
        <v>47631.790000000117</v>
      </c>
      <c r="S7" s="163"/>
      <c r="T7" s="172">
        <f>C7+S7</f>
        <v>-544960.45000000007</v>
      </c>
      <c r="W7" s="62"/>
    </row>
    <row r="8" spans="2:23" x14ac:dyDescent="0.3">
      <c r="B8" t="s">
        <v>166</v>
      </c>
      <c r="C8" s="169">
        <v>-452473.9599999999</v>
      </c>
      <c r="D8" s="170">
        <v>369451.65</v>
      </c>
      <c r="F8" s="39">
        <v>380760.29999999993</v>
      </c>
      <c r="G8" s="162"/>
      <c r="I8" s="40">
        <v>47631.79</v>
      </c>
      <c r="J8" s="40">
        <v>-152284.44</v>
      </c>
      <c r="K8" s="40">
        <v>-25526.87</v>
      </c>
      <c r="M8" s="39">
        <v>-11308.650000000023</v>
      </c>
      <c r="N8" s="171">
        <f t="shared" si="0"/>
        <v>488322.52</v>
      </c>
      <c r="O8" s="39">
        <v>124586.33</v>
      </c>
      <c r="P8" s="39">
        <f t="shared" si="1"/>
        <v>41564.02000000012</v>
      </c>
      <c r="Q8" s="39">
        <f>SUM(P7:P8)</f>
        <v>89195.810000000231</v>
      </c>
      <c r="S8" s="163"/>
      <c r="T8" s="172">
        <f t="shared" ref="T8:T18" si="2">C8+S8</f>
        <v>-452473.9599999999</v>
      </c>
      <c r="W8" s="62"/>
    </row>
    <row r="9" spans="2:23" x14ac:dyDescent="0.3">
      <c r="B9" t="s">
        <v>167</v>
      </c>
      <c r="C9" s="169">
        <v>-491653.75</v>
      </c>
      <c r="D9" s="173">
        <v>601316.67999999993</v>
      </c>
      <c r="F9" s="39">
        <v>618912.43999999994</v>
      </c>
      <c r="G9" s="162"/>
      <c r="I9" s="162">
        <v>-77306.850000000006</v>
      </c>
      <c r="J9" s="162">
        <v>-89852.75</v>
      </c>
      <c r="M9" s="39">
        <v>-6287.1049999997485</v>
      </c>
      <c r="N9" s="171">
        <f t="shared" si="0"/>
        <v>762189.17500000016</v>
      </c>
      <c r="O9" s="39">
        <v>-45430.16</v>
      </c>
      <c r="P9" s="39">
        <f t="shared" si="1"/>
        <v>64232.769999999931</v>
      </c>
      <c r="Q9" s="39">
        <f>SUM($P$7:P9)</f>
        <v>153428.58000000016</v>
      </c>
      <c r="S9" s="163"/>
      <c r="T9" s="172">
        <f t="shared" si="2"/>
        <v>-491653.75</v>
      </c>
      <c r="W9" s="62"/>
    </row>
    <row r="10" spans="2:23" x14ac:dyDescent="0.3">
      <c r="B10" t="s">
        <v>168</v>
      </c>
      <c r="C10" s="169">
        <v>-385159.53</v>
      </c>
      <c r="D10" s="366">
        <v>615399.55000000028</v>
      </c>
      <c r="E10" s="174"/>
      <c r="F10" s="174">
        <v>635231.73000000021</v>
      </c>
      <c r="G10" s="162"/>
      <c r="H10" s="174"/>
      <c r="I10" s="162">
        <v>-96639.72</v>
      </c>
      <c r="J10" s="162">
        <v>-156079.65</v>
      </c>
      <c r="M10" s="174">
        <v>-40716.135000000009</v>
      </c>
      <c r="N10" s="171">
        <f t="shared" si="0"/>
        <v>827402.78500000027</v>
      </c>
      <c r="O10" s="39">
        <v>149368.47</v>
      </c>
      <c r="P10" s="39">
        <f t="shared" si="1"/>
        <v>379608.49000000022</v>
      </c>
      <c r="Q10" s="39">
        <f>SUM($P$7:P10)</f>
        <v>533037.07000000041</v>
      </c>
      <c r="S10" s="163"/>
      <c r="T10" s="172">
        <f t="shared" si="2"/>
        <v>-385159.53</v>
      </c>
      <c r="W10" s="62"/>
    </row>
    <row r="11" spans="2:23" x14ac:dyDescent="0.3">
      <c r="B11" t="s">
        <v>4</v>
      </c>
      <c r="C11" s="169">
        <v>-336967.85</v>
      </c>
      <c r="D11" s="366">
        <v>580969.84000000008</v>
      </c>
      <c r="E11" s="174"/>
      <c r="F11" s="174">
        <v>582377.23</v>
      </c>
      <c r="G11" s="162"/>
      <c r="H11" s="174"/>
      <c r="I11" s="162">
        <v>167605.25</v>
      </c>
      <c r="J11" s="162">
        <v>-138608.17000000001</v>
      </c>
      <c r="M11" s="174">
        <v>56904.499999999884</v>
      </c>
      <c r="N11" s="171">
        <f t="shared" si="0"/>
        <v>608877.26</v>
      </c>
      <c r="O11" s="39">
        <v>-69721.52</v>
      </c>
      <c r="P11" s="39">
        <f t="shared" si="1"/>
        <v>174280.47000000009</v>
      </c>
      <c r="Q11" s="39">
        <f>SUM($P$7:P11)</f>
        <v>707317.5400000005</v>
      </c>
      <c r="S11" s="163"/>
      <c r="T11" s="172">
        <f t="shared" si="2"/>
        <v>-336967.85</v>
      </c>
      <c r="W11" s="62"/>
    </row>
    <row r="12" spans="2:23" x14ac:dyDescent="0.3">
      <c r="B12" t="s">
        <v>169</v>
      </c>
      <c r="C12" s="169">
        <v>-474538.98</v>
      </c>
      <c r="D12" s="366">
        <v>571977.88000000012</v>
      </c>
      <c r="E12" s="174"/>
      <c r="F12" s="174">
        <v>592390.61000000034</v>
      </c>
      <c r="G12" s="162"/>
      <c r="H12" s="174"/>
      <c r="I12" s="162">
        <v>146373.04999999999</v>
      </c>
      <c r="J12" s="162">
        <v>-96119.6</v>
      </c>
      <c r="M12" s="174">
        <v>-19005.34250000061</v>
      </c>
      <c r="N12" s="171">
        <f>D12-G12-I12-K12-J12+E12+M12-L12</f>
        <v>502719.08749999956</v>
      </c>
      <c r="O12" s="39">
        <v>-145649.5</v>
      </c>
      <c r="P12" s="39">
        <f t="shared" si="1"/>
        <v>-48210.59999999986</v>
      </c>
      <c r="Q12" s="39">
        <f>SUM($P$7:P12)</f>
        <v>659106.94000000064</v>
      </c>
      <c r="S12" s="163"/>
      <c r="T12" s="172">
        <f t="shared" si="2"/>
        <v>-474538.98</v>
      </c>
      <c r="W12" s="62"/>
    </row>
    <row r="13" spans="2:23" x14ac:dyDescent="0.3">
      <c r="B13" t="s">
        <v>170</v>
      </c>
      <c r="C13" s="169">
        <v>-566569.36</v>
      </c>
      <c r="D13" s="366">
        <v>501390.55000000005</v>
      </c>
      <c r="E13" s="174"/>
      <c r="F13" s="174">
        <v>498336.68999999994</v>
      </c>
      <c r="G13" s="162"/>
      <c r="H13" s="174"/>
      <c r="I13" s="162">
        <v>21048.19</v>
      </c>
      <c r="J13" s="162">
        <v>-145591.07999999999</v>
      </c>
      <c r="M13" s="174">
        <v>23466.592500000552</v>
      </c>
      <c r="N13" s="171">
        <f t="shared" ref="N13:N18" si="3">D13-G13-I13-K13-J13+E13+M13-L13</f>
        <v>649400.03250000067</v>
      </c>
      <c r="O13" s="39">
        <v>174756.35</v>
      </c>
      <c r="P13" s="39">
        <f t="shared" si="1"/>
        <v>109577.54000000007</v>
      </c>
      <c r="Q13" s="39">
        <f>SUM($P$7:P13)</f>
        <v>768684.48000000068</v>
      </c>
      <c r="S13" s="163"/>
      <c r="T13" s="172">
        <f t="shared" si="2"/>
        <v>-566569.36</v>
      </c>
      <c r="W13" s="62"/>
    </row>
    <row r="14" spans="2:23" x14ac:dyDescent="0.3">
      <c r="B14" t="s">
        <v>171</v>
      </c>
      <c r="C14" s="169">
        <v>-377572.03</v>
      </c>
      <c r="D14" s="173">
        <v>371665.52</v>
      </c>
      <c r="E14" s="174"/>
      <c r="F14" s="174">
        <v>387185.16999999993</v>
      </c>
      <c r="G14" s="162"/>
      <c r="H14" s="174"/>
      <c r="I14" s="162">
        <v>-38431.94</v>
      </c>
      <c r="J14" s="162">
        <v>-96367.01</v>
      </c>
      <c r="K14" s="39">
        <f>33348.58+30868.67+51053.74</f>
        <v>115270.98999999999</v>
      </c>
      <c r="M14" s="174">
        <v>-3053.8600000000442</v>
      </c>
      <c r="N14" s="171">
        <f t="shared" si="3"/>
        <v>388139.62</v>
      </c>
      <c r="O14" s="39">
        <v>-81372.23</v>
      </c>
      <c r="P14" s="39">
        <f t="shared" si="1"/>
        <v>-87278.74</v>
      </c>
      <c r="Q14" s="39">
        <f>SUM($P$7:P14)</f>
        <v>681405.74000000069</v>
      </c>
      <c r="S14" s="163"/>
      <c r="T14" s="172">
        <f t="shared" si="2"/>
        <v>-377572.03</v>
      </c>
      <c r="W14" s="62"/>
    </row>
    <row r="15" spans="2:23" x14ac:dyDescent="0.3">
      <c r="B15" t="s">
        <v>172</v>
      </c>
      <c r="C15" s="169">
        <v>-489726.51</v>
      </c>
      <c r="D15" s="366">
        <v>441600.66999999993</v>
      </c>
      <c r="E15" s="174"/>
      <c r="F15" s="174">
        <v>0</v>
      </c>
      <c r="G15" s="162"/>
      <c r="H15" s="174">
        <v>501390.55000000005</v>
      </c>
      <c r="I15" s="162">
        <v>-103752.84</v>
      </c>
      <c r="J15" s="162">
        <v>-84158.67</v>
      </c>
      <c r="M15" s="174">
        <v>54415.500000000116</v>
      </c>
      <c r="N15" s="171">
        <f t="shared" si="3"/>
        <v>683927.68</v>
      </c>
      <c r="O15" s="39">
        <v>201938.11</v>
      </c>
      <c r="P15" s="39">
        <f t="shared" si="1"/>
        <v>153812.2699999999</v>
      </c>
      <c r="Q15" s="39">
        <f>SUM($P$7:P15)</f>
        <v>835218.01000000059</v>
      </c>
      <c r="S15" s="163"/>
      <c r="T15" s="172">
        <f t="shared" si="2"/>
        <v>-489726.51</v>
      </c>
      <c r="W15" s="62"/>
    </row>
    <row r="16" spans="2:23" x14ac:dyDescent="0.3">
      <c r="B16" t="s">
        <v>173</v>
      </c>
      <c r="C16" s="169">
        <v>-266175.5</v>
      </c>
      <c r="D16" s="366">
        <v>315651.80000000005</v>
      </c>
      <c r="E16" s="174"/>
      <c r="F16" s="174">
        <v>370988.0199999999</v>
      </c>
      <c r="G16" s="162"/>
      <c r="H16" s="174"/>
      <c r="I16" s="162">
        <v>-88514.74</v>
      </c>
      <c r="J16" s="162">
        <v>-42497.74</v>
      </c>
      <c r="M16" s="174">
        <v>-109751.71999999986</v>
      </c>
      <c r="N16" s="171">
        <f t="shared" si="3"/>
        <v>336912.56000000017</v>
      </c>
      <c r="O16" s="39">
        <v>-81092.81</v>
      </c>
      <c r="P16" s="39">
        <f t="shared" si="1"/>
        <v>-31616.509999999951</v>
      </c>
      <c r="Q16" s="39">
        <f>SUM($P$7:P16)</f>
        <v>803601.5000000007</v>
      </c>
      <c r="S16" s="163"/>
      <c r="T16" s="172">
        <f t="shared" si="2"/>
        <v>-266175.5</v>
      </c>
      <c r="W16" s="62"/>
    </row>
    <row r="17" spans="2:23" x14ac:dyDescent="0.3">
      <c r="B17" t="s">
        <v>174</v>
      </c>
      <c r="C17" s="169">
        <v>-364032.95</v>
      </c>
      <c r="D17" s="366">
        <v>353594.31000000006</v>
      </c>
      <c r="E17" s="174"/>
      <c r="F17" s="174">
        <v>345307.18999999994</v>
      </c>
      <c r="G17" s="162"/>
      <c r="H17" s="174"/>
      <c r="I17" s="162">
        <v>-52877.27</v>
      </c>
      <c r="J17" s="162">
        <v>-26178.11</v>
      </c>
      <c r="M17" s="174">
        <v>63623.339999999793</v>
      </c>
      <c r="N17" s="171">
        <f t="shared" si="3"/>
        <v>496273.02999999985</v>
      </c>
      <c r="O17" s="39">
        <v>46391.59</v>
      </c>
      <c r="P17" s="39">
        <f t="shared" si="1"/>
        <v>35952.950000000041</v>
      </c>
      <c r="Q17" s="39">
        <f>SUM($P$7:P17)</f>
        <v>839554.45000000077</v>
      </c>
      <c r="S17" s="163"/>
      <c r="T17" s="172">
        <f t="shared" si="2"/>
        <v>-364032.95</v>
      </c>
      <c r="W17" s="62"/>
    </row>
    <row r="18" spans="2:23" x14ac:dyDescent="0.3">
      <c r="B18" t="s">
        <v>175</v>
      </c>
      <c r="C18" s="169">
        <v>-311397.83000000013</v>
      </c>
      <c r="D18" s="173">
        <v>432652.34999999986</v>
      </c>
      <c r="E18" s="174"/>
      <c r="F18" s="174">
        <v>0</v>
      </c>
      <c r="G18" s="162"/>
      <c r="H18" s="174">
        <v>432652.34999999986</v>
      </c>
      <c r="I18" s="162">
        <v>-106725.77</v>
      </c>
      <c r="J18" s="162">
        <v>-54613.99</v>
      </c>
      <c r="M18" s="174">
        <v>-8287.1199999999371</v>
      </c>
      <c r="N18" s="171">
        <f t="shared" si="3"/>
        <v>585704.99</v>
      </c>
      <c r="O18" s="39">
        <v>31330.61</v>
      </c>
      <c r="P18" s="39">
        <f t="shared" ref="P18" si="4">C18+D18+O18</f>
        <v>152585.12999999971</v>
      </c>
      <c r="Q18" s="170">
        <f>SUM($P$7:P18)</f>
        <v>992139.58000000054</v>
      </c>
      <c r="S18" s="163"/>
      <c r="T18" s="172">
        <f t="shared" si="2"/>
        <v>-311397.83000000013</v>
      </c>
      <c r="W18" s="62"/>
    </row>
    <row r="19" spans="2:23" x14ac:dyDescent="0.3">
      <c r="G19"/>
      <c r="S19" s="163"/>
      <c r="T19" s="168"/>
    </row>
    <row r="20" spans="2:23" ht="15" thickBot="1" x14ac:dyDescent="0.35">
      <c r="C20" s="158">
        <f>SUM(C7:C18)</f>
        <v>-5061228.7</v>
      </c>
      <c r="D20" s="158">
        <f>SUM(D7:D18)</f>
        <v>5757314</v>
      </c>
      <c r="E20" s="175">
        <f>SUM(E7:E18)</f>
        <v>0</v>
      </c>
      <c r="F20" s="176">
        <f>SUM(F7:F18)</f>
        <v>5036828.9699999988</v>
      </c>
      <c r="G20" s="176">
        <f>SUM(G7:G18)</f>
        <v>0</v>
      </c>
      <c r="H20" s="177">
        <f t="shared" ref="H20:P20" si="5">SUM(H7:H18)</f>
        <v>934042.89999999991</v>
      </c>
      <c r="I20" s="177">
        <f>SUM(I7:I18)+SUM(D7:D8)-E7</f>
        <v>789504.00000000023</v>
      </c>
      <c r="J20" s="175">
        <f t="shared" si="5"/>
        <v>-1082351.21</v>
      </c>
      <c r="K20" s="175">
        <f t="shared" si="5"/>
        <v>89744.12</v>
      </c>
      <c r="L20" s="177">
        <f t="shared" si="5"/>
        <v>0</v>
      </c>
      <c r="M20" s="158">
        <f t="shared" si="5"/>
        <v>1.1641532182693481E-10</v>
      </c>
      <c r="N20" s="177">
        <f t="shared" si="5"/>
        <v>6931511.9400000013</v>
      </c>
      <c r="P20" s="158">
        <f t="shared" si="5"/>
        <v>992139.58000000054</v>
      </c>
      <c r="S20" s="178">
        <f>SUM(S7:S18)</f>
        <v>0</v>
      </c>
      <c r="T20" s="178">
        <f>SUM(T7:T18)</f>
        <v>-5061228.7</v>
      </c>
    </row>
    <row r="21" spans="2:23" ht="15" thickTop="1" x14ac:dyDescent="0.3">
      <c r="D21" s="40">
        <f>D20-N20</f>
        <v>-1174197.9400000013</v>
      </c>
      <c r="F21"/>
      <c r="G21" s="57">
        <f>F20+G20</f>
        <v>5036828.9699999988</v>
      </c>
      <c r="H21"/>
      <c r="I21" s="57">
        <f>I20+H20+E20+L20</f>
        <v>1723546.9000000001</v>
      </c>
      <c r="J21"/>
      <c r="K21" s="57">
        <f>E20-J20-K20</f>
        <v>992607.09</v>
      </c>
      <c r="L21" s="62"/>
      <c r="M21"/>
    </row>
    <row r="22" spans="2:23" ht="15" thickBot="1" x14ac:dyDescent="0.35">
      <c r="F22"/>
      <c r="G22"/>
      <c r="H22"/>
      <c r="I22" s="87">
        <f>I21-N20</f>
        <v>-5207965.040000001</v>
      </c>
      <c r="J22"/>
      <c r="K22" s="62"/>
      <c r="L22" s="62"/>
      <c r="M22"/>
    </row>
    <row r="23" spans="2:23" ht="15" thickTop="1" x14ac:dyDescent="0.3">
      <c r="F23" s="62"/>
      <c r="G23"/>
      <c r="H23"/>
      <c r="I23" s="62"/>
      <c r="J23"/>
      <c r="K23"/>
      <c r="L23"/>
      <c r="M23"/>
      <c r="N23"/>
      <c r="O23"/>
      <c r="P23" s="62"/>
    </row>
    <row r="24" spans="2:23" x14ac:dyDescent="0.3">
      <c r="B24" s="62"/>
      <c r="F24" s="62"/>
      <c r="G24" s="62"/>
      <c r="H24" s="62"/>
      <c r="I24"/>
      <c r="J24"/>
      <c r="K24"/>
      <c r="L24"/>
      <c r="M24" s="62"/>
      <c r="N24"/>
      <c r="O24"/>
      <c r="P24" s="179"/>
    </row>
    <row r="25" spans="2:23" ht="15" thickBot="1" x14ac:dyDescent="0.35">
      <c r="F25"/>
      <c r="G25"/>
      <c r="H25"/>
      <c r="I25" s="62"/>
      <c r="J25"/>
      <c r="K25"/>
      <c r="L25"/>
      <c r="M25" s="62"/>
      <c r="N25"/>
      <c r="O25"/>
      <c r="P25" s="62"/>
    </row>
    <row r="26" spans="2:23" ht="115.8" thickBot="1" x14ac:dyDescent="0.35">
      <c r="C26" s="180" t="s">
        <v>176</v>
      </c>
      <c r="D26" s="181" t="s">
        <v>177</v>
      </c>
      <c r="E26" s="182" t="s">
        <v>178</v>
      </c>
      <c r="F26" s="183" t="s">
        <v>179</v>
      </c>
      <c r="G26" s="184" t="s">
        <v>180</v>
      </c>
      <c r="H26" s="184" t="s">
        <v>181</v>
      </c>
      <c r="I26" s="184" t="s">
        <v>182</v>
      </c>
      <c r="J26" s="184" t="s">
        <v>183</v>
      </c>
      <c r="K26" s="185" t="s">
        <v>184</v>
      </c>
      <c r="L26"/>
      <c r="M26" s="62"/>
      <c r="N26"/>
      <c r="O26"/>
      <c r="P26"/>
      <c r="T26" s="62"/>
      <c r="U26" s="39"/>
    </row>
    <row r="27" spans="2:23" x14ac:dyDescent="0.3">
      <c r="C27" s="186" t="s">
        <v>22</v>
      </c>
      <c r="D27" s="187" t="s">
        <v>23</v>
      </c>
      <c r="E27" s="188" t="s">
        <v>185</v>
      </c>
      <c r="F27" s="188" t="s">
        <v>186</v>
      </c>
      <c r="G27" s="188" t="s">
        <v>33</v>
      </c>
      <c r="H27" s="189" t="s">
        <v>187</v>
      </c>
      <c r="I27" s="188" t="s">
        <v>188</v>
      </c>
      <c r="J27" s="189" t="s">
        <v>189</v>
      </c>
      <c r="K27" s="190" t="s">
        <v>190</v>
      </c>
      <c r="L27" s="62"/>
      <c r="M27" s="62"/>
      <c r="N27"/>
      <c r="O27"/>
      <c r="P27"/>
      <c r="T27" s="62"/>
      <c r="U27" s="39"/>
    </row>
    <row r="28" spans="2:23" x14ac:dyDescent="0.3">
      <c r="C28" s="191"/>
      <c r="D28" s="192"/>
      <c r="E28" s="193"/>
      <c r="F28" s="194">
        <f>C28-D28+E28</f>
        <v>0</v>
      </c>
      <c r="G28" s="195">
        <v>8.3229999999999998E-2</v>
      </c>
      <c r="H28" s="196">
        <f>F28*G28</f>
        <v>0</v>
      </c>
      <c r="I28" s="195">
        <v>0.10231999999999999</v>
      </c>
      <c r="J28" s="197">
        <f>F28*I28</f>
        <v>0</v>
      </c>
      <c r="K28" s="198">
        <f>J28-H28</f>
        <v>0</v>
      </c>
      <c r="L28" s="62"/>
      <c r="M28" s="62"/>
      <c r="N28"/>
      <c r="O28"/>
      <c r="P28"/>
      <c r="U28" s="39"/>
    </row>
    <row r="29" spans="2:23" x14ac:dyDescent="0.3">
      <c r="C29" s="191"/>
      <c r="D29" s="192"/>
      <c r="E29" s="193"/>
      <c r="F29" s="194">
        <f t="shared" ref="F29:F39" si="6">C29-D29+E29</f>
        <v>0</v>
      </c>
      <c r="G29" s="195">
        <v>0.12451000000000001</v>
      </c>
      <c r="H29" s="196">
        <f t="shared" ref="H29:H39" si="7">F29*G29</f>
        <v>0</v>
      </c>
      <c r="I29" s="195">
        <v>0.11331000000000001</v>
      </c>
      <c r="J29" s="197">
        <f t="shared" ref="J29:J39" si="8">F29*I29</f>
        <v>0</v>
      </c>
      <c r="K29" s="198">
        <f t="shared" ref="K29:K39" si="9">J29-H29</f>
        <v>0</v>
      </c>
      <c r="L29"/>
      <c r="M29" s="62"/>
      <c r="N29"/>
      <c r="O29"/>
      <c r="P29"/>
      <c r="T29" s="62"/>
      <c r="U29" s="39"/>
    </row>
    <row r="30" spans="2:23" x14ac:dyDescent="0.3">
      <c r="C30" s="191"/>
      <c r="D30" s="192"/>
      <c r="E30" s="193"/>
      <c r="F30" s="194">
        <f t="shared" si="6"/>
        <v>0</v>
      </c>
      <c r="G30" s="195">
        <v>0.10432</v>
      </c>
      <c r="H30" s="196">
        <f t="shared" si="7"/>
        <v>0</v>
      </c>
      <c r="I30" s="195">
        <v>0.11942</v>
      </c>
      <c r="J30" s="197">
        <f t="shared" si="8"/>
        <v>0</v>
      </c>
      <c r="K30" s="198">
        <f t="shared" si="9"/>
        <v>0</v>
      </c>
      <c r="L30"/>
      <c r="M30" s="62"/>
      <c r="N30"/>
      <c r="O30"/>
      <c r="P30"/>
      <c r="T30" s="62"/>
      <c r="U30" s="39"/>
    </row>
    <row r="31" spans="2:23" x14ac:dyDescent="0.3">
      <c r="C31" s="191"/>
      <c r="D31" s="192"/>
      <c r="E31" s="193"/>
      <c r="F31" s="194">
        <f t="shared" si="6"/>
        <v>0</v>
      </c>
      <c r="G31" s="195">
        <v>0.13707</v>
      </c>
      <c r="H31" s="196">
        <f t="shared" si="7"/>
        <v>0</v>
      </c>
      <c r="I31" s="195">
        <v>0.115</v>
      </c>
      <c r="J31" s="197">
        <f t="shared" si="8"/>
        <v>0</v>
      </c>
      <c r="K31" s="198">
        <f t="shared" si="9"/>
        <v>0</v>
      </c>
      <c r="L31"/>
      <c r="M31" s="62"/>
      <c r="N31"/>
      <c r="O31"/>
      <c r="P31"/>
      <c r="U31" s="39"/>
    </row>
    <row r="32" spans="2:23" x14ac:dyDescent="0.3">
      <c r="C32" s="191"/>
      <c r="D32" s="192"/>
      <c r="E32" s="193"/>
      <c r="F32" s="194">
        <f t="shared" si="6"/>
        <v>0</v>
      </c>
      <c r="G32" s="195">
        <v>9.2930000000000013E-2</v>
      </c>
      <c r="H32" s="196">
        <f t="shared" si="7"/>
        <v>0</v>
      </c>
      <c r="I32" s="195">
        <v>0.115</v>
      </c>
      <c r="J32" s="197">
        <f t="shared" si="8"/>
        <v>0</v>
      </c>
      <c r="K32" s="198">
        <f t="shared" si="9"/>
        <v>0</v>
      </c>
      <c r="L32"/>
      <c r="M32" s="62"/>
      <c r="N32"/>
      <c r="O32"/>
      <c r="P32"/>
      <c r="T32" s="62"/>
    </row>
    <row r="33" spans="1:20" x14ac:dyDescent="0.3">
      <c r="C33" s="191"/>
      <c r="D33" s="192"/>
      <c r="E33" s="193"/>
      <c r="F33" s="194">
        <f t="shared" si="6"/>
        <v>0</v>
      </c>
      <c r="G33" s="195">
        <v>0.115</v>
      </c>
      <c r="H33" s="196">
        <f t="shared" si="7"/>
        <v>0</v>
      </c>
      <c r="I33" s="195">
        <v>0.115</v>
      </c>
      <c r="J33" s="197">
        <f t="shared" si="8"/>
        <v>0</v>
      </c>
      <c r="K33" s="198">
        <f t="shared" si="9"/>
        <v>0</v>
      </c>
      <c r="L33"/>
      <c r="M33" s="62"/>
      <c r="N33"/>
      <c r="O33"/>
      <c r="P33"/>
      <c r="T33" s="62"/>
    </row>
    <row r="34" spans="1:20" x14ac:dyDescent="0.3">
      <c r="C34" s="191"/>
      <c r="D34" s="192"/>
      <c r="E34" s="193"/>
      <c r="F34" s="194">
        <f t="shared" si="6"/>
        <v>0</v>
      </c>
      <c r="G34" s="195">
        <v>0.10305</v>
      </c>
      <c r="H34" s="196">
        <f t="shared" si="7"/>
        <v>0</v>
      </c>
      <c r="I34" s="195">
        <v>9.9019999999999997E-2</v>
      </c>
      <c r="J34" s="197">
        <f t="shared" si="8"/>
        <v>0</v>
      </c>
      <c r="K34" s="198">
        <f t="shared" si="9"/>
        <v>0</v>
      </c>
      <c r="L34"/>
      <c r="M34" s="62"/>
      <c r="N34"/>
      <c r="O34"/>
      <c r="P34"/>
      <c r="T34" s="62"/>
    </row>
    <row r="35" spans="1:20" x14ac:dyDescent="0.3">
      <c r="A35" s="62"/>
      <c r="C35" s="191"/>
      <c r="D35" s="192"/>
      <c r="E35" s="192">
        <v>4758901.7787333857</v>
      </c>
      <c r="F35" s="194">
        <f t="shared" si="6"/>
        <v>4758901.7787333857</v>
      </c>
      <c r="G35" s="195">
        <v>0.10231999999999999</v>
      </c>
      <c r="H35" s="196">
        <f t="shared" si="7"/>
        <v>486930.83</v>
      </c>
      <c r="I35" s="195">
        <v>0.10348</v>
      </c>
      <c r="J35" s="197">
        <f t="shared" si="8"/>
        <v>492451.15606333077</v>
      </c>
      <c r="K35" s="198">
        <f t="shared" si="9"/>
        <v>5520.3260633307509</v>
      </c>
      <c r="L35"/>
      <c r="M35" s="62"/>
      <c r="N35"/>
      <c r="O35"/>
      <c r="P35"/>
      <c r="R35" s="62"/>
    </row>
    <row r="36" spans="1:20" x14ac:dyDescent="0.3">
      <c r="C36" s="191"/>
      <c r="D36" s="192">
        <f>E35</f>
        <v>4758901.7787333857</v>
      </c>
      <c r="E36" s="192">
        <v>4043309.3407068178</v>
      </c>
      <c r="F36" s="194">
        <f t="shared" si="6"/>
        <v>-715592.43802656792</v>
      </c>
      <c r="G36" s="195">
        <v>0.11573</v>
      </c>
      <c r="H36" s="196">
        <f t="shared" si="7"/>
        <v>-82815.512852814703</v>
      </c>
      <c r="I36" s="195">
        <v>0.12176000000000001</v>
      </c>
      <c r="J36" s="197">
        <f t="shared" si="8"/>
        <v>-87130.535254114919</v>
      </c>
      <c r="K36" s="198">
        <f t="shared" si="9"/>
        <v>-4315.0224013002153</v>
      </c>
      <c r="L36"/>
      <c r="M36" s="62"/>
      <c r="N36"/>
      <c r="O36"/>
      <c r="P36"/>
      <c r="R36" s="62"/>
    </row>
    <row r="37" spans="1:20" x14ac:dyDescent="0.3">
      <c r="C37" s="191"/>
      <c r="D37" s="192">
        <f>E36</f>
        <v>4043309.3407068178</v>
      </c>
      <c r="E37" s="192">
        <v>3980769.8274709112</v>
      </c>
      <c r="F37" s="194">
        <f t="shared" si="6"/>
        <v>-62539.513235906605</v>
      </c>
      <c r="G37" s="195">
        <v>0.14953999999999998</v>
      </c>
      <c r="H37" s="196">
        <f t="shared" si="7"/>
        <v>-9352.1588092974725</v>
      </c>
      <c r="I37" s="195">
        <v>0.12806000000000001</v>
      </c>
      <c r="J37" s="197">
        <f t="shared" si="8"/>
        <v>-8008.8100649901999</v>
      </c>
      <c r="K37" s="198">
        <f t="shared" si="9"/>
        <v>1343.3487443072727</v>
      </c>
      <c r="L37"/>
      <c r="M37" s="62"/>
      <c r="N37"/>
      <c r="O37"/>
      <c r="P37"/>
    </row>
    <row r="38" spans="1:20" x14ac:dyDescent="0.3">
      <c r="C38" s="191"/>
      <c r="D38" s="192">
        <f>E37</f>
        <v>3980769.8274709112</v>
      </c>
      <c r="E38" s="192">
        <v>6638386.8894601548</v>
      </c>
      <c r="F38" s="194">
        <f t="shared" si="6"/>
        <v>2657617.0619892436</v>
      </c>
      <c r="G38" s="195">
        <v>0.1167</v>
      </c>
      <c r="H38" s="196">
        <f t="shared" si="7"/>
        <v>310143.9111341447</v>
      </c>
      <c r="I38" s="195">
        <v>0.11705</v>
      </c>
      <c r="J38" s="197">
        <f t="shared" si="8"/>
        <v>311074.07710584096</v>
      </c>
      <c r="K38" s="198">
        <f t="shared" si="9"/>
        <v>930.16597169626039</v>
      </c>
      <c r="L38"/>
      <c r="M38"/>
      <c r="N38"/>
      <c r="O38"/>
      <c r="P38"/>
    </row>
    <row r="39" spans="1:20" ht="15" thickBot="1" x14ac:dyDescent="0.35">
      <c r="C39" s="199"/>
      <c r="D39" s="200">
        <f>E38</f>
        <v>6638386.8894601548</v>
      </c>
      <c r="E39" s="200">
        <v>5087507.5672645736</v>
      </c>
      <c r="F39" s="201">
        <f t="shared" si="6"/>
        <v>-1550879.3221955812</v>
      </c>
      <c r="G39" s="202">
        <v>0.10704000000000001</v>
      </c>
      <c r="H39" s="203">
        <f t="shared" si="7"/>
        <v>-166006.12264781503</v>
      </c>
      <c r="I39" s="202">
        <v>0.10557999999999999</v>
      </c>
      <c r="J39" s="204">
        <f t="shared" si="8"/>
        <v>-163741.83883740945</v>
      </c>
      <c r="K39" s="205">
        <f t="shared" si="9"/>
        <v>2264.2838104055845</v>
      </c>
      <c r="L39"/>
      <c r="M39"/>
      <c r="N39" s="62"/>
      <c r="O39"/>
      <c r="P39"/>
    </row>
    <row r="40" spans="1:20" ht="15" thickBot="1" x14ac:dyDescent="0.35">
      <c r="F40"/>
      <c r="G40"/>
      <c r="H40"/>
      <c r="I40"/>
      <c r="J40"/>
      <c r="K40" s="206">
        <f>SUM(K28:K39)</f>
        <v>5743.1021884396532</v>
      </c>
      <c r="L40"/>
      <c r="M40"/>
      <c r="N40" s="62"/>
      <c r="O40"/>
      <c r="P40"/>
    </row>
    <row r="41" spans="1:20" ht="15" thickTop="1" x14ac:dyDescent="0.3">
      <c r="B41" s="207"/>
      <c r="C41" s="208" t="s">
        <v>153</v>
      </c>
      <c r="D41" s="208" t="s">
        <v>138</v>
      </c>
      <c r="E41" s="209"/>
      <c r="F41"/>
      <c r="G41"/>
      <c r="H41"/>
      <c r="I41"/>
      <c r="J41"/>
      <c r="K41"/>
      <c r="L41"/>
      <c r="M41"/>
    </row>
    <row r="42" spans="1:20" x14ac:dyDescent="0.3">
      <c r="B42" s="207" t="s">
        <v>0</v>
      </c>
      <c r="C42" s="209">
        <f>C7</f>
        <v>-544960.45000000007</v>
      </c>
      <c r="D42" s="209">
        <v>0</v>
      </c>
      <c r="E42" s="209">
        <f>C42+D42</f>
        <v>-544960.45000000007</v>
      </c>
      <c r="F42"/>
      <c r="G42"/>
      <c r="H42"/>
      <c r="I42"/>
      <c r="J42"/>
      <c r="K42"/>
      <c r="L42"/>
      <c r="M42"/>
    </row>
    <row r="43" spans="1:20" x14ac:dyDescent="0.3">
      <c r="B43" s="207" t="s">
        <v>11</v>
      </c>
      <c r="C43" s="209">
        <v>-544336.96651199996</v>
      </c>
      <c r="D43" s="209">
        <v>544566.81000000006</v>
      </c>
      <c r="E43" s="209">
        <f>C43+D43</f>
        <v>229.84348800010048</v>
      </c>
      <c r="F43"/>
      <c r="G43"/>
      <c r="H43"/>
      <c r="I43"/>
      <c r="J43"/>
      <c r="K43"/>
      <c r="L43"/>
      <c r="M43"/>
    </row>
    <row r="44" spans="1:20" ht="15" thickBot="1" x14ac:dyDescent="0.35">
      <c r="B44" s="207"/>
      <c r="C44" s="209"/>
      <c r="D44" s="209"/>
      <c r="E44" s="210">
        <f>SUM(E42:E43)</f>
        <v>-544730.60651199997</v>
      </c>
      <c r="F44"/>
      <c r="G44"/>
      <c r="H44"/>
      <c r="I44"/>
      <c r="J44"/>
      <c r="K44"/>
      <c r="L44"/>
      <c r="M44"/>
    </row>
    <row r="45" spans="1:20" ht="15" thickTop="1" x14ac:dyDescent="0.3">
      <c r="F45"/>
      <c r="G45"/>
      <c r="H45"/>
      <c r="I45"/>
      <c r="J45"/>
      <c r="K45"/>
      <c r="L45"/>
      <c r="M45"/>
    </row>
    <row r="46" spans="1:20" x14ac:dyDescent="0.3">
      <c r="C46" s="448" t="s">
        <v>191</v>
      </c>
      <c r="D46" s="448"/>
      <c r="F46"/>
      <c r="G46" s="448" t="s">
        <v>192</v>
      </c>
      <c r="H46" s="448"/>
      <c r="I46" s="448"/>
      <c r="K46"/>
      <c r="L46"/>
      <c r="M46"/>
    </row>
    <row r="47" spans="1:20" ht="28.8" x14ac:dyDescent="0.3">
      <c r="C47" s="101" t="s">
        <v>153</v>
      </c>
      <c r="D47" s="101" t="s">
        <v>162</v>
      </c>
      <c r="G47" s="101" t="s">
        <v>153</v>
      </c>
      <c r="H47" s="103" t="s">
        <v>193</v>
      </c>
      <c r="I47" s="101" t="s">
        <v>162</v>
      </c>
    </row>
    <row r="48" spans="1:20" x14ac:dyDescent="0.3">
      <c r="C48" s="101"/>
      <c r="F48" s="39" t="s">
        <v>165</v>
      </c>
      <c r="G48" s="39">
        <f>C7*-1</f>
        <v>544960.45000000007</v>
      </c>
      <c r="H48" s="209">
        <f>C48-G48</f>
        <v>-544960.45000000007</v>
      </c>
      <c r="I48" s="39">
        <v>597563.65584080014</v>
      </c>
      <c r="J48" s="207" t="s">
        <v>138</v>
      </c>
    </row>
    <row r="49" spans="2:19" x14ac:dyDescent="0.3">
      <c r="B49" t="s">
        <v>165</v>
      </c>
      <c r="C49" s="39">
        <v>486075.28416370013</v>
      </c>
      <c r="D49" s="39">
        <v>597563.65584080014</v>
      </c>
      <c r="F49" s="39" t="s">
        <v>166</v>
      </c>
      <c r="G49" s="39">
        <f t="shared" ref="G49:G59" si="10">C8*-1</f>
        <v>452473.9599999999</v>
      </c>
      <c r="H49" s="39">
        <f t="shared" ref="H49:H60" si="11">C49-G49</f>
        <v>33601.324163700221</v>
      </c>
      <c r="I49" s="39">
        <v>607011.6854709005</v>
      </c>
    </row>
    <row r="50" spans="2:19" x14ac:dyDescent="0.3">
      <c r="B50" t="s">
        <v>166</v>
      </c>
      <c r="C50" s="39">
        <v>667011.07543890062</v>
      </c>
      <c r="D50" s="39">
        <v>607011.6854709005</v>
      </c>
      <c r="F50" s="39" t="s">
        <v>167</v>
      </c>
      <c r="G50" s="39">
        <f t="shared" si="10"/>
        <v>491653.75</v>
      </c>
      <c r="H50" s="39">
        <f t="shared" si="11"/>
        <v>175357.32543890062</v>
      </c>
      <c r="I50" s="39">
        <v>626275.06431700021</v>
      </c>
    </row>
    <row r="51" spans="2:19" x14ac:dyDescent="0.3">
      <c r="B51" t="s">
        <v>167</v>
      </c>
      <c r="C51" s="170">
        <v>547086.03843200009</v>
      </c>
      <c r="D51" s="170">
        <v>626275.06431700021</v>
      </c>
      <c r="E51" s="170"/>
      <c r="F51" s="170" t="s">
        <v>168</v>
      </c>
      <c r="G51" s="170">
        <f t="shared" si="10"/>
        <v>385159.53</v>
      </c>
      <c r="H51" s="170">
        <f t="shared" si="11"/>
        <v>161926.50843200006</v>
      </c>
      <c r="I51" s="170">
        <v>507809.14894999901</v>
      </c>
      <c r="J51" s="170"/>
      <c r="K51" s="170"/>
      <c r="L51" s="170"/>
      <c r="M51" s="170"/>
      <c r="N51" s="170"/>
      <c r="O51" s="170"/>
      <c r="P51" s="170"/>
      <c r="Q51" s="170"/>
      <c r="S51" s="170"/>
    </row>
    <row r="52" spans="2:19" x14ac:dyDescent="0.3">
      <c r="B52" t="s">
        <v>168</v>
      </c>
      <c r="C52" s="170">
        <v>605264.34823109873</v>
      </c>
      <c r="D52" s="170">
        <v>507809.14894999901</v>
      </c>
      <c r="E52" s="170"/>
      <c r="F52" s="170" t="s">
        <v>4</v>
      </c>
      <c r="G52" s="170">
        <f t="shared" si="10"/>
        <v>336967.85</v>
      </c>
      <c r="H52" s="170">
        <f t="shared" si="11"/>
        <v>268296.49823109875</v>
      </c>
      <c r="I52" s="170">
        <v>518075.11844999931</v>
      </c>
      <c r="J52" s="170"/>
      <c r="K52" s="170"/>
      <c r="L52" s="170"/>
      <c r="M52" s="170"/>
      <c r="N52" s="170"/>
      <c r="O52" s="170"/>
      <c r="P52" s="170"/>
      <c r="Q52" s="170"/>
      <c r="S52" s="170"/>
    </row>
    <row r="53" spans="2:19" x14ac:dyDescent="0.3">
      <c r="B53" t="s">
        <v>4</v>
      </c>
      <c r="C53" s="170">
        <v>418649.74571789947</v>
      </c>
      <c r="D53" s="170">
        <v>518075.11844999931</v>
      </c>
      <c r="E53" s="170"/>
      <c r="F53" s="170" t="s">
        <v>169</v>
      </c>
      <c r="G53" s="170">
        <f t="shared" si="10"/>
        <v>474538.98</v>
      </c>
      <c r="H53" s="170">
        <f t="shared" si="11"/>
        <v>-55889.234282100515</v>
      </c>
      <c r="I53" s="170">
        <v>543250.75285000005</v>
      </c>
      <c r="J53" s="170"/>
      <c r="K53" s="170"/>
      <c r="L53" s="170"/>
      <c r="M53" s="170"/>
      <c r="N53" s="170"/>
      <c r="O53" s="170"/>
      <c r="P53" s="170"/>
      <c r="Q53" s="170"/>
      <c r="S53" s="170"/>
    </row>
    <row r="54" spans="2:19" x14ac:dyDescent="0.3">
      <c r="B54" t="s">
        <v>169</v>
      </c>
      <c r="C54" s="170">
        <v>543250.75285000005</v>
      </c>
      <c r="D54" s="170">
        <v>543250.75285000005</v>
      </c>
      <c r="E54" s="170"/>
      <c r="F54" s="170" t="s">
        <v>170</v>
      </c>
      <c r="G54" s="170">
        <f t="shared" si="10"/>
        <v>566569.36</v>
      </c>
      <c r="H54" s="170">
        <f t="shared" si="11"/>
        <v>-23318.607149999938</v>
      </c>
      <c r="I54" s="170">
        <v>556281.16261440027</v>
      </c>
      <c r="J54" s="170"/>
      <c r="K54" s="170"/>
      <c r="L54" s="170"/>
      <c r="M54" s="170"/>
      <c r="N54" s="170"/>
      <c r="O54" s="170"/>
      <c r="P54" s="170"/>
      <c r="Q54" s="170"/>
      <c r="S54" s="170"/>
    </row>
    <row r="55" spans="2:19" x14ac:dyDescent="0.3">
      <c r="B55" t="s">
        <v>170</v>
      </c>
      <c r="C55" s="39">
        <v>578921.16549600032</v>
      </c>
      <c r="D55" s="170">
        <v>556281.16261440027</v>
      </c>
      <c r="F55" s="39" t="s">
        <v>171</v>
      </c>
      <c r="G55" s="39">
        <f t="shared" si="10"/>
        <v>377572.03</v>
      </c>
      <c r="H55" s="39">
        <f t="shared" si="11"/>
        <v>201349.13549600029</v>
      </c>
      <c r="I55" s="39">
        <v>535189.00465680042</v>
      </c>
    </row>
    <row r="56" spans="2:19" x14ac:dyDescent="0.3">
      <c r="B56" t="s">
        <v>171</v>
      </c>
      <c r="C56" s="39">
        <v>529189.59177120042</v>
      </c>
      <c r="D56" s="39">
        <v>535189.00465680042</v>
      </c>
      <c r="F56" s="39" t="s">
        <v>172</v>
      </c>
      <c r="G56" s="39">
        <f t="shared" si="10"/>
        <v>489726.51</v>
      </c>
      <c r="H56" s="39">
        <f t="shared" si="11"/>
        <v>39463.081771200406</v>
      </c>
      <c r="I56" s="39">
        <v>589934.99629279994</v>
      </c>
    </row>
    <row r="57" spans="2:19" x14ac:dyDescent="0.3">
      <c r="B57" t="s">
        <v>172</v>
      </c>
      <c r="C57" s="39">
        <v>560719.26019189996</v>
      </c>
      <c r="D57" s="39">
        <v>589934.99629279994</v>
      </c>
      <c r="F57" s="39" t="s">
        <v>173</v>
      </c>
      <c r="G57" s="39">
        <f t="shared" si="10"/>
        <v>266175.5</v>
      </c>
      <c r="H57" s="39">
        <f t="shared" si="11"/>
        <v>294543.76019189996</v>
      </c>
      <c r="I57" s="39">
        <v>635944.39894860005</v>
      </c>
    </row>
    <row r="58" spans="2:19" x14ac:dyDescent="0.3">
      <c r="B58" t="s">
        <v>173</v>
      </c>
      <c r="C58" s="39">
        <v>742613.81710739993</v>
      </c>
      <c r="D58" s="39">
        <v>635944.39894860005</v>
      </c>
      <c r="F58" s="39" t="s">
        <v>174</v>
      </c>
      <c r="G58" s="39">
        <f t="shared" si="10"/>
        <v>364032.95</v>
      </c>
      <c r="H58" s="39">
        <f t="shared" si="11"/>
        <v>378580.86710739991</v>
      </c>
      <c r="I58" s="39">
        <v>570259.84192599927</v>
      </c>
    </row>
    <row r="59" spans="2:19" x14ac:dyDescent="0.3">
      <c r="B59" t="s">
        <v>174</v>
      </c>
      <c r="C59" s="39">
        <v>568554.66512399924</v>
      </c>
      <c r="D59" s="39">
        <v>570259.84192599927</v>
      </c>
      <c r="F59" s="39" t="s">
        <v>175</v>
      </c>
      <c r="G59" s="39">
        <f t="shared" si="10"/>
        <v>311397.83000000013</v>
      </c>
      <c r="H59" s="39">
        <f t="shared" si="11"/>
        <v>257156.8351239991</v>
      </c>
      <c r="I59" s="39">
        <v>536912.34047400008</v>
      </c>
    </row>
    <row r="60" spans="2:19" x14ac:dyDescent="0.3">
      <c r="B60" t="s">
        <v>175</v>
      </c>
      <c r="C60" s="39">
        <v>544336.96651199996</v>
      </c>
      <c r="D60" s="39">
        <v>536912.34047400008</v>
      </c>
      <c r="G60" s="209">
        <v>544566.81000000006</v>
      </c>
      <c r="H60" s="39">
        <f t="shared" si="11"/>
        <v>-229.84348800010048</v>
      </c>
      <c r="I60"/>
      <c r="J60" s="207" t="s">
        <v>138</v>
      </c>
    </row>
    <row r="61" spans="2:19" ht="15" thickBot="1" x14ac:dyDescent="0.35">
      <c r="C61" s="158">
        <f>SUM(C49:C60)</f>
        <v>6791672.7110360982</v>
      </c>
      <c r="D61" s="158">
        <f>SUM(D49:D60)</f>
        <v>6824507.1707912982</v>
      </c>
      <c r="E61" s="158">
        <f>C61-D61</f>
        <v>-32834.459755199961</v>
      </c>
      <c r="G61" s="158">
        <f>SUM(G48:G59)</f>
        <v>5061228.7</v>
      </c>
      <c r="H61" s="158"/>
      <c r="I61" s="158">
        <f>SUM(I48:I59)</f>
        <v>6824507.1707912982</v>
      </c>
      <c r="J61" s="158">
        <f>G61-I61</f>
        <v>-1763278.470791298</v>
      </c>
    </row>
    <row r="62" spans="2:19" ht="15" thickTop="1" x14ac:dyDescent="0.3"/>
    <row r="64" spans="2:19" ht="15" thickBot="1" x14ac:dyDescent="0.35">
      <c r="G64" s="211" t="s">
        <v>194</v>
      </c>
      <c r="H64" s="158">
        <f>SUM(H49:H60)</f>
        <v>1730837.6510360988</v>
      </c>
    </row>
    <row r="65" spans="3:19" ht="15" thickTop="1" x14ac:dyDescent="0.3"/>
    <row r="68" spans="3:19" x14ac:dyDescent="0.3"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S68"/>
    </row>
    <row r="69" spans="3:19" x14ac:dyDescent="0.3"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S69"/>
    </row>
    <row r="70" spans="3:19" x14ac:dyDescent="0.3"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S70"/>
    </row>
    <row r="71" spans="3:19" x14ac:dyDescent="0.3"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S71"/>
    </row>
    <row r="72" spans="3:19" x14ac:dyDescent="0.3"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S72"/>
    </row>
    <row r="73" spans="3:19" x14ac:dyDescent="0.3"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S73"/>
    </row>
    <row r="74" spans="3:19" x14ac:dyDescent="0.3"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S74"/>
    </row>
    <row r="75" spans="3:19" x14ac:dyDescent="0.3"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S75"/>
    </row>
    <row r="76" spans="3:19" x14ac:dyDescent="0.3"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S76"/>
    </row>
    <row r="77" spans="3:19" x14ac:dyDescent="0.3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S77"/>
    </row>
    <row r="78" spans="3:19" x14ac:dyDescent="0.3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S78"/>
    </row>
    <row r="79" spans="3:19" x14ac:dyDescent="0.3"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S79"/>
    </row>
    <row r="80" spans="3:19" x14ac:dyDescent="0.3"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S80"/>
    </row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</sheetData>
  <mergeCells count="2">
    <mergeCell ref="C46:D46"/>
    <mergeCell ref="G46:I46"/>
  </mergeCells>
  <pageMargins left="0.7" right="0.7" top="0.75" bottom="0.75" header="0.3" footer="0.3"/>
  <pageSetup orientation="portrait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36"/>
  <sheetViews>
    <sheetView topLeftCell="A21" workbookViewId="0">
      <selection activeCell="H19" sqref="H19"/>
    </sheetView>
  </sheetViews>
  <sheetFormatPr defaultRowHeight="14.4" x14ac:dyDescent="0.3"/>
  <cols>
    <col min="1" max="1" width="59.109375" bestFit="1" customWidth="1"/>
    <col min="2" max="2" width="41.33203125" bestFit="1" customWidth="1"/>
    <col min="3" max="3" width="34.88671875" bestFit="1" customWidth="1"/>
    <col min="4" max="4" width="22.44140625" bestFit="1" customWidth="1"/>
    <col min="5" max="5" width="14.6640625" bestFit="1" customWidth="1"/>
    <col min="6" max="6" width="27.5546875" bestFit="1" customWidth="1"/>
    <col min="7" max="7" width="5.88671875" bestFit="1" customWidth="1"/>
    <col min="8" max="9" width="12.6640625" bestFit="1" customWidth="1"/>
    <col min="10" max="11" width="11.88671875" bestFit="1" customWidth="1"/>
    <col min="12" max="12" width="12.6640625" bestFit="1" customWidth="1"/>
    <col min="13" max="14" width="11.109375" bestFit="1" customWidth="1"/>
    <col min="17" max="17" width="11.109375" bestFit="1" customWidth="1"/>
  </cols>
  <sheetData>
    <row r="1" spans="1:11" x14ac:dyDescent="0.3">
      <c r="A1" t="s">
        <v>195</v>
      </c>
      <c r="B1" s="212">
        <v>44397</v>
      </c>
      <c r="C1" s="213">
        <v>0.4152777777777778</v>
      </c>
      <c r="D1" t="s">
        <v>196</v>
      </c>
      <c r="E1" t="s">
        <v>197</v>
      </c>
      <c r="F1">
        <v>1</v>
      </c>
    </row>
    <row r="2" spans="1:11" x14ac:dyDescent="0.3">
      <c r="A2" t="s">
        <v>198</v>
      </c>
      <c r="B2" s="212">
        <v>44397</v>
      </c>
      <c r="C2" t="s">
        <v>199</v>
      </c>
      <c r="D2">
        <v>2020</v>
      </c>
      <c r="E2" t="s">
        <v>200</v>
      </c>
      <c r="F2" t="s">
        <v>201</v>
      </c>
    </row>
    <row r="3" spans="1:11" x14ac:dyDescent="0.3">
      <c r="A3" t="s">
        <v>202</v>
      </c>
    </row>
    <row r="4" spans="1:11" x14ac:dyDescent="0.3">
      <c r="A4" t="s">
        <v>203</v>
      </c>
    </row>
    <row r="5" spans="1:11" x14ac:dyDescent="0.3">
      <c r="A5" t="s">
        <v>204</v>
      </c>
      <c r="B5" t="s">
        <v>205</v>
      </c>
      <c r="C5" t="s">
        <v>206</v>
      </c>
    </row>
    <row r="6" spans="1:11" x14ac:dyDescent="0.3">
      <c r="A6" t="s">
        <v>207</v>
      </c>
      <c r="B6" t="s">
        <v>208</v>
      </c>
      <c r="C6" t="s">
        <v>209</v>
      </c>
    </row>
    <row r="7" spans="1:11" x14ac:dyDescent="0.3">
      <c r="A7" t="s">
        <v>210</v>
      </c>
      <c r="B7" s="212">
        <v>43831</v>
      </c>
      <c r="C7" s="212">
        <v>44196</v>
      </c>
    </row>
    <row r="8" spans="1:11" x14ac:dyDescent="0.3">
      <c r="A8" t="s">
        <v>211</v>
      </c>
      <c r="B8" t="s">
        <v>212</v>
      </c>
      <c r="C8" t="s">
        <v>213</v>
      </c>
    </row>
    <row r="9" spans="1:11" x14ac:dyDescent="0.3">
      <c r="A9" t="s">
        <v>214</v>
      </c>
      <c r="B9" t="s">
        <v>212</v>
      </c>
      <c r="C9" t="s">
        <v>213</v>
      </c>
    </row>
    <row r="10" spans="1:11" x14ac:dyDescent="0.3">
      <c r="A10" t="s">
        <v>215</v>
      </c>
      <c r="B10" t="s">
        <v>216</v>
      </c>
      <c r="C10" t="s">
        <v>217</v>
      </c>
      <c r="D10" s="214">
        <v>6824507.1200000001</v>
      </c>
    </row>
    <row r="11" spans="1:11" x14ac:dyDescent="0.3">
      <c r="A11" t="s">
        <v>218</v>
      </c>
      <c r="B11" t="s">
        <v>219</v>
      </c>
      <c r="C11" t="s">
        <v>220</v>
      </c>
      <c r="D11" t="s">
        <v>221</v>
      </c>
      <c r="E11" t="s">
        <v>222</v>
      </c>
      <c r="F11" t="s">
        <v>214</v>
      </c>
      <c r="G11" t="s">
        <v>223</v>
      </c>
      <c r="H11" t="s">
        <v>224</v>
      </c>
    </row>
    <row r="12" spans="1:11" x14ac:dyDescent="0.3">
      <c r="A12" t="s">
        <v>225</v>
      </c>
      <c r="B12" t="s">
        <v>226</v>
      </c>
    </row>
    <row r="13" spans="1:11" x14ac:dyDescent="0.3">
      <c r="A13" s="212">
        <v>43861</v>
      </c>
      <c r="C13" s="215">
        <v>727770</v>
      </c>
      <c r="D13" t="s">
        <v>227</v>
      </c>
      <c r="E13" t="s">
        <v>228</v>
      </c>
      <c r="F13" t="s">
        <v>229</v>
      </c>
      <c r="H13" s="214">
        <v>2693079.64</v>
      </c>
    </row>
    <row r="14" spans="1:11" x14ac:dyDescent="0.3">
      <c r="A14" s="212">
        <v>43861</v>
      </c>
      <c r="C14" s="215">
        <v>727770</v>
      </c>
      <c r="D14" t="s">
        <v>227</v>
      </c>
      <c r="E14" t="s">
        <v>228</v>
      </c>
      <c r="F14" t="s">
        <v>229</v>
      </c>
      <c r="I14" s="214">
        <v>1885155.75</v>
      </c>
      <c r="K14" s="214">
        <f>H13-I14</f>
        <v>807923.89000000013</v>
      </c>
    </row>
    <row r="15" spans="1:11" x14ac:dyDescent="0.3">
      <c r="A15" s="212"/>
      <c r="C15" s="215"/>
      <c r="I15" s="214"/>
    </row>
    <row r="16" spans="1:11" x14ac:dyDescent="0.3">
      <c r="A16" s="212">
        <v>43889</v>
      </c>
      <c r="C16" s="215">
        <v>730162</v>
      </c>
      <c r="D16" t="s">
        <v>227</v>
      </c>
      <c r="E16" t="s">
        <v>230</v>
      </c>
      <c r="F16" t="s">
        <v>229</v>
      </c>
      <c r="H16" s="214">
        <v>2788857.83</v>
      </c>
    </row>
    <row r="17" spans="1:17" x14ac:dyDescent="0.3">
      <c r="A17" s="212">
        <v>43889</v>
      </c>
      <c r="C17" s="215">
        <v>730162</v>
      </c>
      <c r="D17" t="s">
        <v>227</v>
      </c>
      <c r="E17" t="s">
        <v>230</v>
      </c>
      <c r="F17" t="s">
        <v>229</v>
      </c>
      <c r="I17" s="214">
        <v>2091643.37</v>
      </c>
      <c r="J17" s="214">
        <f>H16-I17</f>
        <v>697214.46</v>
      </c>
    </row>
    <row r="18" spans="1:17" x14ac:dyDescent="0.3">
      <c r="A18" s="212">
        <v>43890</v>
      </c>
      <c r="C18" s="215">
        <v>729245</v>
      </c>
      <c r="D18" t="s">
        <v>227</v>
      </c>
      <c r="E18" t="s">
        <v>231</v>
      </c>
      <c r="F18" t="s">
        <v>232</v>
      </c>
      <c r="I18" s="214">
        <v>210360.23</v>
      </c>
    </row>
    <row r="19" spans="1:17" x14ac:dyDescent="0.3">
      <c r="A19" s="212"/>
      <c r="C19" s="215"/>
      <c r="I19" s="214"/>
    </row>
    <row r="20" spans="1:17" x14ac:dyDescent="0.3">
      <c r="A20" s="212">
        <v>43921</v>
      </c>
      <c r="C20" s="215">
        <v>733166</v>
      </c>
      <c r="D20" t="s">
        <v>227</v>
      </c>
      <c r="E20" t="s">
        <v>233</v>
      </c>
      <c r="F20" t="s">
        <v>232</v>
      </c>
      <c r="H20" s="214">
        <v>120157.46</v>
      </c>
      <c r="K20" s="214"/>
    </row>
    <row r="21" spans="1:17" x14ac:dyDescent="0.3">
      <c r="A21" s="212">
        <v>43921</v>
      </c>
      <c r="C21" s="215">
        <v>733988</v>
      </c>
      <c r="D21" t="s">
        <v>227</v>
      </c>
      <c r="E21" t="s">
        <v>234</v>
      </c>
      <c r="F21" t="s">
        <v>235</v>
      </c>
      <c r="H21" s="214">
        <v>2719602.34</v>
      </c>
      <c r="K21" s="214"/>
    </row>
    <row r="22" spans="1:17" x14ac:dyDescent="0.3">
      <c r="A22" s="212">
        <v>43921</v>
      </c>
      <c r="C22" s="215">
        <v>733988</v>
      </c>
      <c r="D22" t="s">
        <v>227</v>
      </c>
      <c r="E22" t="s">
        <v>234</v>
      </c>
      <c r="F22" t="s">
        <v>235</v>
      </c>
      <c r="I22" s="214">
        <v>2039701.76</v>
      </c>
    </row>
    <row r="23" spans="1:17" x14ac:dyDescent="0.3">
      <c r="A23" s="212"/>
      <c r="C23" s="215"/>
      <c r="I23" s="214"/>
    </row>
    <row r="24" spans="1:17" s="70" customFormat="1" x14ac:dyDescent="0.3">
      <c r="A24" s="216">
        <v>43922</v>
      </c>
      <c r="C24" s="217">
        <v>733988</v>
      </c>
      <c r="D24" s="70" t="s">
        <v>227</v>
      </c>
      <c r="E24" s="70" t="s">
        <v>236</v>
      </c>
      <c r="F24" s="70" t="s">
        <v>235</v>
      </c>
      <c r="I24" s="218">
        <v>2719602.34</v>
      </c>
      <c r="J24" s="218">
        <f>H25-I24</f>
        <v>-679900.57999999984</v>
      </c>
      <c r="K24" s="218"/>
    </row>
    <row r="25" spans="1:17" s="70" customFormat="1" x14ac:dyDescent="0.3">
      <c r="A25" s="216">
        <v>43922</v>
      </c>
      <c r="C25" s="217">
        <v>733988</v>
      </c>
      <c r="D25" s="70" t="s">
        <v>227</v>
      </c>
      <c r="E25" s="70" t="s">
        <v>236</v>
      </c>
      <c r="F25" s="70" t="s">
        <v>235</v>
      </c>
      <c r="H25" s="218">
        <v>2039701.76</v>
      </c>
    </row>
    <row r="26" spans="1:17" s="70" customFormat="1" x14ac:dyDescent="0.3">
      <c r="A26" s="216">
        <v>43922</v>
      </c>
      <c r="C26" s="217">
        <v>738530</v>
      </c>
      <c r="D26" s="70" t="s">
        <v>227</v>
      </c>
      <c r="E26" s="70" t="s">
        <v>237</v>
      </c>
      <c r="F26" s="70" t="s">
        <v>238</v>
      </c>
      <c r="I26" s="218">
        <v>120157.46</v>
      </c>
      <c r="K26" s="218"/>
    </row>
    <row r="27" spans="1:17" s="70" customFormat="1" x14ac:dyDescent="0.3">
      <c r="A27" s="216">
        <v>43941</v>
      </c>
      <c r="C27" s="217">
        <v>735986</v>
      </c>
      <c r="D27" s="70" t="s">
        <v>227</v>
      </c>
      <c r="E27" s="70" t="s">
        <v>239</v>
      </c>
      <c r="F27" s="70" t="s">
        <v>240</v>
      </c>
      <c r="H27" s="218">
        <v>2897207.84</v>
      </c>
      <c r="K27" s="218"/>
      <c r="M27" s="218"/>
      <c r="N27" s="218"/>
    </row>
    <row r="28" spans="1:17" s="70" customFormat="1" x14ac:dyDescent="0.3">
      <c r="A28" s="216">
        <v>43941</v>
      </c>
      <c r="C28" s="217">
        <v>735986</v>
      </c>
      <c r="D28" s="70" t="s">
        <v>227</v>
      </c>
      <c r="E28" s="70" t="s">
        <v>239</v>
      </c>
      <c r="F28" s="70" t="s">
        <v>240</v>
      </c>
      <c r="I28" s="218">
        <v>2172905.88</v>
      </c>
      <c r="J28" s="218">
        <f>H27-I28</f>
        <v>724301.96</v>
      </c>
    </row>
    <row r="29" spans="1:17" s="70" customFormat="1" x14ac:dyDescent="0.3">
      <c r="A29" s="216">
        <v>43951</v>
      </c>
      <c r="C29" s="217">
        <v>738480</v>
      </c>
      <c r="D29" s="70" t="s">
        <v>227</v>
      </c>
      <c r="E29" s="70" t="s">
        <v>241</v>
      </c>
      <c r="F29" s="70" t="s">
        <v>242</v>
      </c>
      <c r="H29" s="218">
        <v>2488650.19</v>
      </c>
      <c r="K29" s="218"/>
      <c r="L29" s="218"/>
    </row>
    <row r="30" spans="1:17" s="70" customFormat="1" x14ac:dyDescent="0.3">
      <c r="A30" s="216">
        <v>43951</v>
      </c>
      <c r="C30" s="217">
        <v>738480</v>
      </c>
      <c r="D30" s="70" t="s">
        <v>227</v>
      </c>
      <c r="E30" s="70" t="s">
        <v>241</v>
      </c>
      <c r="F30" s="70" t="s">
        <v>242</v>
      </c>
      <c r="I30" s="218">
        <v>1866487.64</v>
      </c>
      <c r="J30" s="218">
        <f>H29-I30</f>
        <v>622162.55000000005</v>
      </c>
    </row>
    <row r="31" spans="1:17" s="70" customFormat="1" x14ac:dyDescent="0.3">
      <c r="A31" s="216">
        <v>43951</v>
      </c>
      <c r="C31" s="217">
        <v>738531</v>
      </c>
      <c r="D31" s="70" t="s">
        <v>227</v>
      </c>
      <c r="E31" s="70" t="s">
        <v>243</v>
      </c>
      <c r="F31" s="70" t="s">
        <v>232</v>
      </c>
      <c r="I31" s="218">
        <v>53625.52</v>
      </c>
      <c r="K31" s="218"/>
      <c r="Q31" s="218"/>
    </row>
    <row r="32" spans="1:17" s="70" customFormat="1" x14ac:dyDescent="0.3">
      <c r="A32" s="216">
        <v>43951</v>
      </c>
      <c r="C32" s="217">
        <v>738532</v>
      </c>
      <c r="D32" s="70" t="s">
        <v>227</v>
      </c>
      <c r="E32" s="70" t="s">
        <v>244</v>
      </c>
      <c r="F32" s="70" t="s">
        <v>245</v>
      </c>
      <c r="I32" s="218">
        <v>90202.77</v>
      </c>
      <c r="K32" s="218"/>
      <c r="M32" s="218"/>
    </row>
    <row r="33" spans="1:14" x14ac:dyDescent="0.3">
      <c r="A33" s="212"/>
      <c r="C33" s="215"/>
      <c r="I33" s="214"/>
    </row>
    <row r="34" spans="1:14" x14ac:dyDescent="0.3">
      <c r="A34" s="212">
        <v>43952</v>
      </c>
      <c r="C34" s="215">
        <v>738480</v>
      </c>
      <c r="D34" t="s">
        <v>227</v>
      </c>
      <c r="E34" t="s">
        <v>246</v>
      </c>
      <c r="F34" t="s">
        <v>242</v>
      </c>
      <c r="I34" s="214">
        <v>2488650.19</v>
      </c>
      <c r="K34" s="214"/>
    </row>
    <row r="35" spans="1:14" x14ac:dyDescent="0.3">
      <c r="A35" s="212">
        <v>43952</v>
      </c>
      <c r="C35" s="215">
        <v>738480</v>
      </c>
      <c r="D35" t="s">
        <v>227</v>
      </c>
      <c r="E35" t="s">
        <v>246</v>
      </c>
      <c r="F35" t="s">
        <v>242</v>
      </c>
      <c r="H35" s="214">
        <v>1866487.64</v>
      </c>
      <c r="J35" s="214">
        <f>H35-I34</f>
        <v>-622162.55000000005</v>
      </c>
    </row>
    <row r="36" spans="1:14" x14ac:dyDescent="0.3">
      <c r="A36" s="212">
        <v>43970</v>
      </c>
      <c r="C36" s="215">
        <v>739617</v>
      </c>
      <c r="D36" t="s">
        <v>227</v>
      </c>
      <c r="E36" t="s">
        <v>247</v>
      </c>
      <c r="F36" t="s">
        <v>229</v>
      </c>
      <c r="H36" s="219">
        <v>3083729.76</v>
      </c>
      <c r="I36" s="69"/>
    </row>
    <row r="37" spans="1:14" x14ac:dyDescent="0.3">
      <c r="A37" s="212">
        <v>43970</v>
      </c>
      <c r="C37" s="215">
        <v>739617</v>
      </c>
      <c r="D37" t="s">
        <v>227</v>
      </c>
      <c r="E37" t="s">
        <v>247</v>
      </c>
      <c r="F37" t="s">
        <v>229</v>
      </c>
      <c r="H37" s="69"/>
      <c r="I37" s="219">
        <v>2312797.3199999998</v>
      </c>
      <c r="K37" s="214"/>
      <c r="L37" s="214"/>
      <c r="M37" s="214"/>
    </row>
    <row r="38" spans="1:14" x14ac:dyDescent="0.3">
      <c r="A38" s="212">
        <v>43970</v>
      </c>
      <c r="C38" s="215">
        <v>743315</v>
      </c>
      <c r="D38" t="s">
        <v>227</v>
      </c>
      <c r="E38" t="s">
        <v>248</v>
      </c>
      <c r="F38" t="s">
        <v>249</v>
      </c>
      <c r="H38" s="69"/>
      <c r="I38" s="219">
        <v>3083729.76</v>
      </c>
    </row>
    <row r="39" spans="1:14" x14ac:dyDescent="0.3">
      <c r="A39" s="212">
        <v>43970</v>
      </c>
      <c r="C39" s="215">
        <v>743315</v>
      </c>
      <c r="D39" t="s">
        <v>227</v>
      </c>
      <c r="E39" t="s">
        <v>248</v>
      </c>
      <c r="F39" t="s">
        <v>249</v>
      </c>
      <c r="H39" s="219">
        <v>2312797.3199999998</v>
      </c>
      <c r="I39" s="69"/>
    </row>
    <row r="40" spans="1:14" x14ac:dyDescent="0.3">
      <c r="A40" s="212">
        <v>43970</v>
      </c>
      <c r="C40" s="215">
        <v>743320</v>
      </c>
      <c r="D40" t="s">
        <v>227</v>
      </c>
      <c r="E40" t="s">
        <v>250</v>
      </c>
      <c r="F40" t="s">
        <v>229</v>
      </c>
      <c r="H40" s="214">
        <v>3083729.76</v>
      </c>
      <c r="K40" s="214"/>
    </row>
    <row r="41" spans="1:14" x14ac:dyDescent="0.3">
      <c r="A41" s="212">
        <v>43970</v>
      </c>
      <c r="C41" s="215">
        <v>743320</v>
      </c>
      <c r="D41" t="s">
        <v>227</v>
      </c>
      <c r="E41" t="s">
        <v>250</v>
      </c>
      <c r="F41" t="s">
        <v>229</v>
      </c>
      <c r="I41" s="214">
        <v>2444397.13</v>
      </c>
      <c r="J41" s="214">
        <f>H40-I41</f>
        <v>639332.62999999989</v>
      </c>
      <c r="K41" s="214"/>
      <c r="L41" s="214"/>
    </row>
    <row r="42" spans="1:14" x14ac:dyDescent="0.3">
      <c r="A42" s="212">
        <v>43982</v>
      </c>
      <c r="C42" s="215">
        <v>743314</v>
      </c>
      <c r="D42" t="s">
        <v>227</v>
      </c>
      <c r="E42" t="s">
        <v>251</v>
      </c>
      <c r="F42" t="s">
        <v>252</v>
      </c>
      <c r="H42" s="214">
        <v>2910297.43</v>
      </c>
      <c r="N42" s="214"/>
    </row>
    <row r="43" spans="1:14" x14ac:dyDescent="0.3">
      <c r="A43" s="212">
        <v>43982</v>
      </c>
      <c r="C43" s="215">
        <v>743314</v>
      </c>
      <c r="D43" t="s">
        <v>227</v>
      </c>
      <c r="E43" t="s">
        <v>251</v>
      </c>
      <c r="F43" t="s">
        <v>252</v>
      </c>
      <c r="I43" s="214">
        <v>2290040.9300000002</v>
      </c>
      <c r="J43" s="214">
        <f>H42-I43</f>
        <v>620256.5</v>
      </c>
      <c r="L43" s="214"/>
    </row>
    <row r="44" spans="1:14" x14ac:dyDescent="0.3">
      <c r="A44" s="212"/>
      <c r="C44" s="215"/>
      <c r="I44" s="214"/>
      <c r="L44" s="214"/>
    </row>
    <row r="45" spans="1:14" x14ac:dyDescent="0.3">
      <c r="A45" s="212"/>
      <c r="C45" s="215"/>
      <c r="I45" s="214"/>
      <c r="L45" s="214"/>
    </row>
    <row r="46" spans="1:14" x14ac:dyDescent="0.3">
      <c r="A46" s="212">
        <v>43983</v>
      </c>
      <c r="C46" s="215">
        <v>743314</v>
      </c>
      <c r="D46" t="s">
        <v>227</v>
      </c>
      <c r="E46" t="s">
        <v>253</v>
      </c>
      <c r="F46" t="s">
        <v>252</v>
      </c>
      <c r="I46" s="214">
        <v>2910297.43</v>
      </c>
      <c r="J46" s="214">
        <f>H47-I46</f>
        <v>-620256.5</v>
      </c>
      <c r="K46" s="214"/>
    </row>
    <row r="47" spans="1:14" x14ac:dyDescent="0.3">
      <c r="A47" s="212">
        <v>43983</v>
      </c>
      <c r="C47" s="215">
        <v>743314</v>
      </c>
      <c r="D47" t="s">
        <v>227</v>
      </c>
      <c r="E47" t="s">
        <v>253</v>
      </c>
      <c r="F47" t="s">
        <v>252</v>
      </c>
      <c r="H47" s="214">
        <v>2290040.9300000002</v>
      </c>
    </row>
    <row r="48" spans="1:14" x14ac:dyDescent="0.3">
      <c r="A48" s="212">
        <v>43994</v>
      </c>
      <c r="C48" s="215">
        <v>745502</v>
      </c>
      <c r="D48" t="s">
        <v>227</v>
      </c>
      <c r="E48" t="s">
        <v>254</v>
      </c>
      <c r="F48" t="s">
        <v>255</v>
      </c>
      <c r="H48" s="214">
        <v>3026440.17</v>
      </c>
    </row>
    <row r="49" spans="1:11" x14ac:dyDescent="0.3">
      <c r="A49" s="212">
        <v>43994</v>
      </c>
      <c r="C49" s="215">
        <v>745502</v>
      </c>
      <c r="D49" t="s">
        <v>227</v>
      </c>
      <c r="E49" t="s">
        <v>254</v>
      </c>
      <c r="F49" t="s">
        <v>255</v>
      </c>
      <c r="I49" s="214">
        <v>2381384.1800000002</v>
      </c>
      <c r="J49" s="214">
        <f>H48-I49</f>
        <v>645055.98999999976</v>
      </c>
      <c r="K49" s="214">
        <f>J49-J43</f>
        <v>24799.489999999758</v>
      </c>
    </row>
    <row r="50" spans="1:11" x14ac:dyDescent="0.3">
      <c r="A50" s="212">
        <v>44012</v>
      </c>
      <c r="C50" s="215">
        <v>748732</v>
      </c>
      <c r="D50" t="s">
        <v>227</v>
      </c>
      <c r="E50" t="s">
        <v>256</v>
      </c>
      <c r="F50" t="s">
        <v>242</v>
      </c>
      <c r="H50" s="214">
        <v>2889136.15</v>
      </c>
    </row>
    <row r="51" spans="1:11" x14ac:dyDescent="0.3">
      <c r="A51" s="212">
        <v>44012</v>
      </c>
      <c r="C51" s="215">
        <v>748732</v>
      </c>
      <c r="D51" t="s">
        <v>227</v>
      </c>
      <c r="E51" t="s">
        <v>256</v>
      </c>
      <c r="F51" t="s">
        <v>242</v>
      </c>
      <c r="I51" s="214">
        <v>2216795.34</v>
      </c>
      <c r="J51" s="214">
        <f>H50-I51</f>
        <v>672340.81</v>
      </c>
    </row>
    <row r="52" spans="1:11" x14ac:dyDescent="0.3">
      <c r="A52" s="212">
        <v>44012</v>
      </c>
      <c r="C52" s="215">
        <v>748741</v>
      </c>
      <c r="D52" t="s">
        <v>227</v>
      </c>
      <c r="E52" t="s">
        <v>257</v>
      </c>
      <c r="F52" t="s">
        <v>258</v>
      </c>
      <c r="I52" s="214">
        <v>44401.38</v>
      </c>
    </row>
    <row r="53" spans="1:11" x14ac:dyDescent="0.3">
      <c r="A53" s="212">
        <v>44012</v>
      </c>
      <c r="C53" s="215">
        <v>748743</v>
      </c>
      <c r="D53" t="s">
        <v>227</v>
      </c>
      <c r="E53" t="s">
        <v>257</v>
      </c>
      <c r="F53" t="s">
        <v>259</v>
      </c>
      <c r="I53" s="214">
        <v>131523.48000000001</v>
      </c>
    </row>
    <row r="54" spans="1:11" x14ac:dyDescent="0.3">
      <c r="A54" s="212">
        <v>44012</v>
      </c>
      <c r="C54" s="215">
        <v>748744</v>
      </c>
      <c r="D54" t="s">
        <v>227</v>
      </c>
      <c r="E54" t="s">
        <v>257</v>
      </c>
      <c r="F54" t="s">
        <v>260</v>
      </c>
      <c r="I54" s="214">
        <v>126980.87</v>
      </c>
    </row>
    <row r="55" spans="1:11" x14ac:dyDescent="0.3">
      <c r="A55" s="212"/>
      <c r="C55" s="215"/>
      <c r="I55" s="214"/>
    </row>
    <row r="56" spans="1:11" x14ac:dyDescent="0.3">
      <c r="A56" s="212"/>
      <c r="C56" s="215"/>
      <c r="I56" s="214"/>
    </row>
    <row r="57" spans="1:11" x14ac:dyDescent="0.3">
      <c r="A57" s="212"/>
      <c r="C57" s="215"/>
      <c r="I57" s="214"/>
    </row>
    <row r="58" spans="1:11" x14ac:dyDescent="0.3">
      <c r="A58" s="212"/>
      <c r="C58" s="215"/>
      <c r="I58" s="214"/>
    </row>
    <row r="59" spans="1:11" x14ac:dyDescent="0.3">
      <c r="A59" s="212"/>
      <c r="C59" s="215"/>
      <c r="I59" s="214"/>
    </row>
    <row r="60" spans="1:11" x14ac:dyDescent="0.3">
      <c r="A60" s="212"/>
      <c r="C60" s="215"/>
      <c r="I60" s="214"/>
    </row>
    <row r="61" spans="1:11" x14ac:dyDescent="0.3">
      <c r="A61" s="212"/>
      <c r="C61" s="215"/>
      <c r="I61" s="214"/>
    </row>
    <row r="62" spans="1:11" x14ac:dyDescent="0.3">
      <c r="A62" s="212">
        <v>44013</v>
      </c>
      <c r="C62" s="215">
        <v>748732</v>
      </c>
      <c r="D62" t="s">
        <v>227</v>
      </c>
      <c r="E62" t="s">
        <v>261</v>
      </c>
      <c r="F62" t="s">
        <v>242</v>
      </c>
      <c r="I62" s="214">
        <v>2889136.15</v>
      </c>
      <c r="J62" s="214">
        <f>H63-I62</f>
        <v>-672340.81</v>
      </c>
    </row>
    <row r="63" spans="1:11" x14ac:dyDescent="0.3">
      <c r="A63" s="212">
        <v>44013</v>
      </c>
      <c r="C63" s="215">
        <v>748732</v>
      </c>
      <c r="D63" t="s">
        <v>227</v>
      </c>
      <c r="E63" t="s">
        <v>261</v>
      </c>
      <c r="F63" t="s">
        <v>242</v>
      </c>
      <c r="H63" s="214">
        <v>2216795.34</v>
      </c>
    </row>
    <row r="64" spans="1:11" x14ac:dyDescent="0.3">
      <c r="A64" s="212">
        <v>44027</v>
      </c>
      <c r="C64" s="215">
        <v>750730</v>
      </c>
      <c r="D64" t="s">
        <v>227</v>
      </c>
      <c r="E64" t="s">
        <v>262</v>
      </c>
      <c r="F64" t="s">
        <v>263</v>
      </c>
      <c r="H64" s="214">
        <v>2942457.22</v>
      </c>
      <c r="J64" s="214">
        <f>H64-I65</f>
        <v>686148.66000000015</v>
      </c>
    </row>
    <row r="65" spans="1:12" x14ac:dyDescent="0.3">
      <c r="A65" s="212">
        <v>44027</v>
      </c>
      <c r="C65" s="215">
        <v>750730</v>
      </c>
      <c r="D65" t="s">
        <v>227</v>
      </c>
      <c r="E65" t="s">
        <v>262</v>
      </c>
      <c r="F65" t="s">
        <v>263</v>
      </c>
      <c r="I65" s="214">
        <v>2256308.56</v>
      </c>
      <c r="L65" s="214">
        <f>J64-J51</f>
        <v>13807.850000000093</v>
      </c>
    </row>
    <row r="66" spans="1:12" x14ac:dyDescent="0.3">
      <c r="A66" s="212">
        <v>44043</v>
      </c>
      <c r="C66" s="215">
        <v>754609</v>
      </c>
      <c r="D66" t="s">
        <v>227</v>
      </c>
      <c r="E66" t="s">
        <v>264</v>
      </c>
      <c r="F66" t="s">
        <v>265</v>
      </c>
      <c r="H66" s="214">
        <v>2825970.81</v>
      </c>
      <c r="J66" s="214">
        <f>H66-I67</f>
        <v>706492.70000000019</v>
      </c>
    </row>
    <row r="67" spans="1:12" x14ac:dyDescent="0.3">
      <c r="A67" s="212">
        <v>44043</v>
      </c>
      <c r="C67" s="215">
        <v>754609</v>
      </c>
      <c r="D67" t="s">
        <v>227</v>
      </c>
      <c r="E67" t="s">
        <v>264</v>
      </c>
      <c r="F67" t="s">
        <v>265</v>
      </c>
      <c r="I67" s="214">
        <v>2119478.11</v>
      </c>
    </row>
    <row r="68" spans="1:12" x14ac:dyDescent="0.3">
      <c r="A68" s="212">
        <v>44043</v>
      </c>
      <c r="C68" s="215">
        <v>754615</v>
      </c>
      <c r="D68" t="s">
        <v>227</v>
      </c>
      <c r="E68" t="s">
        <v>266</v>
      </c>
      <c r="F68" t="s">
        <v>267</v>
      </c>
      <c r="I68" s="214">
        <v>142897.91</v>
      </c>
    </row>
    <row r="69" spans="1:12" x14ac:dyDescent="0.3">
      <c r="A69" s="212"/>
      <c r="C69" s="215"/>
      <c r="I69" s="214"/>
    </row>
    <row r="70" spans="1:12" x14ac:dyDescent="0.3">
      <c r="A70" s="212"/>
      <c r="C70" s="215"/>
      <c r="I70" s="214"/>
    </row>
    <row r="71" spans="1:12" x14ac:dyDescent="0.3">
      <c r="A71" s="212"/>
      <c r="C71" s="215"/>
      <c r="I71" s="214"/>
    </row>
    <row r="72" spans="1:12" x14ac:dyDescent="0.3">
      <c r="A72" s="212"/>
      <c r="C72" s="215"/>
      <c r="I72" s="214"/>
    </row>
    <row r="73" spans="1:12" x14ac:dyDescent="0.3">
      <c r="A73" s="212"/>
      <c r="C73" s="215"/>
      <c r="I73" s="214"/>
    </row>
    <row r="74" spans="1:12" x14ac:dyDescent="0.3">
      <c r="A74" s="212"/>
      <c r="C74" s="215"/>
      <c r="I74" s="214"/>
    </row>
    <row r="75" spans="1:12" x14ac:dyDescent="0.3">
      <c r="A75" s="212"/>
      <c r="C75" s="215"/>
      <c r="I75" s="214"/>
    </row>
    <row r="76" spans="1:12" x14ac:dyDescent="0.3">
      <c r="A76" s="212">
        <v>44044</v>
      </c>
      <c r="C76" s="215">
        <v>754609</v>
      </c>
      <c r="D76" t="s">
        <v>227</v>
      </c>
      <c r="E76" t="s">
        <v>268</v>
      </c>
      <c r="F76" t="s">
        <v>265</v>
      </c>
      <c r="I76" s="214">
        <v>2825970.81</v>
      </c>
      <c r="J76" s="214">
        <f>H77-I76</f>
        <v>-706492.70000000019</v>
      </c>
    </row>
    <row r="77" spans="1:12" x14ac:dyDescent="0.3">
      <c r="A77" s="212">
        <v>44044</v>
      </c>
      <c r="C77" s="215">
        <v>754609</v>
      </c>
      <c r="D77" t="s">
        <v>227</v>
      </c>
      <c r="E77" t="s">
        <v>268</v>
      </c>
      <c r="F77" t="s">
        <v>265</v>
      </c>
      <c r="H77" s="214">
        <v>2119478.11</v>
      </c>
      <c r="L77" s="214">
        <f>J79-J66</f>
        <v>27763.419999999925</v>
      </c>
    </row>
    <row r="78" spans="1:12" x14ac:dyDescent="0.3">
      <c r="A78" s="212">
        <v>44062</v>
      </c>
      <c r="C78" s="215">
        <v>755626</v>
      </c>
      <c r="D78" t="s">
        <v>227</v>
      </c>
      <c r="E78" t="s">
        <v>269</v>
      </c>
      <c r="F78" t="s">
        <v>229</v>
      </c>
      <c r="H78" s="214">
        <v>2937024.48</v>
      </c>
    </row>
    <row r="79" spans="1:12" x14ac:dyDescent="0.3">
      <c r="A79" s="212">
        <v>44062</v>
      </c>
      <c r="C79" s="215">
        <v>755626</v>
      </c>
      <c r="D79" t="s">
        <v>227</v>
      </c>
      <c r="E79" t="s">
        <v>269</v>
      </c>
      <c r="F79" t="s">
        <v>229</v>
      </c>
      <c r="I79" s="214">
        <v>2202768.36</v>
      </c>
      <c r="J79" s="214">
        <f>H78-I79</f>
        <v>734256.12000000011</v>
      </c>
    </row>
    <row r="80" spans="1:12" x14ac:dyDescent="0.3">
      <c r="A80" s="212">
        <v>44074</v>
      </c>
      <c r="C80" s="215">
        <v>759283</v>
      </c>
      <c r="D80" t="s">
        <v>227</v>
      </c>
      <c r="E80" t="s">
        <v>270</v>
      </c>
      <c r="F80" t="s">
        <v>265</v>
      </c>
      <c r="H80" s="214">
        <v>2755397.77</v>
      </c>
    </row>
    <row r="81" spans="1:11" x14ac:dyDescent="0.3">
      <c r="A81" s="212">
        <v>44074</v>
      </c>
      <c r="C81" s="215">
        <v>759283</v>
      </c>
      <c r="D81" t="s">
        <v>227</v>
      </c>
      <c r="E81" t="s">
        <v>270</v>
      </c>
      <c r="F81" t="s">
        <v>265</v>
      </c>
      <c r="I81" s="214">
        <v>2066548.33</v>
      </c>
      <c r="J81" s="214">
        <f>H80-I81</f>
        <v>688849.44</v>
      </c>
    </row>
    <row r="82" spans="1:11" x14ac:dyDescent="0.3">
      <c r="A82" s="212">
        <v>44074</v>
      </c>
      <c r="C82" s="215">
        <v>761262</v>
      </c>
      <c r="D82" t="s">
        <v>227</v>
      </c>
      <c r="E82" t="s">
        <v>271</v>
      </c>
      <c r="F82" t="s">
        <v>272</v>
      </c>
      <c r="I82" s="214">
        <v>177974.96</v>
      </c>
    </row>
    <row r="83" spans="1:11" x14ac:dyDescent="0.3">
      <c r="B83" s="212"/>
      <c r="C83" s="213"/>
    </row>
    <row r="84" spans="1:11" x14ac:dyDescent="0.3">
      <c r="B84" s="212"/>
    </row>
    <row r="89" spans="1:11" x14ac:dyDescent="0.3">
      <c r="A89" s="212">
        <v>44075</v>
      </c>
      <c r="C89" s="215">
        <v>759283</v>
      </c>
      <c r="D89" t="s">
        <v>227</v>
      </c>
      <c r="E89" t="s">
        <v>273</v>
      </c>
      <c r="F89" t="s">
        <v>265</v>
      </c>
      <c r="I89" s="214">
        <v>2755397.77</v>
      </c>
      <c r="J89" s="214">
        <f>H90-I89</f>
        <v>-688849.44</v>
      </c>
    </row>
    <row r="90" spans="1:11" x14ac:dyDescent="0.3">
      <c r="A90" s="212">
        <v>44075</v>
      </c>
      <c r="C90" s="215">
        <v>759283</v>
      </c>
      <c r="D90" t="s">
        <v>227</v>
      </c>
      <c r="E90" t="s">
        <v>273</v>
      </c>
      <c r="F90" t="s">
        <v>265</v>
      </c>
      <c r="H90" s="214">
        <v>2066548.33</v>
      </c>
    </row>
    <row r="91" spans="1:11" x14ac:dyDescent="0.3">
      <c r="A91" s="212">
        <v>44091</v>
      </c>
      <c r="C91" s="215">
        <v>761242</v>
      </c>
      <c r="D91" t="s">
        <v>227</v>
      </c>
      <c r="E91" t="s">
        <v>274</v>
      </c>
      <c r="F91" t="s">
        <v>229</v>
      </c>
      <c r="H91" s="214">
        <v>2686191.17</v>
      </c>
    </row>
    <row r="92" spans="1:11" x14ac:dyDescent="0.3">
      <c r="A92" s="212">
        <v>44091</v>
      </c>
      <c r="C92" s="215">
        <v>761242</v>
      </c>
      <c r="D92" t="s">
        <v>227</v>
      </c>
      <c r="E92" t="s">
        <v>274</v>
      </c>
      <c r="F92" t="s">
        <v>229</v>
      </c>
      <c r="I92" s="214">
        <v>2014643.38</v>
      </c>
      <c r="J92" s="214">
        <f>H91-I92</f>
        <v>671547.79</v>
      </c>
      <c r="K92" s="214">
        <f>J92-J81</f>
        <v>-17301.649999999907</v>
      </c>
    </row>
    <row r="93" spans="1:11" x14ac:dyDescent="0.3">
      <c r="A93" s="212">
        <v>44104</v>
      </c>
      <c r="C93" s="215">
        <v>765154</v>
      </c>
      <c r="D93" t="s">
        <v>227</v>
      </c>
      <c r="E93" t="s">
        <v>275</v>
      </c>
      <c r="F93" t="s">
        <v>276</v>
      </c>
      <c r="I93" s="214">
        <v>136358.84</v>
      </c>
    </row>
    <row r="94" spans="1:11" x14ac:dyDescent="0.3">
      <c r="A94" s="212">
        <v>44104</v>
      </c>
      <c r="C94" s="215">
        <v>765159</v>
      </c>
      <c r="D94" t="s">
        <v>227</v>
      </c>
      <c r="E94" t="s">
        <v>277</v>
      </c>
      <c r="F94" t="s">
        <v>242</v>
      </c>
      <c r="H94" s="214">
        <v>2602608.0299999998</v>
      </c>
    </row>
    <row r="95" spans="1:11" x14ac:dyDescent="0.3">
      <c r="A95" s="212">
        <v>44104</v>
      </c>
      <c r="C95" s="215">
        <v>765159</v>
      </c>
      <c r="D95" t="s">
        <v>227</v>
      </c>
      <c r="E95" t="s">
        <v>277</v>
      </c>
      <c r="F95" t="s">
        <v>242</v>
      </c>
      <c r="I95" s="214">
        <v>1951956.02</v>
      </c>
      <c r="J95" s="214">
        <f>H94-I95</f>
        <v>650652.00999999978</v>
      </c>
    </row>
    <row r="96" spans="1:11" x14ac:dyDescent="0.3">
      <c r="A96" s="212"/>
      <c r="C96" s="215"/>
      <c r="I96" s="214"/>
    </row>
    <row r="97" spans="1:11" x14ac:dyDescent="0.3">
      <c r="A97" s="212"/>
      <c r="C97" s="215"/>
      <c r="I97" s="214"/>
    </row>
    <row r="98" spans="1:11" x14ac:dyDescent="0.3">
      <c r="A98" s="212"/>
      <c r="C98" s="215"/>
      <c r="I98" s="214"/>
    </row>
    <row r="99" spans="1:11" x14ac:dyDescent="0.3">
      <c r="A99" s="212"/>
      <c r="C99" s="215"/>
      <c r="I99" s="214"/>
    </row>
    <row r="100" spans="1:11" x14ac:dyDescent="0.3">
      <c r="A100" s="212"/>
      <c r="C100" s="215"/>
      <c r="I100" s="214"/>
    </row>
    <row r="101" spans="1:11" x14ac:dyDescent="0.3">
      <c r="A101" s="212"/>
      <c r="C101" s="215"/>
      <c r="I101" s="214"/>
    </row>
    <row r="102" spans="1:11" x14ac:dyDescent="0.3">
      <c r="A102" s="212">
        <v>44105</v>
      </c>
      <c r="C102" s="215">
        <v>765159</v>
      </c>
      <c r="D102" t="s">
        <v>227</v>
      </c>
      <c r="E102" t="s">
        <v>278</v>
      </c>
      <c r="F102" t="s">
        <v>242</v>
      </c>
      <c r="I102" s="214">
        <v>2602608.0299999998</v>
      </c>
      <c r="J102" s="214">
        <f>H103-I102</f>
        <v>-650652.00999999978</v>
      </c>
    </row>
    <row r="103" spans="1:11" x14ac:dyDescent="0.3">
      <c r="A103" s="212">
        <v>44105</v>
      </c>
      <c r="C103" s="215">
        <v>765159</v>
      </c>
      <c r="D103" t="s">
        <v>227</v>
      </c>
      <c r="E103" t="s">
        <v>278</v>
      </c>
      <c r="F103" t="s">
        <v>242</v>
      </c>
      <c r="H103" s="214">
        <v>1951956.02</v>
      </c>
    </row>
    <row r="104" spans="1:11" x14ac:dyDescent="0.3">
      <c r="A104" s="212">
        <v>44123</v>
      </c>
      <c r="C104" s="215">
        <v>766428</v>
      </c>
      <c r="D104" t="s">
        <v>227</v>
      </c>
      <c r="E104" t="s">
        <v>279</v>
      </c>
      <c r="F104" t="s">
        <v>229</v>
      </c>
      <c r="H104" s="214">
        <v>2484560.08</v>
      </c>
    </row>
    <row r="105" spans="1:11" x14ac:dyDescent="0.3">
      <c r="A105" s="212">
        <v>44123</v>
      </c>
      <c r="C105" s="215">
        <v>766428</v>
      </c>
      <c r="D105" t="s">
        <v>227</v>
      </c>
      <c r="E105" t="s">
        <v>279</v>
      </c>
      <c r="F105" t="s">
        <v>229</v>
      </c>
      <c r="I105" s="214">
        <v>1858176.98</v>
      </c>
      <c r="J105" s="214">
        <f>H104-I105</f>
        <v>626383.10000000009</v>
      </c>
      <c r="K105" s="214">
        <f>J105-J95</f>
        <v>-24268.909999999683</v>
      </c>
    </row>
    <row r="106" spans="1:11" x14ac:dyDescent="0.3">
      <c r="A106" s="212">
        <v>44135</v>
      </c>
      <c r="C106" s="215">
        <v>771531</v>
      </c>
      <c r="D106" t="s">
        <v>227</v>
      </c>
      <c r="E106" t="s">
        <v>280</v>
      </c>
      <c r="F106" t="s">
        <v>281</v>
      </c>
      <c r="I106" s="214">
        <v>36448.1</v>
      </c>
    </row>
    <row r="107" spans="1:11" x14ac:dyDescent="0.3">
      <c r="A107" s="212">
        <v>44135</v>
      </c>
      <c r="C107" s="215">
        <v>771539</v>
      </c>
      <c r="D107" t="s">
        <v>227</v>
      </c>
      <c r="E107" t="s">
        <v>282</v>
      </c>
      <c r="F107" t="s">
        <v>242</v>
      </c>
      <c r="H107" s="214">
        <v>2842763.72</v>
      </c>
      <c r="J107" s="214">
        <f>H107-I108</f>
        <v>710690.93000000017</v>
      </c>
    </row>
    <row r="108" spans="1:11" x14ac:dyDescent="0.3">
      <c r="A108" s="212">
        <v>44135</v>
      </c>
      <c r="C108" s="215">
        <v>771539</v>
      </c>
      <c r="D108" t="s">
        <v>227</v>
      </c>
      <c r="E108" t="s">
        <v>282</v>
      </c>
      <c r="F108" t="s">
        <v>242</v>
      </c>
      <c r="I108" s="214">
        <v>2132072.79</v>
      </c>
    </row>
    <row r="109" spans="1:11" x14ac:dyDescent="0.3">
      <c r="A109" s="212"/>
      <c r="C109" s="215"/>
      <c r="I109" s="214"/>
    </row>
    <row r="110" spans="1:11" x14ac:dyDescent="0.3">
      <c r="A110" s="212"/>
      <c r="C110" s="215"/>
      <c r="I110" s="214"/>
    </row>
    <row r="111" spans="1:11" x14ac:dyDescent="0.3">
      <c r="A111" s="212"/>
      <c r="C111" s="215"/>
      <c r="I111" s="214"/>
    </row>
    <row r="112" spans="1:11" x14ac:dyDescent="0.3">
      <c r="A112" s="212"/>
      <c r="C112" s="215"/>
      <c r="I112" s="214"/>
    </row>
    <row r="113" spans="1:11" x14ac:dyDescent="0.3">
      <c r="A113" s="212"/>
      <c r="C113" s="215"/>
      <c r="I113" s="214"/>
    </row>
    <row r="114" spans="1:11" x14ac:dyDescent="0.3">
      <c r="A114" s="212"/>
      <c r="C114" s="215"/>
      <c r="I114" s="214"/>
    </row>
    <row r="115" spans="1:11" x14ac:dyDescent="0.3">
      <c r="A115" s="212">
        <v>44136</v>
      </c>
      <c r="C115" s="215">
        <v>771539</v>
      </c>
      <c r="D115" t="s">
        <v>227</v>
      </c>
      <c r="E115" t="s">
        <v>283</v>
      </c>
      <c r="F115" t="s">
        <v>242</v>
      </c>
      <c r="I115" s="214">
        <v>2842763.72</v>
      </c>
      <c r="J115" s="214">
        <f>H116-I115</f>
        <v>-710690.93000000017</v>
      </c>
    </row>
    <row r="116" spans="1:11" x14ac:dyDescent="0.3">
      <c r="A116" s="212">
        <v>44136</v>
      </c>
      <c r="C116" s="215">
        <v>771539</v>
      </c>
      <c r="D116" t="s">
        <v>227</v>
      </c>
      <c r="E116" t="s">
        <v>283</v>
      </c>
      <c r="F116" t="s">
        <v>242</v>
      </c>
      <c r="H116" s="214">
        <v>2132072.79</v>
      </c>
    </row>
    <row r="117" spans="1:11" x14ac:dyDescent="0.3">
      <c r="A117" s="212">
        <v>44153</v>
      </c>
      <c r="C117" s="215">
        <v>773846</v>
      </c>
      <c r="D117" t="s">
        <v>227</v>
      </c>
      <c r="E117" t="s">
        <v>284</v>
      </c>
      <c r="F117" t="s">
        <v>285</v>
      </c>
      <c r="H117" s="214">
        <v>2744774.18</v>
      </c>
    </row>
    <row r="118" spans="1:11" x14ac:dyDescent="0.3">
      <c r="A118" s="212">
        <v>44153</v>
      </c>
      <c r="C118" s="215">
        <v>773846</v>
      </c>
      <c r="D118" t="s">
        <v>227</v>
      </c>
      <c r="E118" t="s">
        <v>284</v>
      </c>
      <c r="F118" t="s">
        <v>285</v>
      </c>
      <c r="I118" s="214">
        <v>2058580.64</v>
      </c>
      <c r="J118" s="214">
        <f>H117-I118</f>
        <v>686193.54000000027</v>
      </c>
    </row>
    <row r="119" spans="1:11" x14ac:dyDescent="0.3">
      <c r="A119" s="212">
        <v>44165</v>
      </c>
      <c r="C119" s="215">
        <v>776600</v>
      </c>
      <c r="D119" t="s">
        <v>227</v>
      </c>
      <c r="E119" t="s">
        <v>286</v>
      </c>
      <c r="F119" t="s">
        <v>287</v>
      </c>
      <c r="H119" s="214">
        <v>2548612.1800000002</v>
      </c>
    </row>
    <row r="120" spans="1:11" x14ac:dyDescent="0.3">
      <c r="A120" s="212">
        <v>44165</v>
      </c>
      <c r="C120" s="215">
        <v>776600</v>
      </c>
      <c r="D120" t="s">
        <v>227</v>
      </c>
      <c r="E120" t="s">
        <v>286</v>
      </c>
      <c r="F120" t="s">
        <v>287</v>
      </c>
      <c r="I120" s="214">
        <v>1911459.14</v>
      </c>
      <c r="J120" s="214">
        <f>H119-I120</f>
        <v>637153.04000000027</v>
      </c>
    </row>
    <row r="121" spans="1:11" x14ac:dyDescent="0.3">
      <c r="A121" s="212">
        <v>44165</v>
      </c>
      <c r="C121" s="215">
        <v>776613</v>
      </c>
      <c r="D121" t="s">
        <v>227</v>
      </c>
      <c r="E121" t="s">
        <v>288</v>
      </c>
      <c r="F121" t="s">
        <v>289</v>
      </c>
      <c r="I121" s="214">
        <v>50249.14</v>
      </c>
    </row>
    <row r="122" spans="1:11" x14ac:dyDescent="0.3">
      <c r="A122" s="212"/>
      <c r="C122" s="215"/>
      <c r="I122" s="214"/>
      <c r="K122" s="214">
        <f>J118-J107</f>
        <v>-24497.389999999898</v>
      </c>
    </row>
    <row r="123" spans="1:11" x14ac:dyDescent="0.3">
      <c r="A123" s="212"/>
      <c r="C123" s="215"/>
      <c r="I123" s="214"/>
    </row>
    <row r="124" spans="1:11" x14ac:dyDescent="0.3">
      <c r="A124" s="212"/>
      <c r="C124" s="215"/>
      <c r="I124" s="214"/>
    </row>
    <row r="125" spans="1:11" x14ac:dyDescent="0.3">
      <c r="A125" s="212"/>
      <c r="C125" s="215"/>
      <c r="I125" s="214"/>
    </row>
    <row r="126" spans="1:11" x14ac:dyDescent="0.3">
      <c r="A126" s="212">
        <v>44166</v>
      </c>
      <c r="C126" s="215">
        <v>776600</v>
      </c>
      <c r="D126" t="s">
        <v>227</v>
      </c>
      <c r="E126" t="s">
        <v>290</v>
      </c>
      <c r="F126" t="s">
        <v>287</v>
      </c>
      <c r="I126" s="214">
        <v>2548612.1800000002</v>
      </c>
      <c r="J126" s="214">
        <f>H127-I126</f>
        <v>-637153.04000000027</v>
      </c>
    </row>
    <row r="127" spans="1:11" x14ac:dyDescent="0.3">
      <c r="A127" s="212">
        <v>44166</v>
      </c>
      <c r="C127" s="215">
        <v>776600</v>
      </c>
      <c r="D127" t="s">
        <v>227</v>
      </c>
      <c r="E127" t="s">
        <v>290</v>
      </c>
      <c r="F127" t="s">
        <v>287</v>
      </c>
      <c r="H127" s="214">
        <v>1911459.14</v>
      </c>
    </row>
    <row r="128" spans="1:11" x14ac:dyDescent="0.3">
      <c r="A128" s="212">
        <v>44181</v>
      </c>
      <c r="C128" s="215">
        <v>778921</v>
      </c>
      <c r="D128" t="s">
        <v>227</v>
      </c>
      <c r="E128" t="s">
        <v>291</v>
      </c>
      <c r="F128" t="s">
        <v>229</v>
      </c>
      <c r="H128" s="214">
        <v>2612877.84</v>
      </c>
    </row>
    <row r="129" spans="1:11" x14ac:dyDescent="0.3">
      <c r="A129" s="212">
        <v>44181</v>
      </c>
      <c r="C129" s="215">
        <v>778921</v>
      </c>
      <c r="D129" t="s">
        <v>227</v>
      </c>
      <c r="E129" t="s">
        <v>291</v>
      </c>
      <c r="F129" t="s">
        <v>229</v>
      </c>
      <c r="I129" s="214">
        <v>1959658.38</v>
      </c>
      <c r="J129" s="214">
        <f>H128-I129</f>
        <v>653219.46</v>
      </c>
      <c r="K129" s="214">
        <f>J129-J120</f>
        <v>16066.419999999693</v>
      </c>
    </row>
    <row r="130" spans="1:11" x14ac:dyDescent="0.3">
      <c r="A130" s="212">
        <v>44196</v>
      </c>
      <c r="C130" s="215">
        <v>782025</v>
      </c>
      <c r="D130" t="s">
        <v>227</v>
      </c>
      <c r="E130" t="s">
        <v>292</v>
      </c>
      <c r="F130" t="s">
        <v>293</v>
      </c>
      <c r="I130" s="214">
        <v>82959.62</v>
      </c>
    </row>
    <row r="131" spans="1:11" x14ac:dyDescent="0.3">
      <c r="A131" s="212">
        <v>44196</v>
      </c>
      <c r="C131" s="215">
        <v>782935</v>
      </c>
      <c r="D131" t="s">
        <v>227</v>
      </c>
      <c r="E131" t="s">
        <v>294</v>
      </c>
      <c r="F131" t="s">
        <v>229</v>
      </c>
      <c r="H131" s="214">
        <v>2840484.82</v>
      </c>
    </row>
    <row r="132" spans="1:11" x14ac:dyDescent="0.3">
      <c r="A132" s="212">
        <v>44196</v>
      </c>
      <c r="C132" s="215">
        <v>782935</v>
      </c>
      <c r="D132" t="s">
        <v>227</v>
      </c>
      <c r="E132" t="s">
        <v>294</v>
      </c>
      <c r="F132" t="s">
        <v>229</v>
      </c>
      <c r="I132" s="214">
        <v>1911459.14</v>
      </c>
      <c r="J132" s="214">
        <f>H131-I132</f>
        <v>929025.67999999993</v>
      </c>
    </row>
    <row r="133" spans="1:11" x14ac:dyDescent="0.3">
      <c r="A133" s="212">
        <v>44196</v>
      </c>
      <c r="C133" s="215">
        <v>787201</v>
      </c>
      <c r="D133" t="s">
        <v>227</v>
      </c>
      <c r="E133" t="s">
        <v>295</v>
      </c>
      <c r="F133" t="s">
        <v>296</v>
      </c>
      <c r="I133" s="214">
        <v>392113.34</v>
      </c>
    </row>
    <row r="134" spans="1:11" x14ac:dyDescent="0.3">
      <c r="A134" t="s">
        <v>297</v>
      </c>
      <c r="B134" t="s">
        <v>298</v>
      </c>
    </row>
    <row r="135" spans="1:11" x14ac:dyDescent="0.3">
      <c r="A135" t="s">
        <v>299</v>
      </c>
      <c r="B135" s="214">
        <v>82431948.25</v>
      </c>
      <c r="C135" s="214">
        <v>75607441.129999995</v>
      </c>
    </row>
    <row r="136" spans="1:11" x14ac:dyDescent="0.3">
      <c r="A136" t="s">
        <v>300</v>
      </c>
      <c r="B136">
        <v>79</v>
      </c>
      <c r="C136" t="s">
        <v>301</v>
      </c>
      <c r="D136" t="s">
        <v>302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3"/>
  <sheetViews>
    <sheetView workbookViewId="0">
      <selection activeCell="H19" sqref="H19"/>
    </sheetView>
  </sheetViews>
  <sheetFormatPr defaultRowHeight="14.4" x14ac:dyDescent="0.3"/>
  <cols>
    <col min="1" max="1" width="59.109375" bestFit="1" customWidth="1"/>
    <col min="2" max="2" width="41.33203125" bestFit="1" customWidth="1"/>
    <col min="3" max="3" width="34.88671875" bestFit="1" customWidth="1"/>
    <col min="4" max="4" width="22.44140625" bestFit="1" customWidth="1"/>
    <col min="5" max="5" width="14.6640625" bestFit="1" customWidth="1"/>
    <col min="6" max="6" width="27.5546875" bestFit="1" customWidth="1"/>
    <col min="7" max="7" width="5.88671875" bestFit="1" customWidth="1"/>
    <col min="8" max="8" width="13.5546875" bestFit="1" customWidth="1"/>
    <col min="9" max="9" width="12.6640625" bestFit="1" customWidth="1"/>
    <col min="10" max="10" width="11.109375" bestFit="1" customWidth="1"/>
    <col min="12" max="13" width="13.5546875" bestFit="1" customWidth="1"/>
  </cols>
  <sheetData>
    <row r="1" spans="1:9" x14ac:dyDescent="0.3">
      <c r="A1" t="s">
        <v>195</v>
      </c>
      <c r="B1" s="212">
        <v>44397</v>
      </c>
      <c r="C1" s="213">
        <v>0.35920138888888892</v>
      </c>
      <c r="D1" t="s">
        <v>196</v>
      </c>
      <c r="E1" t="s">
        <v>197</v>
      </c>
      <c r="F1">
        <v>1</v>
      </c>
    </row>
    <row r="2" spans="1:9" x14ac:dyDescent="0.3">
      <c r="A2" t="s">
        <v>198</v>
      </c>
      <c r="B2" s="212">
        <v>44397</v>
      </c>
      <c r="C2" t="s">
        <v>199</v>
      </c>
      <c r="D2">
        <v>2020</v>
      </c>
      <c r="E2" t="s">
        <v>200</v>
      </c>
      <c r="F2" t="s">
        <v>201</v>
      </c>
    </row>
    <row r="3" spans="1:9" x14ac:dyDescent="0.3">
      <c r="A3" t="s">
        <v>202</v>
      </c>
    </row>
    <row r="4" spans="1:9" x14ac:dyDescent="0.3">
      <c r="A4" t="s">
        <v>203</v>
      </c>
    </row>
    <row r="5" spans="1:9" x14ac:dyDescent="0.3">
      <c r="A5" t="s">
        <v>204</v>
      </c>
      <c r="B5" t="s">
        <v>56</v>
      </c>
      <c r="C5" t="s">
        <v>303</v>
      </c>
    </row>
    <row r="6" spans="1:9" x14ac:dyDescent="0.3">
      <c r="A6" t="s">
        <v>207</v>
      </c>
      <c r="B6" t="s">
        <v>208</v>
      </c>
      <c r="C6" t="s">
        <v>209</v>
      </c>
    </row>
    <row r="7" spans="1:9" x14ac:dyDescent="0.3">
      <c r="A7" t="s">
        <v>210</v>
      </c>
      <c r="B7" s="212">
        <v>43831</v>
      </c>
      <c r="C7" s="212">
        <v>44196</v>
      </c>
    </row>
    <row r="8" spans="1:9" x14ac:dyDescent="0.3">
      <c r="A8" t="s">
        <v>211</v>
      </c>
      <c r="B8" t="s">
        <v>212</v>
      </c>
      <c r="C8" t="s">
        <v>213</v>
      </c>
    </row>
    <row r="9" spans="1:9" x14ac:dyDescent="0.3">
      <c r="A9" t="s">
        <v>214</v>
      </c>
      <c r="B9" t="s">
        <v>212</v>
      </c>
      <c r="C9" t="s">
        <v>213</v>
      </c>
    </row>
    <row r="10" spans="1:9" x14ac:dyDescent="0.3">
      <c r="A10" t="s">
        <v>215</v>
      </c>
      <c r="B10" t="s">
        <v>216</v>
      </c>
      <c r="C10" t="s">
        <v>217</v>
      </c>
      <c r="D10" s="214">
        <v>-583066.56999999995</v>
      </c>
    </row>
    <row r="11" spans="1:9" x14ac:dyDescent="0.3">
      <c r="A11" t="s">
        <v>218</v>
      </c>
      <c r="B11" t="s">
        <v>219</v>
      </c>
      <c r="C11" t="s">
        <v>220</v>
      </c>
      <c r="D11" t="s">
        <v>221</v>
      </c>
      <c r="E11" t="s">
        <v>222</v>
      </c>
      <c r="F11" t="s">
        <v>214</v>
      </c>
      <c r="G11" t="s">
        <v>223</v>
      </c>
      <c r="H11" t="s">
        <v>224</v>
      </c>
    </row>
    <row r="12" spans="1:9" x14ac:dyDescent="0.3">
      <c r="A12" t="s">
        <v>225</v>
      </c>
      <c r="B12" t="s">
        <v>226</v>
      </c>
    </row>
    <row r="13" spans="1:9" s="36" customFormat="1" x14ac:dyDescent="0.3">
      <c r="A13" s="220">
        <v>43831</v>
      </c>
      <c r="C13" s="221">
        <v>761394</v>
      </c>
      <c r="D13" s="36" t="s">
        <v>227</v>
      </c>
      <c r="E13" s="36" t="s">
        <v>304</v>
      </c>
      <c r="F13" s="36" t="s">
        <v>305</v>
      </c>
      <c r="I13" s="222">
        <v>52591</v>
      </c>
    </row>
    <row r="14" spans="1:9" s="36" customFormat="1" x14ac:dyDescent="0.3">
      <c r="A14" s="220">
        <v>43831</v>
      </c>
      <c r="C14" s="221">
        <v>761394</v>
      </c>
      <c r="D14" s="36" t="s">
        <v>227</v>
      </c>
      <c r="E14" s="36" t="s">
        <v>304</v>
      </c>
      <c r="F14" s="36" t="s">
        <v>305</v>
      </c>
      <c r="I14" s="222">
        <v>828492</v>
      </c>
    </row>
    <row r="15" spans="1:9" s="36" customFormat="1" x14ac:dyDescent="0.3">
      <c r="A15" s="220">
        <v>43831</v>
      </c>
      <c r="C15" s="221">
        <v>761394</v>
      </c>
      <c r="D15" s="36" t="s">
        <v>227</v>
      </c>
      <c r="E15" s="36" t="s">
        <v>304</v>
      </c>
      <c r="F15" s="36" t="s">
        <v>305</v>
      </c>
      <c r="I15" s="222">
        <v>1018613</v>
      </c>
    </row>
    <row r="16" spans="1:9" s="36" customFormat="1" x14ac:dyDescent="0.3">
      <c r="A16" s="220">
        <v>43831</v>
      </c>
      <c r="C16" s="221">
        <v>761395</v>
      </c>
      <c r="D16" s="36" t="s">
        <v>227</v>
      </c>
      <c r="E16" s="36" t="s">
        <v>304</v>
      </c>
      <c r="F16" s="36" t="s">
        <v>306</v>
      </c>
      <c r="I16" s="222">
        <v>8862</v>
      </c>
    </row>
    <row r="17" spans="1:15" s="36" customFormat="1" x14ac:dyDescent="0.3">
      <c r="A17" s="220">
        <v>43831</v>
      </c>
      <c r="C17" s="221">
        <v>761396</v>
      </c>
      <c r="D17" s="36" t="s">
        <v>227</v>
      </c>
      <c r="E17" s="36" t="s">
        <v>304</v>
      </c>
      <c r="F17" s="36" t="s">
        <v>307</v>
      </c>
      <c r="I17" s="222">
        <v>57781</v>
      </c>
    </row>
    <row r="18" spans="1:15" s="36" customFormat="1" x14ac:dyDescent="0.3">
      <c r="A18" s="220">
        <v>43831</v>
      </c>
      <c r="C18" s="221">
        <v>761397</v>
      </c>
      <c r="D18" s="36" t="s">
        <v>227</v>
      </c>
      <c r="E18" s="36" t="s">
        <v>304</v>
      </c>
      <c r="F18" s="36" t="s">
        <v>308</v>
      </c>
      <c r="H18" s="222">
        <v>190689</v>
      </c>
    </row>
    <row r="19" spans="1:15" s="36" customFormat="1" x14ac:dyDescent="0.3">
      <c r="A19" s="220">
        <v>43831</v>
      </c>
      <c r="C19" s="221">
        <v>761398</v>
      </c>
      <c r="D19" s="36" t="s">
        <v>227</v>
      </c>
      <c r="E19" s="36" t="s">
        <v>304</v>
      </c>
      <c r="F19" s="36" t="s">
        <v>309</v>
      </c>
      <c r="I19" s="222">
        <v>66059</v>
      </c>
    </row>
    <row r="20" spans="1:15" s="36" customFormat="1" x14ac:dyDescent="0.3">
      <c r="A20" s="220">
        <v>43831</v>
      </c>
      <c r="C20" s="221">
        <v>761398</v>
      </c>
      <c r="D20" s="36" t="s">
        <v>227</v>
      </c>
      <c r="E20" s="36" t="s">
        <v>304</v>
      </c>
      <c r="F20" s="36" t="s">
        <v>309</v>
      </c>
      <c r="I20" s="222">
        <v>93239</v>
      </c>
      <c r="M20" s="222">
        <f>SUM(H13:H20)-SUM(I13:I20)</f>
        <v>-1934948</v>
      </c>
    </row>
    <row r="21" spans="1:15" s="224" customFormat="1" x14ac:dyDescent="0.3">
      <c r="A21" s="223">
        <v>43861</v>
      </c>
      <c r="C21" s="225">
        <v>725884</v>
      </c>
      <c r="D21" s="224" t="s">
        <v>227</v>
      </c>
      <c r="E21" s="224" t="s">
        <v>310</v>
      </c>
      <c r="F21" s="224" t="s">
        <v>311</v>
      </c>
      <c r="I21" s="226">
        <v>200286.96</v>
      </c>
    </row>
    <row r="22" spans="1:15" s="70" customFormat="1" x14ac:dyDescent="0.3">
      <c r="A22" s="216">
        <v>44196</v>
      </c>
      <c r="C22" s="217">
        <v>787198</v>
      </c>
      <c r="D22" s="70" t="s">
        <v>227</v>
      </c>
      <c r="E22" s="70" t="s">
        <v>312</v>
      </c>
      <c r="F22" s="70" t="s">
        <v>313</v>
      </c>
      <c r="I22" s="218">
        <v>94082.35</v>
      </c>
    </row>
    <row r="23" spans="1:15" s="70" customFormat="1" x14ac:dyDescent="0.3">
      <c r="A23" s="216">
        <v>44196</v>
      </c>
      <c r="C23" s="217">
        <v>787202</v>
      </c>
      <c r="D23" s="70" t="s">
        <v>227</v>
      </c>
      <c r="E23" s="70" t="s">
        <v>314</v>
      </c>
      <c r="F23" s="70" t="s">
        <v>313</v>
      </c>
      <c r="I23" s="218">
        <v>392113.34</v>
      </c>
      <c r="J23" s="218">
        <f>I22+I23</f>
        <v>486195.69000000006</v>
      </c>
    </row>
    <row r="24" spans="1:15" x14ac:dyDescent="0.3">
      <c r="A24" s="212"/>
      <c r="C24" s="215"/>
      <c r="I24" s="214"/>
      <c r="J24">
        <v>530293</v>
      </c>
    </row>
    <row r="25" spans="1:15" x14ac:dyDescent="0.3">
      <c r="A25" s="212"/>
      <c r="C25" s="215"/>
      <c r="I25" s="214"/>
      <c r="J25" s="214">
        <f>J24-J23</f>
        <v>44097.309999999939</v>
      </c>
    </row>
    <row r="26" spans="1:15" x14ac:dyDescent="0.3">
      <c r="A26" s="212"/>
      <c r="C26" s="215"/>
      <c r="H26" s="214">
        <f>SUM(H13:H23)-SUM(I13:I23)</f>
        <v>-2621430.65</v>
      </c>
      <c r="I26" s="214"/>
    </row>
    <row r="27" spans="1:15" x14ac:dyDescent="0.3">
      <c r="A27" s="212"/>
      <c r="C27" s="215"/>
      <c r="I27" s="214"/>
      <c r="L27" s="214">
        <f>H18-SUM(I13:I21)</f>
        <v>-2135234.96</v>
      </c>
    </row>
    <row r="28" spans="1:15" x14ac:dyDescent="0.3">
      <c r="A28" s="212"/>
      <c r="C28" s="215"/>
      <c r="I28" s="214"/>
      <c r="J28">
        <v>518694</v>
      </c>
      <c r="O28">
        <v>-486195.68999999913</v>
      </c>
    </row>
    <row r="29" spans="1:15" x14ac:dyDescent="0.3">
      <c r="A29" s="212"/>
      <c r="C29" s="215"/>
      <c r="I29" s="214"/>
      <c r="J29" s="214">
        <f>J28-J23</f>
        <v>32498.309999999939</v>
      </c>
      <c r="O29">
        <v>210360.23</v>
      </c>
    </row>
    <row r="30" spans="1:15" x14ac:dyDescent="0.3">
      <c r="A30" s="212"/>
      <c r="C30" s="215"/>
      <c r="I30" s="214"/>
      <c r="O30">
        <v>53625.52</v>
      </c>
    </row>
    <row r="31" spans="1:15" x14ac:dyDescent="0.3">
      <c r="A31" s="212">
        <v>43861</v>
      </c>
      <c r="C31" s="215">
        <v>728966</v>
      </c>
      <c r="D31" t="s">
        <v>227</v>
      </c>
      <c r="E31" t="s">
        <v>315</v>
      </c>
      <c r="F31" t="s">
        <v>313</v>
      </c>
      <c r="H31" s="214">
        <v>314156.15999999997</v>
      </c>
      <c r="O31">
        <v>90202.77</v>
      </c>
    </row>
    <row r="32" spans="1:15" x14ac:dyDescent="0.3">
      <c r="A32" s="212">
        <v>43862</v>
      </c>
      <c r="C32" s="215">
        <v>728966</v>
      </c>
      <c r="D32" t="s">
        <v>227</v>
      </c>
      <c r="E32" t="s">
        <v>316</v>
      </c>
      <c r="F32" t="s">
        <v>313</v>
      </c>
      <c r="I32" s="214">
        <v>314156.15999999997</v>
      </c>
      <c r="O32">
        <v>44401.38</v>
      </c>
    </row>
    <row r="33" spans="1:15" x14ac:dyDescent="0.3">
      <c r="A33" s="212">
        <v>43890</v>
      </c>
      <c r="C33" s="215">
        <v>730980</v>
      </c>
      <c r="D33" t="s">
        <v>227</v>
      </c>
      <c r="E33" t="s">
        <v>317</v>
      </c>
      <c r="F33" t="s">
        <v>313</v>
      </c>
      <c r="H33" s="214">
        <v>314935.14</v>
      </c>
      <c r="O33">
        <v>131523.48000000001</v>
      </c>
    </row>
    <row r="34" spans="1:15" x14ac:dyDescent="0.3">
      <c r="A34" s="212">
        <v>43891</v>
      </c>
      <c r="C34" s="215">
        <v>730980</v>
      </c>
      <c r="D34" t="s">
        <v>227</v>
      </c>
      <c r="E34" t="s">
        <v>318</v>
      </c>
      <c r="F34" t="s">
        <v>313</v>
      </c>
      <c r="I34" s="214">
        <v>314935.14</v>
      </c>
      <c r="L34">
        <v>519040</v>
      </c>
      <c r="O34">
        <v>126980.87</v>
      </c>
    </row>
    <row r="35" spans="1:15" x14ac:dyDescent="0.3">
      <c r="A35" s="212">
        <v>43921</v>
      </c>
      <c r="C35" s="215">
        <v>734137</v>
      </c>
      <c r="D35" t="s">
        <v>227</v>
      </c>
      <c r="E35" t="s">
        <v>319</v>
      </c>
      <c r="F35" t="s">
        <v>313</v>
      </c>
      <c r="H35" s="214">
        <v>447913.47</v>
      </c>
      <c r="L35" s="214">
        <f>L34-J23</f>
        <v>32844.309999999939</v>
      </c>
      <c r="O35">
        <v>142897.91</v>
      </c>
    </row>
    <row r="36" spans="1:15" x14ac:dyDescent="0.3">
      <c r="A36" s="212">
        <v>43922</v>
      </c>
      <c r="C36" s="215">
        <v>734137</v>
      </c>
      <c r="D36" t="s">
        <v>227</v>
      </c>
      <c r="E36" t="s">
        <v>320</v>
      </c>
      <c r="F36" t="s">
        <v>313</v>
      </c>
      <c r="I36" s="214">
        <v>447913.47</v>
      </c>
      <c r="L36">
        <v>32834.459755200136</v>
      </c>
      <c r="O36">
        <v>177974.96</v>
      </c>
    </row>
    <row r="37" spans="1:15" x14ac:dyDescent="0.3">
      <c r="A37" s="212">
        <v>43951</v>
      </c>
      <c r="C37" s="215">
        <v>738542</v>
      </c>
      <c r="D37" t="s">
        <v>227</v>
      </c>
      <c r="E37" t="s">
        <v>321</v>
      </c>
      <c r="F37" t="s">
        <v>313</v>
      </c>
      <c r="H37" s="214">
        <v>303062.18</v>
      </c>
      <c r="L37" s="214">
        <f>L35-L36</f>
        <v>9.8502447998034768</v>
      </c>
      <c r="O37">
        <v>136358.84</v>
      </c>
    </row>
    <row r="38" spans="1:15" x14ac:dyDescent="0.3">
      <c r="A38" s="212">
        <v>43952</v>
      </c>
      <c r="C38" s="215">
        <v>738542</v>
      </c>
      <c r="D38" t="s">
        <v>227</v>
      </c>
      <c r="E38" t="s">
        <v>322</v>
      </c>
      <c r="F38" t="s">
        <v>313</v>
      </c>
      <c r="I38" s="214">
        <v>303062.18</v>
      </c>
      <c r="O38">
        <v>36448.1</v>
      </c>
    </row>
    <row r="39" spans="1:15" x14ac:dyDescent="0.3">
      <c r="A39" s="212">
        <v>43982</v>
      </c>
      <c r="C39" s="215">
        <v>743322</v>
      </c>
      <c r="D39" t="s">
        <v>227</v>
      </c>
      <c r="E39" t="s">
        <v>323</v>
      </c>
      <c r="F39" t="s">
        <v>313</v>
      </c>
      <c r="H39" s="214">
        <v>341966.32</v>
      </c>
      <c r="O39">
        <v>50249.14</v>
      </c>
    </row>
    <row r="40" spans="1:15" x14ac:dyDescent="0.3">
      <c r="A40" s="212">
        <v>43983</v>
      </c>
      <c r="C40" s="215">
        <v>743322</v>
      </c>
      <c r="D40" t="s">
        <v>227</v>
      </c>
      <c r="E40" t="s">
        <v>324</v>
      </c>
      <c r="F40" t="s">
        <v>313</v>
      </c>
      <c r="I40" s="214">
        <v>341966.32</v>
      </c>
      <c r="O40">
        <v>82959.62</v>
      </c>
    </row>
    <row r="41" spans="1:15" x14ac:dyDescent="0.3">
      <c r="A41" s="212">
        <v>44012</v>
      </c>
      <c r="C41" s="215">
        <v>749520</v>
      </c>
      <c r="D41" t="s">
        <v>227</v>
      </c>
      <c r="E41" t="s">
        <v>325</v>
      </c>
      <c r="F41" t="s">
        <v>313</v>
      </c>
      <c r="H41" s="214">
        <v>311221.38</v>
      </c>
      <c r="O41">
        <v>392113.34</v>
      </c>
    </row>
    <row r="42" spans="1:15" x14ac:dyDescent="0.3">
      <c r="A42" s="212">
        <v>44013</v>
      </c>
      <c r="C42" s="215">
        <v>749520</v>
      </c>
      <c r="D42" t="s">
        <v>227</v>
      </c>
      <c r="E42" t="s">
        <v>326</v>
      </c>
      <c r="F42" t="s">
        <v>313</v>
      </c>
      <c r="I42" s="214">
        <v>311221.38</v>
      </c>
    </row>
    <row r="43" spans="1:15" x14ac:dyDescent="0.3">
      <c r="A43" s="212">
        <v>44043</v>
      </c>
      <c r="C43" s="215">
        <v>754619</v>
      </c>
      <c r="D43" t="s">
        <v>227</v>
      </c>
      <c r="E43" t="s">
        <v>327</v>
      </c>
      <c r="F43" t="s">
        <v>313</v>
      </c>
      <c r="H43" s="214">
        <v>346411.83</v>
      </c>
    </row>
    <row r="44" spans="1:15" x14ac:dyDescent="0.3">
      <c r="A44" s="212">
        <v>44044</v>
      </c>
      <c r="C44" s="215">
        <v>754619</v>
      </c>
      <c r="D44" t="s">
        <v>227</v>
      </c>
      <c r="E44" t="s">
        <v>328</v>
      </c>
      <c r="F44" t="s">
        <v>313</v>
      </c>
      <c r="I44" s="214">
        <v>346411.83</v>
      </c>
    </row>
    <row r="45" spans="1:15" x14ac:dyDescent="0.3">
      <c r="A45" s="212">
        <v>44074</v>
      </c>
      <c r="C45" s="215">
        <v>761297</v>
      </c>
      <c r="D45" t="s">
        <v>227</v>
      </c>
      <c r="E45" t="s">
        <v>329</v>
      </c>
      <c r="F45" t="s">
        <v>313</v>
      </c>
      <c r="H45" s="214">
        <v>344777.63</v>
      </c>
    </row>
    <row r="46" spans="1:15" x14ac:dyDescent="0.3">
      <c r="A46" s="212">
        <v>44074</v>
      </c>
      <c r="C46" s="215">
        <v>761300</v>
      </c>
      <c r="D46" t="s">
        <v>227</v>
      </c>
      <c r="E46" t="s">
        <v>330</v>
      </c>
      <c r="F46" t="s">
        <v>331</v>
      </c>
      <c r="I46" s="214">
        <v>142153.20000000001</v>
      </c>
    </row>
    <row r="47" spans="1:15" x14ac:dyDescent="0.3">
      <c r="A47" s="212">
        <v>44074</v>
      </c>
      <c r="C47" s="215">
        <v>761300</v>
      </c>
      <c r="D47" t="s">
        <v>227</v>
      </c>
      <c r="E47" t="s">
        <v>330</v>
      </c>
      <c r="F47" t="s">
        <v>331</v>
      </c>
      <c r="I47" s="214">
        <v>344777.63</v>
      </c>
    </row>
    <row r="48" spans="1:15" x14ac:dyDescent="0.3">
      <c r="A48" s="212">
        <v>44075</v>
      </c>
      <c r="C48" s="215">
        <v>761297</v>
      </c>
      <c r="D48" t="s">
        <v>227</v>
      </c>
      <c r="E48" t="s">
        <v>332</v>
      </c>
      <c r="F48" t="s">
        <v>313</v>
      </c>
      <c r="I48" s="214">
        <v>344777.63</v>
      </c>
    </row>
    <row r="49" spans="1:10" x14ac:dyDescent="0.3">
      <c r="A49" s="212">
        <v>44075</v>
      </c>
      <c r="C49" s="215">
        <v>761300</v>
      </c>
      <c r="D49" t="s">
        <v>227</v>
      </c>
      <c r="E49" t="s">
        <v>333</v>
      </c>
      <c r="F49" t="s">
        <v>331</v>
      </c>
      <c r="H49" s="214">
        <v>142153.20000000001</v>
      </c>
    </row>
    <row r="50" spans="1:10" x14ac:dyDescent="0.3">
      <c r="A50" s="212">
        <v>44075</v>
      </c>
      <c r="C50" s="215">
        <v>761300</v>
      </c>
      <c r="D50" t="s">
        <v>227</v>
      </c>
      <c r="E50" t="s">
        <v>333</v>
      </c>
      <c r="F50" t="s">
        <v>331</v>
      </c>
      <c r="H50" s="214">
        <v>344777.63</v>
      </c>
    </row>
    <row r="51" spans="1:10" x14ac:dyDescent="0.3">
      <c r="A51" s="212">
        <v>44104</v>
      </c>
      <c r="C51" s="215">
        <v>765329</v>
      </c>
      <c r="D51" t="s">
        <v>227</v>
      </c>
      <c r="E51" t="s">
        <v>334</v>
      </c>
      <c r="F51" t="s">
        <v>313</v>
      </c>
      <c r="I51" s="214">
        <v>217696.51</v>
      </c>
    </row>
    <row r="52" spans="1:10" x14ac:dyDescent="0.3">
      <c r="A52" s="212">
        <v>44105</v>
      </c>
      <c r="C52" s="215">
        <v>765329</v>
      </c>
      <c r="D52" t="s">
        <v>227</v>
      </c>
      <c r="E52" t="s">
        <v>335</v>
      </c>
      <c r="F52" t="s">
        <v>313</v>
      </c>
      <c r="H52" s="214">
        <v>217696.51</v>
      </c>
    </row>
    <row r="53" spans="1:10" x14ac:dyDescent="0.3">
      <c r="A53" s="212">
        <v>44135</v>
      </c>
      <c r="C53" s="215">
        <v>771549</v>
      </c>
      <c r="D53" t="s">
        <v>227</v>
      </c>
      <c r="E53" t="s">
        <v>336</v>
      </c>
      <c r="F53" t="s">
        <v>313</v>
      </c>
      <c r="I53" s="214">
        <v>256558.91</v>
      </c>
    </row>
    <row r="54" spans="1:10" x14ac:dyDescent="0.3">
      <c r="A54" s="212">
        <v>44136</v>
      </c>
      <c r="C54" s="215">
        <v>771549</v>
      </c>
      <c r="D54" t="s">
        <v>227</v>
      </c>
      <c r="E54" t="s">
        <v>337</v>
      </c>
      <c r="F54" t="s">
        <v>313</v>
      </c>
      <c r="H54" s="214">
        <v>256558.91</v>
      </c>
    </row>
    <row r="55" spans="1:10" x14ac:dyDescent="0.3">
      <c r="A55" s="212">
        <v>44165</v>
      </c>
      <c r="C55" s="215">
        <v>776715</v>
      </c>
      <c r="D55" t="s">
        <v>227</v>
      </c>
      <c r="E55" t="s">
        <v>338</v>
      </c>
      <c r="F55" t="s">
        <v>313</v>
      </c>
      <c r="I55" s="214">
        <v>616854.37</v>
      </c>
    </row>
    <row r="56" spans="1:10" x14ac:dyDescent="0.3">
      <c r="A56" s="212">
        <v>44166</v>
      </c>
      <c r="C56" s="215">
        <v>776715</v>
      </c>
      <c r="D56" t="s">
        <v>227</v>
      </c>
      <c r="E56" t="s">
        <v>339</v>
      </c>
      <c r="F56" t="s">
        <v>313</v>
      </c>
      <c r="H56" s="214">
        <v>616854.37</v>
      </c>
    </row>
    <row r="57" spans="1:10" x14ac:dyDescent="0.3">
      <c r="A57" s="212"/>
      <c r="C57" s="215"/>
      <c r="H57" s="214">
        <f>SUM(H31:H56)</f>
        <v>4302484.7300000004</v>
      </c>
      <c r="I57" s="214">
        <f>SUM(I31:I56)</f>
        <v>4302484.7300000004</v>
      </c>
      <c r="J57" s="214">
        <f>H57-I57</f>
        <v>0</v>
      </c>
    </row>
    <row r="58" spans="1:10" x14ac:dyDescent="0.3">
      <c r="A58" s="212"/>
      <c r="C58" s="215"/>
      <c r="I58" s="214"/>
    </row>
    <row r="59" spans="1:10" x14ac:dyDescent="0.3">
      <c r="A59" s="212"/>
      <c r="C59" s="215"/>
      <c r="I59" s="214"/>
    </row>
    <row r="60" spans="1:10" x14ac:dyDescent="0.3">
      <c r="A60" s="212"/>
      <c r="C60" s="215"/>
      <c r="I60" s="214"/>
    </row>
    <row r="61" spans="1:10" x14ac:dyDescent="0.3">
      <c r="A61" s="212"/>
      <c r="C61" s="215"/>
      <c r="I61" s="214"/>
    </row>
    <row r="62" spans="1:10" x14ac:dyDescent="0.3">
      <c r="A62" s="212"/>
      <c r="C62" s="215"/>
      <c r="I62" s="214"/>
    </row>
    <row r="63" spans="1:10" x14ac:dyDescent="0.3">
      <c r="A63" s="212"/>
      <c r="C63" s="215"/>
      <c r="I63" s="214"/>
    </row>
    <row r="64" spans="1:10" x14ac:dyDescent="0.3">
      <c r="A64" s="212"/>
      <c r="C64" s="215"/>
      <c r="I64" s="214"/>
    </row>
    <row r="65" spans="1:9" x14ac:dyDescent="0.3">
      <c r="A65" s="212"/>
      <c r="C65" s="215"/>
      <c r="I65" s="214"/>
    </row>
    <row r="66" spans="1:9" x14ac:dyDescent="0.3">
      <c r="A66" s="212"/>
      <c r="C66" s="215"/>
      <c r="I66" s="214"/>
    </row>
    <row r="67" spans="1:9" x14ac:dyDescent="0.3">
      <c r="A67" s="212"/>
      <c r="C67" s="215"/>
      <c r="I67" s="214"/>
    </row>
    <row r="68" spans="1:9" x14ac:dyDescent="0.3">
      <c r="A68" s="212"/>
      <c r="C68" s="215"/>
      <c r="I68" s="214"/>
    </row>
    <row r="69" spans="1:9" x14ac:dyDescent="0.3">
      <c r="A69" s="212"/>
      <c r="C69" s="215"/>
      <c r="I69" s="214"/>
    </row>
    <row r="70" spans="1:9" x14ac:dyDescent="0.3">
      <c r="A70" s="212"/>
      <c r="C70" s="215"/>
      <c r="I70" s="214"/>
    </row>
    <row r="71" spans="1:9" x14ac:dyDescent="0.3">
      <c r="A71" s="212"/>
      <c r="C71" s="215"/>
      <c r="I71" s="214"/>
    </row>
    <row r="72" spans="1:9" x14ac:dyDescent="0.3">
      <c r="A72" s="212"/>
      <c r="C72" s="215"/>
      <c r="I72" s="214"/>
    </row>
    <row r="73" spans="1:9" x14ac:dyDescent="0.3">
      <c r="A73" s="212"/>
      <c r="C73" s="215"/>
      <c r="I73" s="214"/>
    </row>
    <row r="74" spans="1:9" x14ac:dyDescent="0.3">
      <c r="A74" s="212"/>
      <c r="C74" s="215"/>
      <c r="I74" s="214"/>
    </row>
    <row r="75" spans="1:9" x14ac:dyDescent="0.3">
      <c r="A75" s="212"/>
      <c r="C75" s="215"/>
      <c r="I75" s="214"/>
    </row>
    <row r="76" spans="1:9" x14ac:dyDescent="0.3">
      <c r="A76" s="212"/>
      <c r="C76" s="215"/>
      <c r="I76" s="214"/>
    </row>
    <row r="77" spans="1:9" x14ac:dyDescent="0.3">
      <c r="A77" s="212"/>
      <c r="C77" s="215"/>
      <c r="I77" s="214"/>
    </row>
    <row r="78" spans="1:9" x14ac:dyDescent="0.3">
      <c r="A78" s="212"/>
      <c r="C78" s="215"/>
      <c r="I78" s="214"/>
    </row>
    <row r="79" spans="1:9" x14ac:dyDescent="0.3">
      <c r="A79" t="s">
        <v>195</v>
      </c>
      <c r="B79" s="212">
        <v>44397</v>
      </c>
      <c r="C79" s="213">
        <v>0.35920138888888892</v>
      </c>
      <c r="D79" t="s">
        <v>196</v>
      </c>
      <c r="E79" t="s">
        <v>197</v>
      </c>
      <c r="F79">
        <v>2</v>
      </c>
    </row>
    <row r="80" spans="1:9" x14ac:dyDescent="0.3">
      <c r="A80" t="s">
        <v>198</v>
      </c>
      <c r="B80" s="212">
        <v>44397</v>
      </c>
      <c r="C80" t="s">
        <v>199</v>
      </c>
      <c r="D80">
        <v>2020</v>
      </c>
      <c r="E80" t="s">
        <v>200</v>
      </c>
      <c r="F80" t="s">
        <v>201</v>
      </c>
    </row>
    <row r="81" spans="1:9" x14ac:dyDescent="0.3">
      <c r="A81" t="s">
        <v>202</v>
      </c>
    </row>
    <row r="82" spans="1:9" x14ac:dyDescent="0.3">
      <c r="A82" t="s">
        <v>203</v>
      </c>
    </row>
    <row r="83" spans="1:9" x14ac:dyDescent="0.3">
      <c r="A83" t="s">
        <v>218</v>
      </c>
      <c r="B83" t="s">
        <v>219</v>
      </c>
      <c r="C83" t="s">
        <v>220</v>
      </c>
      <c r="D83" t="s">
        <v>221</v>
      </c>
      <c r="E83" t="s">
        <v>222</v>
      </c>
      <c r="F83" t="s">
        <v>214</v>
      </c>
      <c r="G83" t="s">
        <v>223</v>
      </c>
      <c r="H83" t="s">
        <v>224</v>
      </c>
    </row>
    <row r="84" spans="1:9" x14ac:dyDescent="0.3">
      <c r="A84" t="s">
        <v>225</v>
      </c>
      <c r="B84" t="s">
        <v>226</v>
      </c>
    </row>
    <row r="85" spans="1:9" x14ac:dyDescent="0.3">
      <c r="A85" t="s">
        <v>297</v>
      </c>
      <c r="B85" t="s">
        <v>298</v>
      </c>
    </row>
    <row r="86" spans="1:9" x14ac:dyDescent="0.3">
      <c r="A86" t="s">
        <v>299</v>
      </c>
      <c r="B86" s="214">
        <v>6868683.9100000001</v>
      </c>
      <c r="C86" s="214">
        <v>9490114.5600000005</v>
      </c>
    </row>
    <row r="87" spans="1:9" x14ac:dyDescent="0.3">
      <c r="A87" t="s">
        <v>300</v>
      </c>
      <c r="B87">
        <v>49</v>
      </c>
      <c r="C87" t="s">
        <v>301</v>
      </c>
      <c r="D87" t="s">
        <v>302</v>
      </c>
    </row>
    <row r="92" spans="1:9" x14ac:dyDescent="0.3">
      <c r="A92" s="212">
        <v>43890</v>
      </c>
      <c r="C92" s="215">
        <v>730966</v>
      </c>
      <c r="D92" t="s">
        <v>227</v>
      </c>
      <c r="E92" t="s">
        <v>340</v>
      </c>
      <c r="F92" t="s">
        <v>313</v>
      </c>
      <c r="H92" s="214">
        <v>314935.14</v>
      </c>
    </row>
    <row r="93" spans="1:9" x14ac:dyDescent="0.3">
      <c r="A93" s="212">
        <v>43890</v>
      </c>
      <c r="C93" s="215">
        <v>730979</v>
      </c>
      <c r="D93" t="s">
        <v>227</v>
      </c>
      <c r="E93" t="s">
        <v>341</v>
      </c>
      <c r="F93" t="s">
        <v>342</v>
      </c>
      <c r="I93" s="214">
        <v>314935.14</v>
      </c>
    </row>
    <row r="94" spans="1:9" x14ac:dyDescent="0.3">
      <c r="A94" s="212">
        <v>43891</v>
      </c>
      <c r="C94" s="215">
        <v>730966</v>
      </c>
      <c r="D94" t="s">
        <v>227</v>
      </c>
      <c r="E94" t="s">
        <v>343</v>
      </c>
      <c r="F94" t="s">
        <v>313</v>
      </c>
      <c r="I94" s="214">
        <v>314935.14</v>
      </c>
    </row>
    <row r="95" spans="1:9" x14ac:dyDescent="0.3">
      <c r="A95" s="212">
        <v>43891</v>
      </c>
      <c r="C95" s="215">
        <v>730979</v>
      </c>
      <c r="D95" t="s">
        <v>227</v>
      </c>
      <c r="E95" t="s">
        <v>344</v>
      </c>
      <c r="F95" t="s">
        <v>342</v>
      </c>
      <c r="H95" s="214">
        <v>314935.14</v>
      </c>
    </row>
    <row r="96" spans="1:9" x14ac:dyDescent="0.3">
      <c r="A96" s="212">
        <v>44135</v>
      </c>
      <c r="C96" s="215">
        <v>771545</v>
      </c>
      <c r="D96" t="s">
        <v>227</v>
      </c>
      <c r="E96" t="s">
        <v>345</v>
      </c>
      <c r="F96" t="s">
        <v>346</v>
      </c>
      <c r="I96" s="214">
        <v>256558.91</v>
      </c>
    </row>
    <row r="97" spans="1:9" x14ac:dyDescent="0.3">
      <c r="A97" s="212">
        <v>44135</v>
      </c>
      <c r="C97" s="215">
        <v>771547</v>
      </c>
      <c r="D97" t="s">
        <v>227</v>
      </c>
      <c r="E97" t="s">
        <v>347</v>
      </c>
      <c r="F97" t="s">
        <v>348</v>
      </c>
      <c r="H97" s="214">
        <v>256558.91</v>
      </c>
    </row>
    <row r="98" spans="1:9" x14ac:dyDescent="0.3">
      <c r="A98" s="212">
        <v>44165</v>
      </c>
      <c r="C98" s="215">
        <v>776617</v>
      </c>
      <c r="D98" t="s">
        <v>227</v>
      </c>
      <c r="E98" t="s">
        <v>349</v>
      </c>
      <c r="F98" t="s">
        <v>313</v>
      </c>
      <c r="I98" s="214">
        <v>616261.04</v>
      </c>
    </row>
    <row r="99" spans="1:9" x14ac:dyDescent="0.3">
      <c r="A99" s="212">
        <v>44165</v>
      </c>
      <c r="C99" s="215">
        <v>776705</v>
      </c>
      <c r="D99" t="s">
        <v>227</v>
      </c>
      <c r="E99" t="s">
        <v>350</v>
      </c>
      <c r="F99" t="s">
        <v>351</v>
      </c>
      <c r="H99" s="214">
        <v>616261.04</v>
      </c>
    </row>
    <row r="100" spans="1:9" x14ac:dyDescent="0.3">
      <c r="A100" s="212">
        <v>44166</v>
      </c>
      <c r="C100" s="215">
        <v>776617</v>
      </c>
      <c r="D100" t="s">
        <v>227</v>
      </c>
      <c r="E100" t="s">
        <v>352</v>
      </c>
      <c r="F100" t="s">
        <v>313</v>
      </c>
      <c r="H100" s="214">
        <v>616261.04</v>
      </c>
    </row>
    <row r="101" spans="1:9" x14ac:dyDescent="0.3">
      <c r="A101" s="212">
        <v>44166</v>
      </c>
      <c r="C101" s="215">
        <v>776705</v>
      </c>
      <c r="D101" t="s">
        <v>227</v>
      </c>
      <c r="E101" t="s">
        <v>353</v>
      </c>
      <c r="F101" t="s">
        <v>351</v>
      </c>
      <c r="I101" s="214">
        <v>616261.04</v>
      </c>
    </row>
    <row r="102" spans="1:9" x14ac:dyDescent="0.3">
      <c r="A102" s="212">
        <v>44136</v>
      </c>
      <c r="C102" s="215">
        <v>771545</v>
      </c>
      <c r="D102" t="s">
        <v>227</v>
      </c>
      <c r="E102" t="s">
        <v>354</v>
      </c>
      <c r="F102" t="s">
        <v>346</v>
      </c>
      <c r="H102" s="214">
        <v>256558.91</v>
      </c>
    </row>
    <row r="103" spans="1:9" x14ac:dyDescent="0.3">
      <c r="A103" s="212">
        <v>44136</v>
      </c>
      <c r="C103" s="215">
        <v>771547</v>
      </c>
      <c r="D103" t="s">
        <v>227</v>
      </c>
      <c r="E103" t="s">
        <v>355</v>
      </c>
      <c r="F103" t="s">
        <v>348</v>
      </c>
      <c r="I103" s="214">
        <v>256558.91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A8F5D-D21B-4C64-8E67-E33087A15BAA}">
  <dimension ref="A1:Q68"/>
  <sheetViews>
    <sheetView topLeftCell="B18" workbookViewId="0">
      <selection activeCell="C31" sqref="C31:E43"/>
    </sheetView>
  </sheetViews>
  <sheetFormatPr defaultRowHeight="14.4" x14ac:dyDescent="0.3"/>
  <cols>
    <col min="1" max="1" width="9.33203125" hidden="1" customWidth="1"/>
    <col min="2" max="2" width="5.5546875" customWidth="1"/>
    <col min="3" max="3" width="28" customWidth="1"/>
    <col min="4" max="4" width="17.44140625" customWidth="1"/>
    <col min="5" max="17" width="16.5546875" customWidth="1"/>
  </cols>
  <sheetData>
    <row r="1" spans="1:17" x14ac:dyDescent="0.3">
      <c r="A1" t="s">
        <v>527</v>
      </c>
    </row>
    <row r="2" spans="1:17" x14ac:dyDescent="0.3"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7" ht="17.399999999999999" x14ac:dyDescent="0.35">
      <c r="C3" s="367" t="s">
        <v>528</v>
      </c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6" spans="1:17" x14ac:dyDescent="0.3">
      <c r="D6" s="227" t="s">
        <v>11</v>
      </c>
      <c r="E6" s="227" t="s">
        <v>0</v>
      </c>
      <c r="F6" s="227" t="s">
        <v>1</v>
      </c>
      <c r="G6" s="227" t="s">
        <v>2</v>
      </c>
      <c r="H6" s="227" t="s">
        <v>3</v>
      </c>
      <c r="I6" s="227" t="s">
        <v>4</v>
      </c>
      <c r="J6" s="227" t="s">
        <v>356</v>
      </c>
      <c r="K6" s="227" t="s">
        <v>5</v>
      </c>
      <c r="L6" s="227" t="s">
        <v>6</v>
      </c>
      <c r="M6" s="227" t="s">
        <v>7</v>
      </c>
      <c r="N6" s="227" t="s">
        <v>8</v>
      </c>
      <c r="O6" s="227" t="s">
        <v>9</v>
      </c>
      <c r="P6" s="227" t="s">
        <v>10</v>
      </c>
      <c r="Q6" s="227" t="s">
        <v>11</v>
      </c>
    </row>
    <row r="7" spans="1:17" x14ac:dyDescent="0.3">
      <c r="E7" s="228"/>
      <c r="F7" s="1"/>
      <c r="G7" s="5"/>
      <c r="H7" s="229"/>
      <c r="I7" s="1"/>
      <c r="K7" s="1"/>
      <c r="L7" s="1"/>
      <c r="M7" s="1"/>
      <c r="N7" s="5"/>
      <c r="O7" s="229"/>
      <c r="P7" s="1"/>
      <c r="Q7" s="5"/>
    </row>
    <row r="8" spans="1:17" x14ac:dyDescent="0.3">
      <c r="C8" s="230" t="s">
        <v>357</v>
      </c>
      <c r="D8" s="231">
        <v>-311397.83</v>
      </c>
      <c r="E8" s="231">
        <v>-273690.58</v>
      </c>
      <c r="F8" s="231">
        <v>-250185.12000000002</v>
      </c>
      <c r="G8" s="231">
        <v>-237498.46</v>
      </c>
      <c r="H8" s="231">
        <v>-268505.26</v>
      </c>
      <c r="I8" s="231">
        <v>-252530.31000000003</v>
      </c>
      <c r="K8" s="232">
        <v>-262381.33999999997</v>
      </c>
      <c r="L8" s="232">
        <v>-367651.20999999996</v>
      </c>
      <c r="M8" s="232">
        <v>-386536.11000000004</v>
      </c>
      <c r="N8" s="232">
        <v>-227306.39</v>
      </c>
      <c r="O8" s="232">
        <v>-173893.78999999998</v>
      </c>
      <c r="P8" s="232">
        <v>-23996.120000000003</v>
      </c>
      <c r="Q8" s="232">
        <v>-204155.75999999998</v>
      </c>
    </row>
    <row r="9" spans="1:17" x14ac:dyDescent="0.3">
      <c r="C9" s="230" t="s">
        <v>358</v>
      </c>
      <c r="D9" s="231">
        <v>465889.11</v>
      </c>
      <c r="E9" s="231">
        <v>346586.28</v>
      </c>
      <c r="F9" s="231">
        <v>229782.13</v>
      </c>
      <c r="G9" s="231">
        <v>275491.95</v>
      </c>
      <c r="H9" s="231">
        <v>424922.21</v>
      </c>
      <c r="I9" s="231">
        <v>358052.52</v>
      </c>
      <c r="K9" s="232">
        <v>410028.71</v>
      </c>
      <c r="L9" s="232">
        <v>101212.49</v>
      </c>
      <c r="M9" s="232">
        <v>-53691.64</v>
      </c>
      <c r="N9" s="232">
        <v>171406.63</v>
      </c>
      <c r="O9" s="232">
        <v>357960.22</v>
      </c>
      <c r="P9" s="232">
        <v>281085.15999999997</v>
      </c>
      <c r="Q9" s="232">
        <v>73848.789999999994</v>
      </c>
    </row>
    <row r="10" spans="1:17" x14ac:dyDescent="0.3">
      <c r="C10" s="230" t="s">
        <v>359</v>
      </c>
      <c r="D10" s="233"/>
      <c r="E10" s="233">
        <v>23505.54</v>
      </c>
      <c r="F10" s="234">
        <v>-2145.33</v>
      </c>
      <c r="G10" s="234">
        <v>-44081.85</v>
      </c>
      <c r="H10" s="234">
        <v>12336.58</v>
      </c>
      <c r="I10" s="234">
        <v>-11876.83</v>
      </c>
      <c r="K10" s="234">
        <v>-109930.7</v>
      </c>
      <c r="L10" s="234">
        <v>5699.68</v>
      </c>
      <c r="M10" s="234">
        <v>170658.03</v>
      </c>
      <c r="N10" s="234">
        <v>50574.3</v>
      </c>
      <c r="O10" s="234">
        <v>138262.75</v>
      </c>
      <c r="P10" s="234">
        <v>-189604.38</v>
      </c>
      <c r="Q10" s="234">
        <v>-33940.400000000001</v>
      </c>
    </row>
    <row r="11" spans="1:17" x14ac:dyDescent="0.3">
      <c r="C11" s="237"/>
      <c r="D11" s="238">
        <v>154491.27999999997</v>
      </c>
      <c r="E11" s="238">
        <v>96401.24000000002</v>
      </c>
      <c r="F11" s="239">
        <v>-22548.320000000022</v>
      </c>
      <c r="G11" s="239">
        <v>-6088.3599999999788</v>
      </c>
      <c r="H11" s="240">
        <v>168753.53</v>
      </c>
      <c r="I11" s="239">
        <v>93645.37999999999</v>
      </c>
      <c r="K11" s="239">
        <v>37716.670000000056</v>
      </c>
      <c r="L11" s="239">
        <v>-260739.03999999998</v>
      </c>
      <c r="M11" s="239">
        <v>-269569.72000000009</v>
      </c>
      <c r="N11" s="239">
        <v>-5325.4600000000064</v>
      </c>
      <c r="O11" s="239">
        <v>322329.18</v>
      </c>
      <c r="P11" s="239">
        <v>67484.659999999974</v>
      </c>
      <c r="Q11" s="239">
        <v>-164247.37</v>
      </c>
    </row>
    <row r="12" spans="1:17" x14ac:dyDescent="0.3">
      <c r="C12" s="237"/>
      <c r="D12" s="231"/>
      <c r="E12" s="231"/>
      <c r="F12" s="232"/>
      <c r="G12" s="232"/>
      <c r="H12" s="241"/>
      <c r="I12" s="232"/>
      <c r="K12" s="232"/>
      <c r="L12" s="232"/>
      <c r="M12" s="232"/>
      <c r="N12" s="232"/>
      <c r="O12" s="232"/>
      <c r="P12" s="232"/>
      <c r="Q12" s="232"/>
    </row>
    <row r="13" spans="1:17" x14ac:dyDescent="0.3">
      <c r="C13" s="230" t="s">
        <v>499</v>
      </c>
      <c r="D13" s="231"/>
      <c r="E13" s="231">
        <v>-64194.76</v>
      </c>
      <c r="F13" s="231">
        <v>-22548.400000000001</v>
      </c>
      <c r="G13" s="231">
        <v>-6088.36</v>
      </c>
      <c r="H13" s="231">
        <v>168753.53</v>
      </c>
      <c r="I13" s="231">
        <v>93645.38</v>
      </c>
      <c r="K13" s="232">
        <v>37716.67</v>
      </c>
      <c r="L13" s="232">
        <v>-260739.04</v>
      </c>
      <c r="M13" s="232">
        <v>-269569.71999999997</v>
      </c>
      <c r="N13" s="232">
        <v>-5325.46</v>
      </c>
      <c r="O13" s="232">
        <v>322329.18</v>
      </c>
      <c r="P13" s="232">
        <v>67484.66</v>
      </c>
      <c r="Q13" s="232">
        <v>-164247.37</v>
      </c>
    </row>
    <row r="14" spans="1:17" x14ac:dyDescent="0.3">
      <c r="C14" s="237"/>
      <c r="D14" s="231"/>
      <c r="E14" s="231"/>
      <c r="F14" s="232"/>
      <c r="G14" s="232"/>
      <c r="H14" s="241"/>
      <c r="I14" s="232"/>
      <c r="K14" s="232"/>
      <c r="L14" s="232"/>
      <c r="M14" s="232"/>
      <c r="N14" s="232"/>
      <c r="O14" s="232"/>
      <c r="P14" s="232"/>
      <c r="Q14" s="232"/>
    </row>
    <row r="15" spans="1:17" x14ac:dyDescent="0.3">
      <c r="C15" s="230" t="s">
        <v>52</v>
      </c>
      <c r="D15" s="231"/>
      <c r="E15" s="231">
        <v>160596</v>
      </c>
      <c r="F15" s="232"/>
      <c r="G15" s="232"/>
      <c r="H15" s="241"/>
      <c r="I15" s="232"/>
      <c r="K15" s="232"/>
      <c r="L15" s="232"/>
      <c r="M15" s="232"/>
      <c r="N15" s="232"/>
      <c r="O15" s="232"/>
      <c r="P15" s="232"/>
      <c r="Q15" s="232"/>
    </row>
    <row r="16" spans="1:17" x14ac:dyDescent="0.3">
      <c r="C16" s="237"/>
      <c r="D16" s="231"/>
      <c r="E16" s="231"/>
      <c r="F16" s="232"/>
      <c r="G16" s="232"/>
      <c r="H16" s="241"/>
      <c r="I16" s="232"/>
      <c r="K16" s="232"/>
      <c r="L16" s="232"/>
      <c r="M16" s="232"/>
      <c r="N16" s="232"/>
      <c r="O16" s="232"/>
      <c r="P16" s="232"/>
      <c r="Q16" s="232"/>
    </row>
    <row r="17" spans="3:17" x14ac:dyDescent="0.3">
      <c r="C17" s="230" t="s">
        <v>500</v>
      </c>
      <c r="D17" s="231"/>
      <c r="E17" s="231"/>
      <c r="F17" s="232"/>
      <c r="G17" s="232"/>
      <c r="H17" s="241"/>
      <c r="I17" s="232"/>
      <c r="K17" s="232"/>
      <c r="L17" s="232"/>
      <c r="M17" s="232"/>
      <c r="N17" s="232"/>
      <c r="O17" s="232"/>
      <c r="P17" s="232"/>
      <c r="Q17" s="232"/>
    </row>
    <row r="18" spans="3:17" x14ac:dyDescent="0.3">
      <c r="C18" s="237"/>
      <c r="D18" s="231"/>
      <c r="E18" s="231"/>
      <c r="F18" s="232"/>
      <c r="G18" s="232"/>
      <c r="H18" s="241"/>
      <c r="I18" s="232"/>
      <c r="K18" s="232"/>
      <c r="L18" s="232"/>
      <c r="M18" s="232"/>
      <c r="N18" s="232"/>
      <c r="O18" s="232"/>
      <c r="P18" s="232"/>
      <c r="Q18" s="232"/>
    </row>
    <row r="19" spans="3:17" x14ac:dyDescent="0.3">
      <c r="C19" s="230" t="s">
        <v>362</v>
      </c>
      <c r="D19" s="231"/>
      <c r="E19" s="231">
        <v>96401.239999999991</v>
      </c>
      <c r="F19" s="232">
        <v>-22548.400000000001</v>
      </c>
      <c r="G19" s="232">
        <v>-6088.36</v>
      </c>
      <c r="H19" s="241">
        <v>168753.53</v>
      </c>
      <c r="I19" s="232">
        <v>93645.38</v>
      </c>
      <c r="K19" s="232">
        <v>37716.67</v>
      </c>
      <c r="L19" s="232">
        <v>-260739.04</v>
      </c>
      <c r="M19" s="232">
        <v>-269569.71999999997</v>
      </c>
      <c r="N19" s="232">
        <v>-5325.46</v>
      </c>
      <c r="O19" s="232">
        <v>322329.18</v>
      </c>
      <c r="P19" s="232">
        <v>67484.66</v>
      </c>
      <c r="Q19" s="232">
        <v>-164247.37</v>
      </c>
    </row>
    <row r="20" spans="3:17" x14ac:dyDescent="0.3">
      <c r="C20" s="237"/>
      <c r="D20" s="231"/>
      <c r="E20" s="231"/>
      <c r="F20" s="232"/>
      <c r="G20" s="232"/>
      <c r="H20" s="241"/>
      <c r="I20" s="232"/>
      <c r="K20" s="232"/>
      <c r="L20" s="232"/>
      <c r="M20" s="232"/>
      <c r="N20" s="232"/>
      <c r="O20" s="232"/>
      <c r="P20" s="232"/>
      <c r="Q20" s="232"/>
    </row>
    <row r="21" spans="3:17" x14ac:dyDescent="0.3">
      <c r="C21" s="237"/>
      <c r="D21" s="231"/>
      <c r="E21" s="231"/>
      <c r="F21" s="232"/>
      <c r="G21" s="232"/>
      <c r="H21" s="241"/>
      <c r="I21" s="232"/>
      <c r="K21" s="232"/>
      <c r="L21" s="242"/>
      <c r="M21" s="232"/>
      <c r="N21" s="232"/>
      <c r="O21" s="232"/>
      <c r="P21" s="232"/>
      <c r="Q21" s="232"/>
    </row>
    <row r="22" spans="3:17" ht="15" thickBot="1" x14ac:dyDescent="0.35">
      <c r="C22" s="243" t="s">
        <v>363</v>
      </c>
      <c r="D22" s="244"/>
      <c r="E22" s="244">
        <v>0</v>
      </c>
      <c r="F22" s="245">
        <v>7.9999999979918357E-2</v>
      </c>
      <c r="G22" s="245">
        <v>2.0918378140777349E-11</v>
      </c>
      <c r="H22" s="246">
        <v>0</v>
      </c>
      <c r="I22" s="245">
        <v>0</v>
      </c>
      <c r="J22" s="246">
        <v>0</v>
      </c>
      <c r="K22" s="245">
        <v>5.8207660913467407E-11</v>
      </c>
      <c r="L22" s="246">
        <v>2.9103830456733704E-11</v>
      </c>
      <c r="M22" s="245">
        <v>-1.1641532182693481E-10</v>
      </c>
      <c r="N22" s="245">
        <v>0</v>
      </c>
      <c r="O22" s="245">
        <v>0</v>
      </c>
      <c r="P22" s="245">
        <v>0</v>
      </c>
      <c r="Q22" s="245">
        <v>0</v>
      </c>
    </row>
    <row r="23" spans="3:17" ht="15" thickTop="1" x14ac:dyDescent="0.3"/>
    <row r="25" spans="3:17" x14ac:dyDescent="0.3">
      <c r="D25" s="46" t="s">
        <v>364</v>
      </c>
      <c r="G25" s="47" t="s">
        <v>365</v>
      </c>
    </row>
    <row r="27" spans="3:17" x14ac:dyDescent="0.3">
      <c r="C27" t="s">
        <v>524</v>
      </c>
      <c r="D27" s="247">
        <v>273690.58</v>
      </c>
      <c r="F27" t="s">
        <v>367</v>
      </c>
      <c r="G27" s="236">
        <f>SUM(E8:Q8)</f>
        <v>-2928330.4499999997</v>
      </c>
    </row>
    <row r="28" spans="3:17" x14ac:dyDescent="0.3">
      <c r="C28" t="s">
        <v>525</v>
      </c>
      <c r="D28" s="247">
        <v>-264233.27</v>
      </c>
      <c r="F28" t="s">
        <v>369</v>
      </c>
      <c r="G28" s="236">
        <f>SUM(E9:Q9)</f>
        <v>2976685.45</v>
      </c>
    </row>
    <row r="29" spans="3:17" ht="15" thickBot="1" x14ac:dyDescent="0.35">
      <c r="C29" t="s">
        <v>45</v>
      </c>
      <c r="D29" s="248">
        <f>SUM(D27:D28)</f>
        <v>9457.3099999999977</v>
      </c>
      <c r="F29" t="s">
        <v>45</v>
      </c>
      <c r="G29" s="248">
        <f>SUM(G27:G28)</f>
        <v>48355.000000000466</v>
      </c>
    </row>
    <row r="30" spans="3:17" ht="15" thickTop="1" x14ac:dyDescent="0.3">
      <c r="D30" s="247"/>
    </row>
    <row r="31" spans="3:17" x14ac:dyDescent="0.3">
      <c r="D31" s="247"/>
    </row>
    <row r="32" spans="3:17" x14ac:dyDescent="0.3">
      <c r="C32" t="s">
        <v>375</v>
      </c>
      <c r="D32" s="247"/>
      <c r="F32" s="237" t="s">
        <v>371</v>
      </c>
      <c r="G32" s="236"/>
    </row>
    <row r="33" spans="3:7" x14ac:dyDescent="0.3">
      <c r="C33" t="s">
        <v>521</v>
      </c>
      <c r="D33" s="247"/>
      <c r="F33" s="237" t="s">
        <v>373</v>
      </c>
      <c r="G33" s="236"/>
    </row>
    <row r="34" spans="3:7" ht="15" thickBot="1" x14ac:dyDescent="0.35">
      <c r="C34" t="s">
        <v>45</v>
      </c>
      <c r="D34" s="248"/>
    </row>
    <row r="35" spans="3:7" ht="15.6" thickTop="1" thickBot="1" x14ac:dyDescent="0.35">
      <c r="D35" s="247"/>
      <c r="F35" s="237" t="s">
        <v>374</v>
      </c>
      <c r="G35" s="64">
        <f>G29+SUM(G32)</f>
        <v>48355.000000000466</v>
      </c>
    </row>
    <row r="36" spans="3:7" ht="15" thickTop="1" x14ac:dyDescent="0.3">
      <c r="D36" s="247"/>
    </row>
    <row r="37" spans="3:7" x14ac:dyDescent="0.3">
      <c r="C37" t="s">
        <v>522</v>
      </c>
      <c r="D37" s="247"/>
      <c r="G37" s="62"/>
    </row>
    <row r="38" spans="3:7" x14ac:dyDescent="0.3">
      <c r="C38" t="s">
        <v>523</v>
      </c>
      <c r="D38" s="247"/>
    </row>
    <row r="39" spans="3:7" ht="15" thickBot="1" x14ac:dyDescent="0.35">
      <c r="C39" t="s">
        <v>45</v>
      </c>
      <c r="D39" s="248"/>
      <c r="F39" s="62"/>
    </row>
    <row r="40" spans="3:7" ht="15" thickTop="1" x14ac:dyDescent="0.3"/>
    <row r="43" spans="3:7" x14ac:dyDescent="0.3">
      <c r="C43" t="s">
        <v>377</v>
      </c>
    </row>
    <row r="44" spans="3:7" x14ac:dyDescent="0.3">
      <c r="C44" t="s">
        <v>132</v>
      </c>
      <c r="D44" s="62">
        <f>G35</f>
        <v>48355.000000000466</v>
      </c>
    </row>
    <row r="46" spans="3:7" x14ac:dyDescent="0.3">
      <c r="C46" t="s">
        <v>378</v>
      </c>
      <c r="D46" s="236">
        <f>-G32</f>
        <v>0</v>
      </c>
    </row>
    <row r="48" spans="3:7" x14ac:dyDescent="0.3">
      <c r="C48" t="s">
        <v>379</v>
      </c>
      <c r="D48" s="236"/>
    </row>
    <row r="50" spans="3:7" x14ac:dyDescent="0.3">
      <c r="C50" t="s">
        <v>526</v>
      </c>
      <c r="D50" s="236">
        <v>-160596</v>
      </c>
      <c r="G50" s="62"/>
    </row>
    <row r="52" spans="3:7" x14ac:dyDescent="0.3">
      <c r="C52" t="s">
        <v>138</v>
      </c>
      <c r="D52" s="236">
        <f>D29</f>
        <v>9457.3099999999977</v>
      </c>
      <c r="E52" s="251">
        <f>D44+D52+D46</f>
        <v>57812.310000000463</v>
      </c>
      <c r="F52" s="62"/>
    </row>
    <row r="54" spans="3:7" ht="15" thickBot="1" x14ac:dyDescent="0.35">
      <c r="C54" t="s">
        <v>381</v>
      </c>
      <c r="D54" s="64">
        <f>SUM(D44:D52)</f>
        <v>-102783.68999999954</v>
      </c>
    </row>
    <row r="55" spans="3:7" ht="15" thickTop="1" x14ac:dyDescent="0.3">
      <c r="D55" s="39">
        <f>86596.59-189380.28</f>
        <v>-102783.69</v>
      </c>
    </row>
    <row r="56" spans="3:7" x14ac:dyDescent="0.3">
      <c r="D56" s="62">
        <f>D54-D55</f>
        <v>4.6566128730773926E-10</v>
      </c>
    </row>
    <row r="57" spans="3:7" x14ac:dyDescent="0.3">
      <c r="C57" s="47" t="s">
        <v>382</v>
      </c>
      <c r="F57" s="62"/>
    </row>
    <row r="59" spans="3:7" x14ac:dyDescent="0.3">
      <c r="C59" s="237" t="s">
        <v>373</v>
      </c>
      <c r="D59" s="236">
        <f>G33</f>
        <v>0</v>
      </c>
    </row>
    <row r="60" spans="3:7" x14ac:dyDescent="0.3">
      <c r="C60" s="237" t="s">
        <v>371</v>
      </c>
      <c r="D60" s="236">
        <f>G32</f>
        <v>0</v>
      </c>
    </row>
    <row r="61" spans="3:7" x14ac:dyDescent="0.3">
      <c r="C61" s="237" t="s">
        <v>380</v>
      </c>
      <c r="D61" s="236">
        <f>-D50</f>
        <v>160596</v>
      </c>
    </row>
    <row r="62" spans="3:7" x14ac:dyDescent="0.3">
      <c r="C62" s="237"/>
    </row>
    <row r="63" spans="3:7" x14ac:dyDescent="0.3">
      <c r="C63" s="237" t="s">
        <v>383</v>
      </c>
      <c r="D63" s="236">
        <f>D34</f>
        <v>0</v>
      </c>
    </row>
    <row r="64" spans="3:7" x14ac:dyDescent="0.3">
      <c r="C64" s="237" t="s">
        <v>384</v>
      </c>
      <c r="D64" s="236">
        <f>D39</f>
        <v>0</v>
      </c>
    </row>
    <row r="65" spans="3:4" x14ac:dyDescent="0.3">
      <c r="C65" s="237" t="s">
        <v>385</v>
      </c>
      <c r="D65" s="236"/>
    </row>
    <row r="67" spans="3:4" ht="15" thickBot="1" x14ac:dyDescent="0.35">
      <c r="D67" s="249">
        <f>SUM(D59:D65)</f>
        <v>160596</v>
      </c>
    </row>
    <row r="68" spans="3:4" ht="15" thickTop="1" x14ac:dyDescent="0.3"/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4E3C9-5EF4-44F9-B6FE-D011738A1EAB}">
  <sheetPr>
    <tabColor rgb="FFFFC000"/>
  </sheetPr>
  <dimension ref="B5:T67"/>
  <sheetViews>
    <sheetView workbookViewId="0">
      <selection activeCell="E1" sqref="E1"/>
    </sheetView>
  </sheetViews>
  <sheetFormatPr defaultRowHeight="14.4" x14ac:dyDescent="0.3"/>
  <cols>
    <col min="2" max="2" width="23.5546875" bestFit="1" customWidth="1"/>
    <col min="3" max="5" width="14" bestFit="1" customWidth="1"/>
    <col min="6" max="6" width="15" bestFit="1" customWidth="1"/>
    <col min="7" max="8" width="14" bestFit="1" customWidth="1"/>
    <col min="9" max="9" width="15.109375" bestFit="1" customWidth="1"/>
    <col min="10" max="16" width="14" bestFit="1" customWidth="1"/>
    <col min="20" max="20" width="15.109375" bestFit="1" customWidth="1"/>
    <col min="21" max="21" width="13.33203125" bestFit="1" customWidth="1"/>
    <col min="22" max="22" width="11" bestFit="1" customWidth="1"/>
  </cols>
  <sheetData>
    <row r="5" spans="2:20" x14ac:dyDescent="0.3">
      <c r="C5" s="227" t="s">
        <v>11</v>
      </c>
      <c r="D5" s="227" t="s">
        <v>0</v>
      </c>
      <c r="E5" s="227" t="s">
        <v>1</v>
      </c>
      <c r="F5" s="227" t="s">
        <v>2</v>
      </c>
      <c r="G5" s="227" t="s">
        <v>3</v>
      </c>
      <c r="H5" s="227" t="s">
        <v>4</v>
      </c>
      <c r="I5" s="227" t="s">
        <v>356</v>
      </c>
      <c r="J5" s="227" t="s">
        <v>5</v>
      </c>
      <c r="K5" s="227" t="s">
        <v>6</v>
      </c>
      <c r="L5" s="227" t="s">
        <v>7</v>
      </c>
      <c r="M5" s="227" t="s">
        <v>8</v>
      </c>
      <c r="N5" s="227" t="s">
        <v>9</v>
      </c>
      <c r="O5" s="227" t="s">
        <v>10</v>
      </c>
      <c r="P5" s="227" t="s">
        <v>11</v>
      </c>
    </row>
    <row r="6" spans="2:20" x14ac:dyDescent="0.3">
      <c r="C6" s="228"/>
      <c r="D6" s="228"/>
      <c r="E6" s="1"/>
      <c r="F6" s="5"/>
      <c r="G6" s="229"/>
      <c r="H6" s="1"/>
      <c r="J6" s="1"/>
      <c r="K6" s="1"/>
      <c r="L6" s="1"/>
      <c r="M6" s="5"/>
      <c r="N6" s="229"/>
      <c r="O6" s="1"/>
      <c r="P6" s="5"/>
    </row>
    <row r="7" spans="2:20" x14ac:dyDescent="0.3">
      <c r="B7" s="230" t="s">
        <v>357</v>
      </c>
      <c r="C7" s="231"/>
      <c r="D7" s="231">
        <v>-2387777.37</v>
      </c>
      <c r="E7" s="231">
        <v>-2481324.92</v>
      </c>
      <c r="F7" s="231">
        <v>-2313120.16</v>
      </c>
      <c r="G7" s="231">
        <v>-2389067.8699999992</v>
      </c>
      <c r="H7" s="231">
        <v>-1971691.6800000004</v>
      </c>
      <c r="J7" s="232">
        <v>-1926510.2599999998</v>
      </c>
      <c r="K7" s="232">
        <v>-2089572.1999999995</v>
      </c>
      <c r="L7" s="231">
        <v>-2512913.1799999997</v>
      </c>
      <c r="M7" s="231">
        <v>-2754204.48</v>
      </c>
      <c r="N7" s="231">
        <v>-2075219.4799999995</v>
      </c>
      <c r="O7" s="231">
        <v>-1930569.4000000001</v>
      </c>
      <c r="P7" s="231">
        <v>-1886684.5700000003</v>
      </c>
    </row>
    <row r="8" spans="2:20" x14ac:dyDescent="0.3">
      <c r="B8" s="230" t="s">
        <v>358</v>
      </c>
      <c r="C8" s="231"/>
      <c r="D8" s="231">
        <v>2381405.9299999997</v>
      </c>
      <c r="E8" s="231">
        <v>2359990.11</v>
      </c>
      <c r="F8" s="231">
        <v>2431673.65</v>
      </c>
      <c r="G8" s="231">
        <v>1973457.21</v>
      </c>
      <c r="H8" s="231">
        <v>2017336.6</v>
      </c>
      <c r="J8" s="232">
        <v>2469739.3000000003</v>
      </c>
      <c r="K8" s="232">
        <v>2291447.02</v>
      </c>
      <c r="L8" s="231">
        <v>2924314.1</v>
      </c>
      <c r="M8" s="231">
        <v>2084473.52</v>
      </c>
      <c r="N8" s="231">
        <v>1865154.61</v>
      </c>
      <c r="O8" s="231">
        <v>1879131.74</v>
      </c>
      <c r="P8" s="231">
        <v>2474777.9699999997</v>
      </c>
    </row>
    <row r="9" spans="2:20" x14ac:dyDescent="0.3">
      <c r="B9" s="230" t="s">
        <v>359</v>
      </c>
      <c r="C9" s="231"/>
      <c r="D9" s="233">
        <v>-93547.55</v>
      </c>
      <c r="E9" s="234">
        <v>509075.08</v>
      </c>
      <c r="F9" s="234">
        <v>-417234.48</v>
      </c>
      <c r="G9" s="235">
        <v>435175.36</v>
      </c>
      <c r="H9" s="234">
        <v>84696.39</v>
      </c>
      <c r="J9" s="234">
        <v>-195886.33</v>
      </c>
      <c r="K9" s="234">
        <v>-434739.61</v>
      </c>
      <c r="L9" s="234">
        <v>-247879.12</v>
      </c>
      <c r="M9" s="234">
        <v>693673.83</v>
      </c>
      <c r="N9" s="234">
        <v>148721.35999999999</v>
      </c>
      <c r="O9" s="234">
        <v>11647.42</v>
      </c>
      <c r="P9" s="234">
        <v>-442932.72</v>
      </c>
      <c r="T9" s="236"/>
    </row>
    <row r="10" spans="2:20" x14ac:dyDescent="0.3">
      <c r="B10" s="237"/>
      <c r="C10" s="238"/>
      <c r="D10" s="238">
        <v>-99918.990000000413</v>
      </c>
      <c r="E10" s="239">
        <v>387740.26999999996</v>
      </c>
      <c r="F10" s="239">
        <v>-298680.99000000022</v>
      </c>
      <c r="G10" s="240">
        <v>19564.700000000768</v>
      </c>
      <c r="H10" s="239">
        <v>130341.30999999969</v>
      </c>
      <c r="J10" s="239">
        <v>347342.71000000054</v>
      </c>
      <c r="K10" s="239">
        <v>-232864.78999999946</v>
      </c>
      <c r="L10" s="239">
        <v>163521.8000000004</v>
      </c>
      <c r="M10" s="239">
        <v>23942.869999999995</v>
      </c>
      <c r="N10" s="239">
        <v>-61343.509999999427</v>
      </c>
      <c r="O10" s="239">
        <v>-39790.240000000151</v>
      </c>
      <c r="P10" s="239">
        <v>145160.67999999947</v>
      </c>
      <c r="T10" s="236"/>
    </row>
    <row r="11" spans="2:20" x14ac:dyDescent="0.3">
      <c r="B11" s="237"/>
      <c r="C11" s="231"/>
      <c r="D11" s="231"/>
      <c r="E11" s="232"/>
      <c r="F11" s="232"/>
      <c r="G11" s="241"/>
      <c r="H11" s="232"/>
      <c r="J11" s="232"/>
      <c r="K11" s="232"/>
      <c r="L11" s="232"/>
      <c r="M11" s="232"/>
      <c r="N11" s="232"/>
      <c r="O11" s="232"/>
      <c r="P11" s="232"/>
      <c r="T11" s="236"/>
    </row>
    <row r="12" spans="2:20" x14ac:dyDescent="0.3">
      <c r="B12" s="230" t="s">
        <v>360</v>
      </c>
      <c r="C12" s="231"/>
      <c r="D12" s="231">
        <v>-1234581.98</v>
      </c>
      <c r="E12" s="231">
        <v>387740.26</v>
      </c>
      <c r="F12" s="231">
        <v>-298680.99</v>
      </c>
      <c r="G12" s="231">
        <v>19564.71</v>
      </c>
      <c r="H12" s="231">
        <v>130341.32</v>
      </c>
      <c r="J12" s="232">
        <v>347342.72</v>
      </c>
      <c r="K12" s="232">
        <v>-232864.78</v>
      </c>
      <c r="L12" s="231">
        <v>163521.81</v>
      </c>
      <c r="M12" s="231">
        <v>23942.880000000001</v>
      </c>
      <c r="N12" s="231">
        <v>-61343.51</v>
      </c>
      <c r="O12" s="231">
        <v>-39790.230000000003</v>
      </c>
      <c r="P12" s="231">
        <v>145160.68</v>
      </c>
      <c r="T12" s="236"/>
    </row>
    <row r="13" spans="2:20" x14ac:dyDescent="0.3">
      <c r="B13" s="237"/>
      <c r="C13" s="231"/>
      <c r="D13" s="231"/>
      <c r="E13" s="232"/>
      <c r="F13" s="232"/>
      <c r="G13" s="241"/>
      <c r="H13" s="232"/>
      <c r="J13" s="232"/>
      <c r="K13" s="232"/>
      <c r="L13" s="232"/>
      <c r="M13" s="232"/>
      <c r="N13" s="232"/>
      <c r="O13" s="232"/>
      <c r="P13" s="232"/>
    </row>
    <row r="14" spans="2:20" x14ac:dyDescent="0.3">
      <c r="B14" s="230" t="s">
        <v>52</v>
      </c>
      <c r="C14" s="231"/>
      <c r="D14" s="231">
        <v>1134663</v>
      </c>
      <c r="E14" s="232"/>
      <c r="F14" s="232"/>
      <c r="G14" s="241"/>
      <c r="H14" s="232"/>
      <c r="J14" s="232"/>
      <c r="K14" s="232"/>
      <c r="L14" s="232"/>
      <c r="M14" s="232"/>
      <c r="N14" s="232"/>
      <c r="O14" s="232"/>
      <c r="P14" s="232"/>
    </row>
    <row r="15" spans="2:20" x14ac:dyDescent="0.3">
      <c r="B15" s="237"/>
      <c r="C15" s="231"/>
      <c r="D15" s="231"/>
      <c r="E15" s="232"/>
      <c r="F15" s="232"/>
      <c r="G15" s="241"/>
      <c r="H15" s="232"/>
      <c r="J15" s="232"/>
      <c r="K15" s="232"/>
      <c r="L15" s="232"/>
      <c r="M15" s="232"/>
      <c r="N15" s="232"/>
      <c r="O15" s="232"/>
      <c r="P15" s="232"/>
    </row>
    <row r="16" spans="2:20" x14ac:dyDescent="0.3">
      <c r="B16" s="230" t="s">
        <v>361</v>
      </c>
      <c r="C16" s="231"/>
      <c r="D16" s="231"/>
      <c r="E16" s="232"/>
      <c r="F16" s="232"/>
      <c r="G16" s="241"/>
      <c r="H16" s="232"/>
      <c r="J16" s="232"/>
      <c r="K16" s="232"/>
      <c r="L16" s="232"/>
      <c r="M16" s="232"/>
      <c r="N16" s="232"/>
      <c r="O16" s="232"/>
      <c r="P16" s="232"/>
      <c r="T16" s="62"/>
    </row>
    <row r="17" spans="2:16" x14ac:dyDescent="0.3">
      <c r="B17" s="237"/>
      <c r="C17" s="231"/>
      <c r="D17" s="231"/>
      <c r="E17" s="232"/>
      <c r="F17" s="232"/>
      <c r="G17" s="241"/>
      <c r="H17" s="232"/>
      <c r="J17" s="232"/>
      <c r="K17" s="232"/>
      <c r="L17" s="232"/>
      <c r="M17" s="232"/>
      <c r="N17" s="232"/>
      <c r="O17" s="232"/>
      <c r="P17" s="232"/>
    </row>
    <row r="18" spans="2:16" x14ac:dyDescent="0.3">
      <c r="B18" s="230" t="s">
        <v>362</v>
      </c>
      <c r="C18" s="231"/>
      <c r="D18" s="231">
        <v>-99918.979999999981</v>
      </c>
      <c r="E18" s="232">
        <v>387740.26</v>
      </c>
      <c r="F18" s="232">
        <v>-298680.99</v>
      </c>
      <c r="G18" s="241">
        <v>19564.71</v>
      </c>
      <c r="H18" s="232">
        <v>130341.32</v>
      </c>
      <c r="J18" s="232">
        <v>347342.72</v>
      </c>
      <c r="K18" s="232">
        <v>-232864.78</v>
      </c>
      <c r="L18" s="232">
        <v>163521.81</v>
      </c>
      <c r="M18" s="232">
        <v>23942.880000000001</v>
      </c>
      <c r="N18" s="232">
        <v>-61343.51</v>
      </c>
      <c r="O18" s="232">
        <v>-39790.230000000003</v>
      </c>
      <c r="P18" s="232">
        <v>145160.68</v>
      </c>
    </row>
    <row r="19" spans="2:16" x14ac:dyDescent="0.3">
      <c r="B19" s="237"/>
      <c r="C19" s="231"/>
      <c r="D19" s="231"/>
      <c r="E19" s="232"/>
      <c r="F19" s="232"/>
      <c r="G19" s="241"/>
      <c r="H19" s="232"/>
      <c r="J19" s="232"/>
      <c r="K19" s="232"/>
      <c r="L19" s="232"/>
      <c r="M19" s="232"/>
      <c r="N19" s="232"/>
      <c r="O19" s="232"/>
      <c r="P19" s="232"/>
    </row>
    <row r="20" spans="2:16" x14ac:dyDescent="0.3">
      <c r="B20" s="237"/>
      <c r="C20" s="231"/>
      <c r="D20" s="231"/>
      <c r="E20" s="232"/>
      <c r="F20" s="232"/>
      <c r="G20" s="241"/>
      <c r="H20" s="232"/>
      <c r="J20" s="232"/>
      <c r="K20" s="242"/>
      <c r="L20" s="232"/>
      <c r="M20" s="232"/>
      <c r="N20" s="232"/>
      <c r="O20" s="232"/>
      <c r="P20" s="232"/>
    </row>
    <row r="21" spans="2:16" ht="15" thickBot="1" x14ac:dyDescent="0.35">
      <c r="B21" s="243" t="s">
        <v>363</v>
      </c>
      <c r="C21" s="244"/>
      <c r="D21" s="244">
        <v>-1.0000000431318767E-2</v>
      </c>
      <c r="E21" s="245">
        <v>9.9999999511055648E-3</v>
      </c>
      <c r="F21" s="245">
        <v>0</v>
      </c>
      <c r="G21" s="246">
        <v>-9.999999230785761E-3</v>
      </c>
      <c r="H21" s="245">
        <v>-1.0000000314903446E-2</v>
      </c>
      <c r="I21" s="246">
        <v>0</v>
      </c>
      <c r="J21" s="245">
        <v>-9.9999994272366166E-3</v>
      </c>
      <c r="K21" s="246">
        <v>-9.9999994563404471E-3</v>
      </c>
      <c r="L21" s="245">
        <v>-9.9999996018595994E-3</v>
      </c>
      <c r="M21" s="245">
        <v>-1.0000000005675247E-2</v>
      </c>
      <c r="N21" s="245">
        <v>5.7480065152049065E-10</v>
      </c>
      <c r="O21" s="245">
        <v>-1.000000014755642E-2</v>
      </c>
      <c r="P21" s="245">
        <v>-5.2386894822120667E-10</v>
      </c>
    </row>
    <row r="22" spans="2:16" ht="15" thickTop="1" x14ac:dyDescent="0.3"/>
    <row r="24" spans="2:16" x14ac:dyDescent="0.3">
      <c r="C24" s="46" t="s">
        <v>364</v>
      </c>
      <c r="F24" s="47" t="s">
        <v>365</v>
      </c>
    </row>
    <row r="26" spans="2:16" x14ac:dyDescent="0.3">
      <c r="B26" t="s">
        <v>524</v>
      </c>
      <c r="C26" s="247">
        <v>2387777.37</v>
      </c>
      <c r="E26" t="s">
        <v>367</v>
      </c>
      <c r="F26" s="236">
        <f>SUM(D7:P7)</f>
        <v>-26718655.57</v>
      </c>
    </row>
    <row r="27" spans="2:16" x14ac:dyDescent="0.3">
      <c r="B27" t="s">
        <v>525</v>
      </c>
      <c r="C27" s="247">
        <v>-2337007.67</v>
      </c>
      <c r="E27" t="s">
        <v>369</v>
      </c>
      <c r="F27" s="236">
        <f>SUM(D8:P8)</f>
        <v>27152901.759999994</v>
      </c>
    </row>
    <row r="28" spans="2:16" ht="15" thickBot="1" x14ac:dyDescent="0.35">
      <c r="B28" t="s">
        <v>45</v>
      </c>
      <c r="C28" s="248">
        <f>SUM(C26:C27)</f>
        <v>50769.700000000186</v>
      </c>
      <c r="E28" t="s">
        <v>45</v>
      </c>
      <c r="F28" s="248">
        <f>SUM(F26:F27)</f>
        <v>434246.18999999389</v>
      </c>
    </row>
    <row r="29" spans="2:16" ht="15" thickTop="1" x14ac:dyDescent="0.3">
      <c r="C29" s="247"/>
    </row>
    <row r="30" spans="2:16" x14ac:dyDescent="0.3">
      <c r="C30" s="247"/>
    </row>
    <row r="31" spans="2:16" x14ac:dyDescent="0.3">
      <c r="B31" t="s">
        <v>375</v>
      </c>
      <c r="C31" s="247">
        <v>-2337007.67</v>
      </c>
      <c r="E31" s="237" t="s">
        <v>371</v>
      </c>
      <c r="F31" s="236"/>
    </row>
    <row r="32" spans="2:16" x14ac:dyDescent="0.3">
      <c r="B32" t="s">
        <v>521</v>
      </c>
      <c r="C32" s="247">
        <v>2337007.67</v>
      </c>
      <c r="E32" s="237" t="s">
        <v>373</v>
      </c>
      <c r="F32" s="236"/>
    </row>
    <row r="33" spans="2:9" ht="15" thickBot="1" x14ac:dyDescent="0.35">
      <c r="B33" t="s">
        <v>45</v>
      </c>
      <c r="C33" s="248">
        <f>SUM(C31:C32)</f>
        <v>0</v>
      </c>
    </row>
    <row r="34" spans="2:9" ht="15.6" thickTop="1" thickBot="1" x14ac:dyDescent="0.35">
      <c r="C34" s="247"/>
      <c r="E34" s="237" t="s">
        <v>374</v>
      </c>
      <c r="F34" s="64">
        <f>F28+SUM(F31)</f>
        <v>434246.18999999389</v>
      </c>
    </row>
    <row r="35" spans="2:9" ht="15" thickTop="1" x14ac:dyDescent="0.3">
      <c r="C35" s="247"/>
    </row>
    <row r="36" spans="2:9" x14ac:dyDescent="0.3">
      <c r="B36" t="s">
        <v>522</v>
      </c>
      <c r="C36" s="247">
        <v>2387777.37</v>
      </c>
      <c r="F36" s="62"/>
    </row>
    <row r="37" spans="2:9" x14ac:dyDescent="0.3">
      <c r="B37" t="s">
        <v>523</v>
      </c>
      <c r="C37" s="247">
        <v>-2387777.37</v>
      </c>
    </row>
    <row r="38" spans="2:9" ht="15" thickBot="1" x14ac:dyDescent="0.35">
      <c r="B38" t="s">
        <v>45</v>
      </c>
      <c r="C38" s="248">
        <f>SUM(C36:C37)</f>
        <v>0</v>
      </c>
      <c r="E38" s="62"/>
    </row>
    <row r="39" spans="2:9" ht="15" thickTop="1" x14ac:dyDescent="0.3"/>
    <row r="42" spans="2:9" x14ac:dyDescent="0.3">
      <c r="B42" t="s">
        <v>377</v>
      </c>
    </row>
    <row r="43" spans="2:9" x14ac:dyDescent="0.3">
      <c r="B43" t="s">
        <v>132</v>
      </c>
      <c r="C43" s="62">
        <f>F34</f>
        <v>434246.18999999389</v>
      </c>
    </row>
    <row r="44" spans="2:9" x14ac:dyDescent="0.3">
      <c r="I44" s="62"/>
    </row>
    <row r="45" spans="2:9" x14ac:dyDescent="0.3">
      <c r="B45" t="s">
        <v>378</v>
      </c>
      <c r="C45" s="236">
        <f>-F31</f>
        <v>0</v>
      </c>
    </row>
    <row r="47" spans="2:9" x14ac:dyDescent="0.3">
      <c r="B47" t="s">
        <v>379</v>
      </c>
      <c r="C47" s="236"/>
    </row>
    <row r="49" spans="2:6" x14ac:dyDescent="0.3">
      <c r="B49" t="s">
        <v>526</v>
      </c>
      <c r="C49" s="236">
        <v>-1134663</v>
      </c>
      <c r="F49" s="62"/>
    </row>
    <row r="51" spans="2:6" x14ac:dyDescent="0.3">
      <c r="B51" t="s">
        <v>138</v>
      </c>
      <c r="C51" s="236">
        <f>C28</f>
        <v>50769.700000000186</v>
      </c>
      <c r="D51" s="251">
        <f>C43+C51+C45</f>
        <v>485015.88999999408</v>
      </c>
    </row>
    <row r="53" spans="2:6" ht="15" thickBot="1" x14ac:dyDescent="0.35">
      <c r="B53" t="s">
        <v>381</v>
      </c>
      <c r="C53" s="64">
        <f>SUM(C43:C51)</f>
        <v>-649647.11000000592</v>
      </c>
    </row>
    <row r="54" spans="2:6" ht="15" thickTop="1" x14ac:dyDescent="0.3">
      <c r="C54" s="39">
        <f>1280208.7-1929855.81</f>
        <v>-649647.1100000001</v>
      </c>
    </row>
    <row r="55" spans="2:6" x14ac:dyDescent="0.3">
      <c r="C55" s="62">
        <f>C53-C54</f>
        <v>-5.8207660913467407E-9</v>
      </c>
    </row>
    <row r="56" spans="2:6" x14ac:dyDescent="0.3">
      <c r="B56" s="47" t="s">
        <v>382</v>
      </c>
    </row>
    <row r="58" spans="2:6" x14ac:dyDescent="0.3">
      <c r="B58" s="237" t="s">
        <v>373</v>
      </c>
      <c r="C58" s="236">
        <f>F32</f>
        <v>0</v>
      </c>
    </row>
    <row r="59" spans="2:6" x14ac:dyDescent="0.3">
      <c r="B59" s="237" t="s">
        <v>371</v>
      </c>
      <c r="C59" s="236">
        <f>F31</f>
        <v>0</v>
      </c>
    </row>
    <row r="60" spans="2:6" x14ac:dyDescent="0.3">
      <c r="B60" s="237" t="s">
        <v>380</v>
      </c>
      <c r="C60" s="236">
        <f>-C49</f>
        <v>1134663</v>
      </c>
    </row>
    <row r="61" spans="2:6" x14ac:dyDescent="0.3">
      <c r="B61" s="237"/>
    </row>
    <row r="62" spans="2:6" x14ac:dyDescent="0.3">
      <c r="B62" s="237" t="s">
        <v>383</v>
      </c>
      <c r="C62" s="236">
        <f>C33</f>
        <v>0</v>
      </c>
    </row>
    <row r="63" spans="2:6" x14ac:dyDescent="0.3">
      <c r="B63" s="237" t="s">
        <v>384</v>
      </c>
      <c r="C63" s="236">
        <f>C38</f>
        <v>0</v>
      </c>
    </row>
    <row r="64" spans="2:6" x14ac:dyDescent="0.3">
      <c r="B64" s="237" t="s">
        <v>385</v>
      </c>
      <c r="C64" s="236"/>
    </row>
    <row r="66" spans="3:3" ht="15" thickBot="1" x14ac:dyDescent="0.35">
      <c r="C66" s="249">
        <f>SUM(C58:C64)</f>
        <v>1134663</v>
      </c>
    </row>
    <row r="67" spans="3:3" ht="15" thickTop="1" x14ac:dyDescent="0.3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T67"/>
  <sheetViews>
    <sheetView topLeftCell="A24" workbookViewId="0">
      <selection activeCell="H19" sqref="H19"/>
    </sheetView>
  </sheetViews>
  <sheetFormatPr defaultRowHeight="14.4" x14ac:dyDescent="0.3"/>
  <cols>
    <col min="2" max="2" width="23.5546875" bestFit="1" customWidth="1"/>
    <col min="3" max="5" width="14" bestFit="1" customWidth="1"/>
    <col min="6" max="6" width="15" bestFit="1" customWidth="1"/>
    <col min="7" max="8" width="14" bestFit="1" customWidth="1"/>
    <col min="9" max="9" width="15.109375" bestFit="1" customWidth="1"/>
    <col min="10" max="16" width="14" bestFit="1" customWidth="1"/>
    <col min="20" max="20" width="15.109375" bestFit="1" customWidth="1"/>
    <col min="21" max="21" width="13.33203125" bestFit="1" customWidth="1"/>
    <col min="22" max="22" width="11" bestFit="1" customWidth="1"/>
  </cols>
  <sheetData>
    <row r="5" spans="2:20" x14ac:dyDescent="0.3">
      <c r="C5" s="227" t="s">
        <v>11</v>
      </c>
      <c r="D5" s="227" t="s">
        <v>0</v>
      </c>
      <c r="E5" s="227" t="s">
        <v>1</v>
      </c>
      <c r="F5" s="227" t="s">
        <v>2</v>
      </c>
      <c r="G5" s="227" t="s">
        <v>3</v>
      </c>
      <c r="H5" s="227" t="s">
        <v>4</v>
      </c>
      <c r="I5" s="227" t="s">
        <v>356</v>
      </c>
      <c r="J5" s="227" t="s">
        <v>5</v>
      </c>
      <c r="K5" s="227" t="s">
        <v>6</v>
      </c>
      <c r="L5" s="227" t="s">
        <v>7</v>
      </c>
      <c r="M5" s="227" t="s">
        <v>8</v>
      </c>
      <c r="N5" s="227" t="s">
        <v>9</v>
      </c>
      <c r="O5" s="227" t="s">
        <v>10</v>
      </c>
      <c r="P5" s="227" t="s">
        <v>11</v>
      </c>
    </row>
    <row r="6" spans="2:20" x14ac:dyDescent="0.3">
      <c r="C6" s="228"/>
      <c r="D6" s="228"/>
      <c r="E6" s="1"/>
      <c r="F6" s="5"/>
      <c r="G6" s="229"/>
      <c r="H6" s="1"/>
      <c r="J6" s="1"/>
      <c r="K6" s="1"/>
      <c r="L6" s="1"/>
      <c r="M6" s="5"/>
      <c r="N6" s="229"/>
      <c r="O6" s="1"/>
      <c r="P6" s="5"/>
    </row>
    <row r="7" spans="2:20" x14ac:dyDescent="0.3">
      <c r="B7" s="230" t="s">
        <v>357</v>
      </c>
      <c r="C7" s="231">
        <v>-2352066.8899999992</v>
      </c>
      <c r="D7" s="231">
        <v>-2683321.0400000005</v>
      </c>
      <c r="E7" s="231">
        <v>-2617293.2999999989</v>
      </c>
      <c r="F7" s="231">
        <v>-2497776.0199999996</v>
      </c>
      <c r="G7" s="231">
        <v>-2296292.0600000005</v>
      </c>
      <c r="H7" s="231">
        <v>-1712112.47</v>
      </c>
      <c r="J7" s="232">
        <v>-1705948.24</v>
      </c>
      <c r="K7" s="232">
        <v>-2353950.1799999997</v>
      </c>
      <c r="L7" s="231">
        <v>-3093559.98</v>
      </c>
      <c r="M7" s="231">
        <v>-2759517.01</v>
      </c>
      <c r="N7" s="231">
        <v>-1997510.94</v>
      </c>
      <c r="O7" s="231">
        <v>-2123420.3199999989</v>
      </c>
      <c r="P7" s="231">
        <v>-2304358.04</v>
      </c>
    </row>
    <row r="8" spans="2:20" x14ac:dyDescent="0.3">
      <c r="B8" s="230" t="s">
        <v>358</v>
      </c>
      <c r="C8" s="231">
        <v>2616633.6</v>
      </c>
      <c r="D8" s="231">
        <v>2487543.33</v>
      </c>
      <c r="E8" s="231">
        <v>2513031.52</v>
      </c>
      <c r="F8" s="231">
        <v>2192593.4500000002</v>
      </c>
      <c r="G8" s="231">
        <v>1913496.56</v>
      </c>
      <c r="H8" s="231">
        <v>1843216.89</v>
      </c>
      <c r="J8" s="232">
        <v>2424564.7599999998</v>
      </c>
      <c r="K8" s="232">
        <v>3223783.97</v>
      </c>
      <c r="L8" s="231">
        <v>2776411.95</v>
      </c>
      <c r="M8" s="231">
        <v>2214726.36</v>
      </c>
      <c r="N8" s="231">
        <v>2158150.35</v>
      </c>
      <c r="O8" s="231">
        <v>2368876.5099999998</v>
      </c>
      <c r="P8" s="231">
        <v>3201814</v>
      </c>
    </row>
    <row r="9" spans="2:20" x14ac:dyDescent="0.3">
      <c r="B9" s="230" t="s">
        <v>359</v>
      </c>
      <c r="C9" s="231"/>
      <c r="D9" s="233">
        <v>-9445.7299999999814</v>
      </c>
      <c r="E9" s="234">
        <v>247192.57999999961</v>
      </c>
      <c r="F9" s="234">
        <v>-47001.149999999907</v>
      </c>
      <c r="G9" s="235">
        <v>685575.30000000028</v>
      </c>
      <c r="H9" s="234">
        <v>376872.77</v>
      </c>
      <c r="J9" s="234">
        <v>-97477.130000000354</v>
      </c>
      <c r="K9" s="234">
        <v>-1357205.67</v>
      </c>
      <c r="L9" s="234">
        <v>623602.73</v>
      </c>
      <c r="M9" s="234">
        <v>696669.51</v>
      </c>
      <c r="N9" s="234">
        <v>166018.03081404901</v>
      </c>
      <c r="O9" s="234">
        <v>-58193.810183182301</v>
      </c>
      <c r="P9" s="234">
        <v>-827666.02916431404</v>
      </c>
      <c r="T9" s="236">
        <f>SUM(D7:P8)</f>
        <v>1173150.0500000007</v>
      </c>
    </row>
    <row r="10" spans="2:20" x14ac:dyDescent="0.3">
      <c r="B10" s="237"/>
      <c r="C10" s="238">
        <v>264566.71000000089</v>
      </c>
      <c r="D10" s="238">
        <v>-205223.44000000041</v>
      </c>
      <c r="E10" s="239">
        <v>142930.80000000075</v>
      </c>
      <c r="F10" s="239">
        <v>-352183.71999999927</v>
      </c>
      <c r="G10" s="240">
        <v>302779.79999999981</v>
      </c>
      <c r="H10" s="239">
        <v>507977.18999999994</v>
      </c>
      <c r="J10" s="239">
        <v>621139.38999999943</v>
      </c>
      <c r="K10" s="239">
        <v>-487371.87999999942</v>
      </c>
      <c r="L10" s="239">
        <v>306454.70000000019</v>
      </c>
      <c r="M10" s="239">
        <v>151878.8600000001</v>
      </c>
      <c r="N10" s="239">
        <v>326657.44081404916</v>
      </c>
      <c r="O10" s="239">
        <v>187262.37981681857</v>
      </c>
      <c r="P10" s="239">
        <v>69789.930835685926</v>
      </c>
      <c r="T10" s="236">
        <f>F31</f>
        <v>96868.537131923746</v>
      </c>
    </row>
    <row r="11" spans="2:20" x14ac:dyDescent="0.3">
      <c r="B11" s="237"/>
      <c r="C11" s="231"/>
      <c r="D11" s="231"/>
      <c r="E11" s="232"/>
      <c r="F11" s="232"/>
      <c r="G11" s="241"/>
      <c r="H11" s="232"/>
      <c r="J11" s="232"/>
      <c r="K11" s="232"/>
      <c r="L11" s="232"/>
      <c r="M11" s="232"/>
      <c r="N11" s="232"/>
      <c r="O11" s="232"/>
      <c r="P11" s="232"/>
      <c r="T11" s="236">
        <f>C64</f>
        <v>-128533.52</v>
      </c>
    </row>
    <row r="12" spans="2:20" x14ac:dyDescent="0.3">
      <c r="B12" s="230" t="s">
        <v>360</v>
      </c>
      <c r="C12" s="231">
        <v>576107.57999999996</v>
      </c>
      <c r="D12" s="231">
        <v>1769979.52</v>
      </c>
      <c r="E12" s="231">
        <v>142930.79999999999</v>
      </c>
      <c r="F12" s="231">
        <v>-352183.71</v>
      </c>
      <c r="G12" s="231">
        <v>302779.81</v>
      </c>
      <c r="H12" s="231">
        <v>507977.2</v>
      </c>
      <c r="J12" s="232">
        <v>621139.4</v>
      </c>
      <c r="K12" s="232">
        <v>-487371.87</v>
      </c>
      <c r="L12" s="231">
        <v>306454.71000000002</v>
      </c>
      <c r="M12" s="231">
        <v>151878.85999999999</v>
      </c>
      <c r="N12" s="231">
        <v>326657.46000000002</v>
      </c>
      <c r="O12" s="231">
        <v>187262.39</v>
      </c>
      <c r="P12" s="231">
        <v>69789.899999999994</v>
      </c>
      <c r="T12" s="236">
        <f>SUM(T9:T11)</f>
        <v>1141485.0671319244</v>
      </c>
    </row>
    <row r="13" spans="2:20" x14ac:dyDescent="0.3">
      <c r="B13" s="237"/>
      <c r="C13" s="231"/>
      <c r="D13" s="231"/>
      <c r="E13" s="232"/>
      <c r="F13" s="232"/>
      <c r="G13" s="241"/>
      <c r="H13" s="232"/>
      <c r="J13" s="232"/>
      <c r="K13" s="232"/>
      <c r="L13" s="232"/>
      <c r="M13" s="232"/>
      <c r="N13" s="232"/>
      <c r="O13" s="232"/>
      <c r="P13" s="232"/>
    </row>
    <row r="14" spans="2:20" x14ac:dyDescent="0.3">
      <c r="B14" s="230" t="s">
        <v>52</v>
      </c>
      <c r="C14" s="231"/>
      <c r="D14" s="231"/>
      <c r="E14" s="232"/>
      <c r="F14" s="232"/>
      <c r="G14" s="241"/>
      <c r="H14" s="232"/>
      <c r="J14" s="232"/>
      <c r="K14" s="232"/>
      <c r="L14" s="232"/>
      <c r="M14" s="232"/>
      <c r="N14" s="232"/>
      <c r="O14" s="232"/>
      <c r="P14" s="232"/>
      <c r="T14">
        <v>2615364</v>
      </c>
    </row>
    <row r="15" spans="2:20" x14ac:dyDescent="0.3">
      <c r="B15" s="237"/>
      <c r="C15" s="231"/>
      <c r="D15" s="231"/>
      <c r="E15" s="232"/>
      <c r="F15" s="232"/>
      <c r="G15" s="241"/>
      <c r="H15" s="232"/>
      <c r="J15" s="232"/>
      <c r="K15" s="232"/>
      <c r="L15" s="232"/>
      <c r="M15" s="232"/>
      <c r="N15" s="232"/>
      <c r="O15" s="232"/>
      <c r="P15" s="232"/>
    </row>
    <row r="16" spans="2:20" x14ac:dyDescent="0.3">
      <c r="B16" s="230" t="s">
        <v>361</v>
      </c>
      <c r="C16" s="231"/>
      <c r="D16" s="231"/>
      <c r="E16" s="232"/>
      <c r="F16" s="232"/>
      <c r="G16" s="241"/>
      <c r="H16" s="232"/>
      <c r="J16" s="232"/>
      <c r="K16" s="232"/>
      <c r="L16" s="232"/>
      <c r="M16" s="232"/>
      <c r="N16" s="232"/>
      <c r="O16" s="232"/>
      <c r="P16" s="232"/>
      <c r="T16" s="62">
        <f>T14-T12</f>
        <v>1473878.9328680756</v>
      </c>
    </row>
    <row r="17" spans="2:16" x14ac:dyDescent="0.3">
      <c r="B17" s="237"/>
      <c r="C17" s="231"/>
      <c r="D17" s="231"/>
      <c r="E17" s="232"/>
      <c r="F17" s="232"/>
      <c r="G17" s="241"/>
      <c r="H17" s="232"/>
      <c r="J17" s="232"/>
      <c r="K17" s="232"/>
      <c r="L17" s="232"/>
      <c r="M17" s="232"/>
      <c r="N17" s="232"/>
      <c r="O17" s="232"/>
      <c r="P17" s="232"/>
    </row>
    <row r="18" spans="2:16" x14ac:dyDescent="0.3">
      <c r="B18" s="230" t="s">
        <v>362</v>
      </c>
      <c r="C18" s="231"/>
      <c r="D18" s="231">
        <v>1769979.52</v>
      </c>
      <c r="E18" s="232">
        <v>142930.79999999999</v>
      </c>
      <c r="F18" s="232">
        <v>-352183.71</v>
      </c>
      <c r="G18" s="241">
        <v>302779.81</v>
      </c>
      <c r="H18" s="232">
        <v>507977.2</v>
      </c>
      <c r="J18" s="232">
        <v>621139.4</v>
      </c>
      <c r="K18" s="232">
        <v>-487371.87</v>
      </c>
      <c r="L18" s="232">
        <v>306454.71000000002</v>
      </c>
      <c r="M18" s="232">
        <v>151878.85999999999</v>
      </c>
      <c r="N18" s="232">
        <v>326657.46000000002</v>
      </c>
      <c r="O18" s="232">
        <v>187262.39</v>
      </c>
      <c r="P18" s="232">
        <v>69789.899999999994</v>
      </c>
    </row>
    <row r="19" spans="2:16" x14ac:dyDescent="0.3">
      <c r="B19" s="237"/>
      <c r="C19" s="231"/>
      <c r="D19" s="231"/>
      <c r="E19" s="232"/>
      <c r="F19" s="232"/>
      <c r="G19" s="241"/>
      <c r="H19" s="232"/>
      <c r="J19" s="232"/>
      <c r="K19" s="232"/>
      <c r="L19" s="232"/>
      <c r="M19" s="232"/>
      <c r="N19" s="232"/>
      <c r="O19" s="232"/>
      <c r="P19" s="232"/>
    </row>
    <row r="20" spans="2:16" x14ac:dyDescent="0.3">
      <c r="B20" s="237"/>
      <c r="C20" s="231"/>
      <c r="D20" s="231"/>
      <c r="E20" s="232"/>
      <c r="F20" s="232"/>
      <c r="G20" s="241"/>
      <c r="H20" s="232"/>
      <c r="J20" s="232"/>
      <c r="K20" s="242"/>
      <c r="L20" s="232"/>
      <c r="M20" s="232"/>
      <c r="N20" s="232"/>
      <c r="O20" s="232"/>
      <c r="P20" s="232"/>
    </row>
    <row r="21" spans="2:16" ht="15" thickBot="1" x14ac:dyDescent="0.35">
      <c r="B21" s="243" t="s">
        <v>363</v>
      </c>
      <c r="C21" s="244"/>
      <c r="D21" s="244">
        <v>-1975202.9600000004</v>
      </c>
      <c r="E21" s="245">
        <v>7.5669959187507629E-10</v>
      </c>
      <c r="F21" s="245">
        <v>-9.9999992526136339E-3</v>
      </c>
      <c r="G21" s="246">
        <v>-1.0000000183936208E-2</v>
      </c>
      <c r="H21" s="245">
        <v>-1.0000000067520887E-2</v>
      </c>
      <c r="I21" s="246">
        <v>0</v>
      </c>
      <c r="J21" s="245">
        <v>-1.0000000591389835E-2</v>
      </c>
      <c r="K21" s="246">
        <v>-9.9999994272366166E-3</v>
      </c>
      <c r="L21" s="245">
        <v>-9.999999834690243E-3</v>
      </c>
      <c r="M21" s="245">
        <v>0</v>
      </c>
      <c r="N21" s="245">
        <v>-1.9185950863175094E-2</v>
      </c>
      <c r="O21" s="245">
        <v>-1.0183181439060718E-2</v>
      </c>
      <c r="P21" s="245">
        <v>3.0835685931378976E-2</v>
      </c>
    </row>
    <row r="22" spans="2:16" ht="15" thickTop="1" x14ac:dyDescent="0.3"/>
    <row r="24" spans="2:16" x14ac:dyDescent="0.3">
      <c r="C24" s="46" t="s">
        <v>364</v>
      </c>
      <c r="F24" s="47" t="s">
        <v>365</v>
      </c>
    </row>
    <row r="26" spans="2:16" x14ac:dyDescent="0.3">
      <c r="B26" t="s">
        <v>366</v>
      </c>
      <c r="C26" s="247">
        <f>-C31</f>
        <v>3632644.03</v>
      </c>
      <c r="E26" t="s">
        <v>367</v>
      </c>
      <c r="F26" s="236">
        <f>SUM(D7:P7)</f>
        <v>-28145059.599999998</v>
      </c>
    </row>
    <row r="27" spans="2:16" x14ac:dyDescent="0.3">
      <c r="B27" t="s">
        <v>368</v>
      </c>
      <c r="C27" s="247">
        <f>-C36</f>
        <v>-3233702.63</v>
      </c>
      <c r="E27" t="s">
        <v>369</v>
      </c>
      <c r="F27" s="236">
        <f>SUM(D8:P8)</f>
        <v>29318209.649999999</v>
      </c>
    </row>
    <row r="28" spans="2:16" ht="15" thickBot="1" x14ac:dyDescent="0.35">
      <c r="B28" t="s">
        <v>45</v>
      </c>
      <c r="C28" s="248">
        <f>SUM(C26:C27)</f>
        <v>398941.39999999991</v>
      </c>
      <c r="E28" t="s">
        <v>45</v>
      </c>
      <c r="F28" s="248">
        <f>SUM(F26:F27)</f>
        <v>1173150.0500000007</v>
      </c>
    </row>
    <row r="29" spans="2:16" ht="15" thickTop="1" x14ac:dyDescent="0.3">
      <c r="C29" s="247"/>
    </row>
    <row r="30" spans="2:16" x14ac:dyDescent="0.3">
      <c r="C30" s="247"/>
    </row>
    <row r="31" spans="2:16" x14ac:dyDescent="0.3">
      <c r="B31" t="s">
        <v>370</v>
      </c>
      <c r="C31" s="247">
        <v>-3632644.03</v>
      </c>
      <c r="E31" s="237" t="s">
        <v>371</v>
      </c>
      <c r="F31" s="236">
        <v>96868.537131923746</v>
      </c>
    </row>
    <row r="32" spans="2:16" x14ac:dyDescent="0.3">
      <c r="B32" t="s">
        <v>372</v>
      </c>
      <c r="C32" s="247"/>
      <c r="E32" s="237" t="s">
        <v>373</v>
      </c>
      <c r="F32" s="236">
        <v>-200286.95955590019</v>
      </c>
    </row>
    <row r="33" spans="2:9" ht="15" thickBot="1" x14ac:dyDescent="0.35">
      <c r="B33" t="s">
        <v>45</v>
      </c>
      <c r="C33" s="248">
        <f>SUM(C31:C32)</f>
        <v>-3632644.03</v>
      </c>
    </row>
    <row r="34" spans="2:9" ht="15.6" thickTop="1" thickBot="1" x14ac:dyDescent="0.35">
      <c r="C34" s="247"/>
      <c r="E34" s="237" t="s">
        <v>374</v>
      </c>
      <c r="F34" s="64">
        <f>F28+SUM(F31)</f>
        <v>1270018.5871319245</v>
      </c>
    </row>
    <row r="35" spans="2:9" ht="15" thickTop="1" x14ac:dyDescent="0.3">
      <c r="C35" s="247"/>
    </row>
    <row r="36" spans="2:9" x14ac:dyDescent="0.3">
      <c r="B36" t="s">
        <v>375</v>
      </c>
      <c r="C36" s="247">
        <v>3233702.63</v>
      </c>
      <c r="F36" s="62"/>
    </row>
    <row r="37" spans="2:9" x14ac:dyDescent="0.3">
      <c r="B37" t="s">
        <v>376</v>
      </c>
      <c r="C37" s="247">
        <v>-2895413.19</v>
      </c>
    </row>
    <row r="38" spans="2:9" ht="15" thickBot="1" x14ac:dyDescent="0.35">
      <c r="B38" t="s">
        <v>45</v>
      </c>
      <c r="C38" s="248">
        <f>SUM(C36:C37)</f>
        <v>338289.43999999994</v>
      </c>
      <c r="E38" s="62"/>
    </row>
    <row r="39" spans="2:9" ht="15" thickTop="1" x14ac:dyDescent="0.3"/>
    <row r="42" spans="2:9" x14ac:dyDescent="0.3">
      <c r="B42" t="s">
        <v>377</v>
      </c>
    </row>
    <row r="43" spans="2:9" x14ac:dyDescent="0.3">
      <c r="B43" t="s">
        <v>132</v>
      </c>
      <c r="C43" s="62">
        <f>F34</f>
        <v>1270018.5871319245</v>
      </c>
    </row>
    <row r="44" spans="2:9" x14ac:dyDescent="0.3">
      <c r="I44" s="62"/>
    </row>
    <row r="45" spans="2:9" x14ac:dyDescent="0.3">
      <c r="B45" t="s">
        <v>378</v>
      </c>
      <c r="C45" s="236">
        <f>-F31</f>
        <v>-96868.537131923746</v>
      </c>
    </row>
    <row r="47" spans="2:9" x14ac:dyDescent="0.3">
      <c r="B47" t="s">
        <v>379</v>
      </c>
      <c r="C47" s="236">
        <f>-F32</f>
        <v>200286.95955590019</v>
      </c>
    </row>
    <row r="49" spans="2:4" x14ac:dyDescent="0.3">
      <c r="B49" t="s">
        <v>380</v>
      </c>
      <c r="C49" s="170">
        <v>1774916.06</v>
      </c>
      <c r="D49" s="251">
        <f>C47+C49</f>
        <v>1975203.0195559002</v>
      </c>
    </row>
    <row r="51" spans="2:4" x14ac:dyDescent="0.3">
      <c r="B51" t="s">
        <v>138</v>
      </c>
      <c r="C51" s="236">
        <f>C28</f>
        <v>398941.39999999991</v>
      </c>
      <c r="D51" s="251">
        <f>C43+C51+C45</f>
        <v>1572091.4500000007</v>
      </c>
    </row>
    <row r="53" spans="2:4" ht="15" thickBot="1" x14ac:dyDescent="0.35">
      <c r="B53" t="s">
        <v>381</v>
      </c>
      <c r="C53" s="64">
        <f>SUM(C43:C51)</f>
        <v>3547294.4695559009</v>
      </c>
    </row>
    <row r="54" spans="2:4" ht="15" thickTop="1" x14ac:dyDescent="0.3"/>
    <row r="56" spans="2:4" x14ac:dyDescent="0.3">
      <c r="B56" s="47" t="s">
        <v>382</v>
      </c>
    </row>
    <row r="58" spans="2:4" x14ac:dyDescent="0.3">
      <c r="B58" s="237" t="s">
        <v>373</v>
      </c>
      <c r="C58" s="236">
        <f>F32</f>
        <v>-200286.95955590019</v>
      </c>
    </row>
    <row r="59" spans="2:4" x14ac:dyDescent="0.3">
      <c r="B59" s="237" t="s">
        <v>371</v>
      </c>
      <c r="C59" s="236">
        <f>F31</f>
        <v>96868.537131923746</v>
      </c>
    </row>
    <row r="60" spans="2:4" x14ac:dyDescent="0.3">
      <c r="B60" s="237" t="s">
        <v>380</v>
      </c>
      <c r="C60" s="236">
        <f>-C49</f>
        <v>-1774916.06</v>
      </c>
    </row>
    <row r="61" spans="2:4" x14ac:dyDescent="0.3">
      <c r="B61" s="237"/>
    </row>
    <row r="62" spans="2:4" x14ac:dyDescent="0.3">
      <c r="B62" s="237" t="s">
        <v>383</v>
      </c>
      <c r="C62" s="236">
        <f>C33</f>
        <v>-3632644.03</v>
      </c>
    </row>
    <row r="63" spans="2:4" x14ac:dyDescent="0.3">
      <c r="B63" s="237" t="s">
        <v>384</v>
      </c>
      <c r="C63" s="236">
        <f>C38</f>
        <v>338289.43999999994</v>
      </c>
    </row>
    <row r="64" spans="2:4" x14ac:dyDescent="0.3">
      <c r="B64" s="237" t="s">
        <v>385</v>
      </c>
      <c r="C64" s="236">
        <v>-128533.52</v>
      </c>
    </row>
    <row r="66" spans="3:3" ht="15" thickBot="1" x14ac:dyDescent="0.35">
      <c r="C66" s="249">
        <f>SUM(C58:C64)</f>
        <v>-5301222.5924239755</v>
      </c>
    </row>
    <row r="67" spans="3:3" ht="15" thickTop="1" x14ac:dyDescent="0.3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0"/>
  <sheetViews>
    <sheetView workbookViewId="0">
      <selection activeCell="H19" sqref="H19"/>
    </sheetView>
  </sheetViews>
  <sheetFormatPr defaultRowHeight="14.4" x14ac:dyDescent="0.3"/>
  <cols>
    <col min="1" max="1" width="59.109375" bestFit="1" customWidth="1"/>
    <col min="2" max="2" width="41.33203125" bestFit="1" customWidth="1"/>
    <col min="3" max="3" width="34.88671875" bestFit="1" customWidth="1"/>
    <col min="4" max="4" width="22.44140625" bestFit="1" customWidth="1"/>
    <col min="5" max="5" width="14.6640625" bestFit="1" customWidth="1"/>
    <col min="6" max="6" width="27.5546875" bestFit="1" customWidth="1"/>
    <col min="7" max="7" width="5.88671875" bestFit="1" customWidth="1"/>
    <col min="8" max="10" width="12.6640625" bestFit="1" customWidth="1"/>
  </cols>
  <sheetData>
    <row r="1" spans="1:9" x14ac:dyDescent="0.3">
      <c r="A1" t="s">
        <v>195</v>
      </c>
      <c r="B1" s="212">
        <v>44399</v>
      </c>
      <c r="C1" s="213">
        <v>0.4296875</v>
      </c>
      <c r="D1" t="s">
        <v>196</v>
      </c>
      <c r="E1" t="s">
        <v>197</v>
      </c>
      <c r="F1">
        <v>1</v>
      </c>
    </row>
    <row r="2" spans="1:9" x14ac:dyDescent="0.3">
      <c r="A2" t="s">
        <v>198</v>
      </c>
      <c r="B2" s="212">
        <v>44399</v>
      </c>
      <c r="C2" t="s">
        <v>199</v>
      </c>
      <c r="D2">
        <v>2020</v>
      </c>
      <c r="E2" t="s">
        <v>200</v>
      </c>
      <c r="F2" t="s">
        <v>201</v>
      </c>
    </row>
    <row r="3" spans="1:9" x14ac:dyDescent="0.3">
      <c r="A3" t="s">
        <v>202</v>
      </c>
    </row>
    <row r="4" spans="1:9" x14ac:dyDescent="0.3">
      <c r="A4" t="s">
        <v>203</v>
      </c>
    </row>
    <row r="5" spans="1:9" x14ac:dyDescent="0.3">
      <c r="A5" t="s">
        <v>204</v>
      </c>
      <c r="B5" t="s">
        <v>55</v>
      </c>
      <c r="C5" t="s">
        <v>386</v>
      </c>
    </row>
    <row r="6" spans="1:9" x14ac:dyDescent="0.3">
      <c r="A6" t="s">
        <v>207</v>
      </c>
      <c r="B6" t="s">
        <v>208</v>
      </c>
      <c r="C6" t="s">
        <v>209</v>
      </c>
    </row>
    <row r="7" spans="1:9" x14ac:dyDescent="0.3">
      <c r="A7" t="s">
        <v>210</v>
      </c>
      <c r="B7" s="212">
        <v>43831</v>
      </c>
      <c r="C7" s="212">
        <v>44196</v>
      </c>
    </row>
    <row r="8" spans="1:9" x14ac:dyDescent="0.3">
      <c r="A8" t="s">
        <v>211</v>
      </c>
      <c r="B8" t="s">
        <v>212</v>
      </c>
      <c r="C8" t="s">
        <v>213</v>
      </c>
    </row>
    <row r="9" spans="1:9" x14ac:dyDescent="0.3">
      <c r="A9" t="s">
        <v>214</v>
      </c>
      <c r="B9" t="s">
        <v>212</v>
      </c>
      <c r="C9" t="s">
        <v>213</v>
      </c>
    </row>
    <row r="10" spans="1:9" x14ac:dyDescent="0.3">
      <c r="A10" t="s">
        <v>215</v>
      </c>
      <c r="B10" t="s">
        <v>216</v>
      </c>
      <c r="C10" t="s">
        <v>217</v>
      </c>
      <c r="D10" s="214">
        <v>2546147.14</v>
      </c>
    </row>
    <row r="11" spans="1:9" x14ac:dyDescent="0.3">
      <c r="A11" t="s">
        <v>218</v>
      </c>
      <c r="B11" t="s">
        <v>219</v>
      </c>
      <c r="C11" t="s">
        <v>220</v>
      </c>
      <c r="D11" t="s">
        <v>221</v>
      </c>
      <c r="E11" t="s">
        <v>222</v>
      </c>
      <c r="F11" t="s">
        <v>214</v>
      </c>
      <c r="G11" t="s">
        <v>223</v>
      </c>
      <c r="H11" t="s">
        <v>224</v>
      </c>
    </row>
    <row r="12" spans="1:9" x14ac:dyDescent="0.3">
      <c r="A12" t="s">
        <v>225</v>
      </c>
      <c r="B12" t="s">
        <v>226</v>
      </c>
    </row>
    <row r="13" spans="1:9" x14ac:dyDescent="0.3">
      <c r="A13" s="212">
        <v>43831</v>
      </c>
      <c r="C13" s="215">
        <v>761397</v>
      </c>
      <c r="D13" t="s">
        <v>227</v>
      </c>
      <c r="E13" t="s">
        <v>304</v>
      </c>
      <c r="F13" t="s">
        <v>308</v>
      </c>
      <c r="I13" s="214">
        <v>191423</v>
      </c>
    </row>
    <row r="14" spans="1:9" x14ac:dyDescent="0.3">
      <c r="A14" s="212">
        <v>43831</v>
      </c>
      <c r="C14" s="215">
        <v>761395</v>
      </c>
      <c r="D14" t="s">
        <v>227</v>
      </c>
      <c r="E14" t="s">
        <v>304</v>
      </c>
      <c r="F14" t="s">
        <v>306</v>
      </c>
      <c r="H14" s="214">
        <v>8862</v>
      </c>
    </row>
    <row r="15" spans="1:9" x14ac:dyDescent="0.3">
      <c r="A15" s="212">
        <v>43831</v>
      </c>
      <c r="C15" s="215">
        <v>761394</v>
      </c>
      <c r="D15" t="s">
        <v>227</v>
      </c>
      <c r="E15" t="s">
        <v>304</v>
      </c>
      <c r="F15" t="s">
        <v>305</v>
      </c>
      <c r="H15" s="214">
        <v>52591</v>
      </c>
    </row>
    <row r="16" spans="1:9" x14ac:dyDescent="0.3">
      <c r="A16" s="212">
        <v>43831</v>
      </c>
      <c r="C16" s="215">
        <v>761394</v>
      </c>
      <c r="D16" t="s">
        <v>227</v>
      </c>
      <c r="E16" t="s">
        <v>304</v>
      </c>
      <c r="F16" t="s">
        <v>305</v>
      </c>
      <c r="H16" s="214">
        <v>828492</v>
      </c>
    </row>
    <row r="17" spans="1:10" x14ac:dyDescent="0.3">
      <c r="A17" s="212">
        <v>43831</v>
      </c>
      <c r="C17" s="215">
        <v>761394</v>
      </c>
      <c r="D17" t="s">
        <v>227</v>
      </c>
      <c r="E17" t="s">
        <v>304</v>
      </c>
      <c r="F17" t="s">
        <v>305</v>
      </c>
      <c r="H17" s="214">
        <v>1018613</v>
      </c>
    </row>
    <row r="18" spans="1:10" x14ac:dyDescent="0.3">
      <c r="A18" s="212">
        <v>43831</v>
      </c>
      <c r="C18" s="215">
        <v>761396</v>
      </c>
      <c r="D18" t="s">
        <v>227</v>
      </c>
      <c r="E18" t="s">
        <v>304</v>
      </c>
      <c r="F18" t="s">
        <v>307</v>
      </c>
      <c r="H18" s="214">
        <v>57781</v>
      </c>
    </row>
    <row r="19" spans="1:10" x14ac:dyDescent="0.3">
      <c r="A19" s="212">
        <v>43861</v>
      </c>
      <c r="C19" s="215">
        <v>725884</v>
      </c>
      <c r="D19" t="s">
        <v>227</v>
      </c>
      <c r="E19" t="s">
        <v>310</v>
      </c>
      <c r="F19" t="s">
        <v>311</v>
      </c>
      <c r="H19" s="214">
        <v>200286.96</v>
      </c>
      <c r="J19" s="250">
        <f>SUM(H13:H19)-I13</f>
        <v>1975202.96</v>
      </c>
    </row>
    <row r="20" spans="1:10" x14ac:dyDescent="0.3">
      <c r="A20" s="212"/>
      <c r="C20" s="215"/>
      <c r="H20" s="214"/>
    </row>
    <row r="21" spans="1:10" x14ac:dyDescent="0.3">
      <c r="A21" s="212">
        <v>43890</v>
      </c>
      <c r="C21" s="215">
        <v>730979</v>
      </c>
      <c r="D21" t="s">
        <v>227</v>
      </c>
      <c r="E21" t="s">
        <v>341</v>
      </c>
      <c r="F21" t="s">
        <v>342</v>
      </c>
      <c r="H21" s="214">
        <v>62292.639999999999</v>
      </c>
    </row>
    <row r="22" spans="1:10" x14ac:dyDescent="0.3">
      <c r="A22" s="212">
        <v>43891</v>
      </c>
      <c r="C22" s="215">
        <v>730979</v>
      </c>
      <c r="D22" t="s">
        <v>227</v>
      </c>
      <c r="E22" t="s">
        <v>344</v>
      </c>
      <c r="F22" t="s">
        <v>342</v>
      </c>
      <c r="I22" s="214">
        <v>62292.639999999999</v>
      </c>
    </row>
    <row r="23" spans="1:10" x14ac:dyDescent="0.3">
      <c r="A23" s="212">
        <v>44135</v>
      </c>
      <c r="C23" s="215">
        <v>771547</v>
      </c>
      <c r="D23" t="s">
        <v>227</v>
      </c>
      <c r="E23" t="s">
        <v>347</v>
      </c>
      <c r="F23" t="s">
        <v>348</v>
      </c>
      <c r="I23" s="214">
        <v>1315039.1599999999</v>
      </c>
    </row>
    <row r="24" spans="1:10" x14ac:dyDescent="0.3">
      <c r="A24" s="212">
        <v>44136</v>
      </c>
      <c r="C24" s="215">
        <v>771547</v>
      </c>
      <c r="D24" t="s">
        <v>227</v>
      </c>
      <c r="E24" t="s">
        <v>355</v>
      </c>
      <c r="F24" t="s">
        <v>348</v>
      </c>
      <c r="H24" s="214">
        <v>1315039.1599999999</v>
      </c>
    </row>
    <row r="25" spans="1:10" x14ac:dyDescent="0.3">
      <c r="A25" s="212">
        <v>44165</v>
      </c>
      <c r="C25" s="215">
        <v>776705</v>
      </c>
      <c r="D25" t="s">
        <v>227</v>
      </c>
      <c r="E25" t="s">
        <v>350</v>
      </c>
      <c r="F25" t="s">
        <v>351</v>
      </c>
      <c r="I25" s="214">
        <v>1502346.61</v>
      </c>
    </row>
    <row r="26" spans="1:10" x14ac:dyDescent="0.3">
      <c r="A26" s="212">
        <v>44166</v>
      </c>
      <c r="C26" s="215">
        <v>776705</v>
      </c>
      <c r="D26" t="s">
        <v>227</v>
      </c>
      <c r="E26" t="s">
        <v>353</v>
      </c>
      <c r="F26" t="s">
        <v>351</v>
      </c>
      <c r="H26" s="214">
        <v>1502346.61</v>
      </c>
    </row>
    <row r="27" spans="1:10" x14ac:dyDescent="0.3">
      <c r="A27" s="212">
        <v>44104</v>
      </c>
      <c r="C27" s="215">
        <v>765330</v>
      </c>
      <c r="D27" t="s">
        <v>227</v>
      </c>
      <c r="E27" t="s">
        <v>390</v>
      </c>
      <c r="F27" t="s">
        <v>391</v>
      </c>
      <c r="H27" s="214">
        <v>0.06</v>
      </c>
    </row>
    <row r="28" spans="1:10" x14ac:dyDescent="0.3">
      <c r="A28" s="212">
        <v>44043</v>
      </c>
      <c r="C28" s="215">
        <v>754620</v>
      </c>
      <c r="D28" t="s">
        <v>227</v>
      </c>
      <c r="E28" t="s">
        <v>387</v>
      </c>
      <c r="F28" t="s">
        <v>388</v>
      </c>
      <c r="I28" s="214">
        <v>24495.14</v>
      </c>
    </row>
    <row r="29" spans="1:10" x14ac:dyDescent="0.3">
      <c r="A29" s="212">
        <v>44044</v>
      </c>
      <c r="C29" s="215">
        <v>754620</v>
      </c>
      <c r="D29" t="s">
        <v>227</v>
      </c>
      <c r="E29" t="s">
        <v>389</v>
      </c>
      <c r="F29" t="s">
        <v>388</v>
      </c>
      <c r="H29" s="214">
        <v>24495.14</v>
      </c>
    </row>
    <row r="30" spans="1:10" x14ac:dyDescent="0.3">
      <c r="A30" s="212">
        <v>44135</v>
      </c>
      <c r="C30" s="215">
        <v>771545</v>
      </c>
      <c r="D30" t="s">
        <v>227</v>
      </c>
      <c r="E30" t="s">
        <v>345</v>
      </c>
      <c r="F30" t="s">
        <v>346</v>
      </c>
      <c r="H30" s="214">
        <v>1315039.1599999999</v>
      </c>
    </row>
    <row r="31" spans="1:10" x14ac:dyDescent="0.3">
      <c r="A31" s="212">
        <v>44136</v>
      </c>
      <c r="C31" s="215">
        <v>771545</v>
      </c>
      <c r="D31" t="s">
        <v>227</v>
      </c>
      <c r="E31" t="s">
        <v>354</v>
      </c>
      <c r="F31" t="s">
        <v>346</v>
      </c>
      <c r="I31" s="214">
        <v>1315039.1599999999</v>
      </c>
    </row>
    <row r="32" spans="1:10" x14ac:dyDescent="0.3">
      <c r="A32" s="212">
        <v>43861</v>
      </c>
      <c r="C32" s="215">
        <v>728966</v>
      </c>
      <c r="D32" t="s">
        <v>227</v>
      </c>
      <c r="E32" t="s">
        <v>315</v>
      </c>
      <c r="F32" t="s">
        <v>313</v>
      </c>
      <c r="I32" s="214">
        <v>205223.44</v>
      </c>
    </row>
    <row r="33" spans="1:9" x14ac:dyDescent="0.3">
      <c r="A33" s="212">
        <v>43862</v>
      </c>
      <c r="C33" s="215">
        <v>728966</v>
      </c>
      <c r="D33" t="s">
        <v>227</v>
      </c>
      <c r="E33" t="s">
        <v>316</v>
      </c>
      <c r="F33" t="s">
        <v>313</v>
      </c>
      <c r="H33" s="214">
        <v>205223.44</v>
      </c>
    </row>
    <row r="34" spans="1:9" x14ac:dyDescent="0.3">
      <c r="A34" s="212">
        <v>43890</v>
      </c>
      <c r="C34" s="215">
        <v>730966</v>
      </c>
      <c r="D34" t="s">
        <v>227</v>
      </c>
      <c r="E34" t="s">
        <v>340</v>
      </c>
      <c r="F34" t="s">
        <v>313</v>
      </c>
      <c r="I34" s="214">
        <v>62292.639999999999</v>
      </c>
    </row>
    <row r="35" spans="1:9" x14ac:dyDescent="0.3">
      <c r="A35" s="212">
        <v>43890</v>
      </c>
      <c r="C35" s="215">
        <v>730980</v>
      </c>
      <c r="D35" t="s">
        <v>227</v>
      </c>
      <c r="E35" t="s">
        <v>317</v>
      </c>
      <c r="F35" t="s">
        <v>313</v>
      </c>
      <c r="I35" s="214">
        <v>62292.639999999999</v>
      </c>
    </row>
    <row r="36" spans="1:9" x14ac:dyDescent="0.3">
      <c r="A36" s="212">
        <v>43891</v>
      </c>
      <c r="C36" s="215">
        <v>730966</v>
      </c>
      <c r="D36" t="s">
        <v>227</v>
      </c>
      <c r="E36" t="s">
        <v>343</v>
      </c>
      <c r="F36" t="s">
        <v>313</v>
      </c>
      <c r="H36" s="214">
        <v>62292.639999999999</v>
      </c>
    </row>
    <row r="37" spans="1:9" x14ac:dyDescent="0.3">
      <c r="A37" s="212">
        <v>43891</v>
      </c>
      <c r="C37" s="215">
        <v>730980</v>
      </c>
      <c r="D37" t="s">
        <v>227</v>
      </c>
      <c r="E37" t="s">
        <v>318</v>
      </c>
      <c r="F37" t="s">
        <v>313</v>
      </c>
      <c r="H37" s="214">
        <v>62292.639999999999</v>
      </c>
    </row>
    <row r="38" spans="1:9" x14ac:dyDescent="0.3">
      <c r="A38" s="212">
        <v>43921</v>
      </c>
      <c r="C38" s="215">
        <v>734137</v>
      </c>
      <c r="D38" t="s">
        <v>227</v>
      </c>
      <c r="E38" t="s">
        <v>319</v>
      </c>
      <c r="F38" t="s">
        <v>313</v>
      </c>
      <c r="I38" s="214">
        <v>414476.35</v>
      </c>
    </row>
    <row r="39" spans="1:9" x14ac:dyDescent="0.3">
      <c r="A39" s="212">
        <v>43922</v>
      </c>
      <c r="C39" s="215">
        <v>734137</v>
      </c>
      <c r="D39" t="s">
        <v>227</v>
      </c>
      <c r="E39" t="s">
        <v>320</v>
      </c>
      <c r="F39" t="s">
        <v>313</v>
      </c>
      <c r="H39" s="214">
        <v>414476.35</v>
      </c>
    </row>
    <row r="40" spans="1:9" x14ac:dyDescent="0.3">
      <c r="A40" s="212">
        <v>43951</v>
      </c>
      <c r="C40" s="215">
        <v>738542</v>
      </c>
      <c r="D40" t="s">
        <v>227</v>
      </c>
      <c r="E40" t="s">
        <v>321</v>
      </c>
      <c r="F40" t="s">
        <v>313</v>
      </c>
      <c r="I40" s="214">
        <v>111696.54</v>
      </c>
    </row>
    <row r="41" spans="1:9" x14ac:dyDescent="0.3">
      <c r="A41" s="212">
        <v>43952</v>
      </c>
      <c r="C41" s="215">
        <v>738542</v>
      </c>
      <c r="D41" t="s">
        <v>227</v>
      </c>
      <c r="E41" t="s">
        <v>322</v>
      </c>
      <c r="F41" t="s">
        <v>313</v>
      </c>
      <c r="H41" s="214">
        <v>111696.54</v>
      </c>
    </row>
    <row r="42" spans="1:9" x14ac:dyDescent="0.3">
      <c r="A42" s="212">
        <v>43982</v>
      </c>
      <c r="C42" s="215">
        <v>743322</v>
      </c>
      <c r="D42" t="s">
        <v>227</v>
      </c>
      <c r="E42" t="s">
        <v>323</v>
      </c>
      <c r="F42" t="s">
        <v>313</v>
      </c>
      <c r="H42" s="214">
        <v>396280.66</v>
      </c>
    </row>
    <row r="43" spans="1:9" x14ac:dyDescent="0.3">
      <c r="A43" s="212">
        <v>43983</v>
      </c>
      <c r="C43" s="215">
        <v>743322</v>
      </c>
      <c r="D43" t="s">
        <v>227</v>
      </c>
      <c r="E43" t="s">
        <v>324</v>
      </c>
      <c r="F43" t="s">
        <v>313</v>
      </c>
      <c r="I43" s="214">
        <v>396280.66</v>
      </c>
    </row>
    <row r="44" spans="1:9" x14ac:dyDescent="0.3">
      <c r="A44" s="212">
        <v>44012</v>
      </c>
      <c r="C44" s="215">
        <v>749520</v>
      </c>
      <c r="D44" t="s">
        <v>227</v>
      </c>
      <c r="E44" t="s">
        <v>325</v>
      </c>
      <c r="F44" t="s">
        <v>313</v>
      </c>
      <c r="H44" s="214">
        <v>1017420.06</v>
      </c>
    </row>
    <row r="45" spans="1:9" x14ac:dyDescent="0.3">
      <c r="A45" s="212">
        <v>44013</v>
      </c>
      <c r="C45" s="215">
        <v>749520</v>
      </c>
      <c r="D45" t="s">
        <v>227</v>
      </c>
      <c r="E45" t="s">
        <v>326</v>
      </c>
      <c r="F45" t="s">
        <v>313</v>
      </c>
      <c r="I45" s="214">
        <v>1017420.06</v>
      </c>
    </row>
    <row r="46" spans="1:9" x14ac:dyDescent="0.3">
      <c r="A46" s="212">
        <v>44043</v>
      </c>
      <c r="C46" s="215">
        <v>754619</v>
      </c>
      <c r="D46" t="s">
        <v>227</v>
      </c>
      <c r="E46" t="s">
        <v>327</v>
      </c>
      <c r="F46" t="s">
        <v>313</v>
      </c>
      <c r="H46" s="214">
        <v>24495.14</v>
      </c>
    </row>
    <row r="47" spans="1:9" x14ac:dyDescent="0.3">
      <c r="A47" s="212">
        <v>44043</v>
      </c>
      <c r="C47" s="215">
        <v>754619</v>
      </c>
      <c r="D47" t="s">
        <v>227</v>
      </c>
      <c r="E47" t="s">
        <v>327</v>
      </c>
      <c r="F47" t="s">
        <v>313</v>
      </c>
      <c r="H47" s="214">
        <v>530048.18999999994</v>
      </c>
    </row>
    <row r="48" spans="1:9" x14ac:dyDescent="0.3">
      <c r="A48" s="212">
        <v>44044</v>
      </c>
      <c r="C48" s="215">
        <v>754619</v>
      </c>
      <c r="D48" t="s">
        <v>227</v>
      </c>
      <c r="E48" t="s">
        <v>328</v>
      </c>
      <c r="F48" t="s">
        <v>313</v>
      </c>
      <c r="I48" s="214">
        <v>24495.14</v>
      </c>
    </row>
    <row r="49" spans="1:10" x14ac:dyDescent="0.3">
      <c r="A49" s="212">
        <v>44044</v>
      </c>
      <c r="C49" s="215">
        <v>754619</v>
      </c>
      <c r="D49" t="s">
        <v>227</v>
      </c>
      <c r="E49" t="s">
        <v>328</v>
      </c>
      <c r="F49" t="s">
        <v>313</v>
      </c>
      <c r="I49" s="214">
        <v>530048.18999999994</v>
      </c>
    </row>
    <row r="50" spans="1:10" x14ac:dyDescent="0.3">
      <c r="A50" s="212">
        <v>44074</v>
      </c>
      <c r="C50" s="215">
        <v>761297</v>
      </c>
      <c r="D50" t="s">
        <v>227</v>
      </c>
      <c r="E50" t="s">
        <v>329</v>
      </c>
      <c r="F50" t="s">
        <v>313</v>
      </c>
      <c r="H50" s="214">
        <v>836502.9</v>
      </c>
    </row>
    <row r="51" spans="1:10" x14ac:dyDescent="0.3">
      <c r="A51" s="212">
        <v>44075</v>
      </c>
      <c r="C51" s="215">
        <v>761297</v>
      </c>
      <c r="D51" t="s">
        <v>227</v>
      </c>
      <c r="E51" t="s">
        <v>332</v>
      </c>
      <c r="F51" t="s">
        <v>313</v>
      </c>
      <c r="I51" s="214">
        <v>836502.9</v>
      </c>
    </row>
    <row r="52" spans="1:10" x14ac:dyDescent="0.3">
      <c r="A52" s="212">
        <v>44104</v>
      </c>
      <c r="C52" s="215">
        <v>765329</v>
      </c>
      <c r="D52" t="s">
        <v>227</v>
      </c>
      <c r="E52" t="s">
        <v>334</v>
      </c>
      <c r="F52" t="s">
        <v>313</v>
      </c>
      <c r="H52" s="214">
        <v>988381.7</v>
      </c>
    </row>
    <row r="53" spans="1:10" x14ac:dyDescent="0.3">
      <c r="A53" s="212">
        <v>44105</v>
      </c>
      <c r="C53" s="215">
        <v>765329</v>
      </c>
      <c r="D53" t="s">
        <v>227</v>
      </c>
      <c r="E53" t="s">
        <v>335</v>
      </c>
      <c r="F53" t="s">
        <v>313</v>
      </c>
      <c r="I53" s="214">
        <v>988381.7</v>
      </c>
    </row>
    <row r="54" spans="1:10" x14ac:dyDescent="0.3">
      <c r="A54" s="212">
        <v>44135</v>
      </c>
      <c r="C54" s="215">
        <v>771549</v>
      </c>
      <c r="D54" t="s">
        <v>227</v>
      </c>
      <c r="E54" t="s">
        <v>336</v>
      </c>
      <c r="F54" t="s">
        <v>313</v>
      </c>
      <c r="H54" s="214">
        <v>1315039.1599999999</v>
      </c>
    </row>
    <row r="55" spans="1:10" x14ac:dyDescent="0.3">
      <c r="A55" s="212">
        <v>44136</v>
      </c>
      <c r="C55" s="215">
        <v>771549</v>
      </c>
      <c r="D55" t="s">
        <v>227</v>
      </c>
      <c r="E55" t="s">
        <v>337</v>
      </c>
      <c r="F55" t="s">
        <v>313</v>
      </c>
      <c r="I55" s="214">
        <v>1315039.1599999999</v>
      </c>
    </row>
    <row r="56" spans="1:10" x14ac:dyDescent="0.3">
      <c r="A56" s="212">
        <v>44165</v>
      </c>
      <c r="C56" s="215">
        <v>776617</v>
      </c>
      <c r="D56" t="s">
        <v>227</v>
      </c>
      <c r="E56" t="s">
        <v>349</v>
      </c>
      <c r="F56" t="s">
        <v>313</v>
      </c>
      <c r="H56" s="214">
        <v>1502346.61</v>
      </c>
    </row>
    <row r="57" spans="1:10" x14ac:dyDescent="0.3">
      <c r="A57" s="212">
        <v>44165</v>
      </c>
      <c r="C57" s="215">
        <v>776715</v>
      </c>
      <c r="D57" t="s">
        <v>227</v>
      </c>
      <c r="E57" t="s">
        <v>338</v>
      </c>
      <c r="F57" t="s">
        <v>313</v>
      </c>
      <c r="H57" s="214">
        <v>1502301.55</v>
      </c>
    </row>
    <row r="58" spans="1:10" x14ac:dyDescent="0.3">
      <c r="A58" s="212">
        <v>44166</v>
      </c>
      <c r="C58" s="215">
        <v>776617</v>
      </c>
      <c r="D58" t="s">
        <v>227</v>
      </c>
      <c r="E58" t="s">
        <v>352</v>
      </c>
      <c r="F58" t="s">
        <v>313</v>
      </c>
      <c r="I58" s="214">
        <v>1502346.61</v>
      </c>
    </row>
    <row r="59" spans="1:10" x14ac:dyDescent="0.3">
      <c r="A59" s="212">
        <v>44166</v>
      </c>
      <c r="C59" s="215">
        <v>776715</v>
      </c>
      <c r="D59" t="s">
        <v>227</v>
      </c>
      <c r="E59" t="s">
        <v>339</v>
      </c>
      <c r="F59" t="s">
        <v>313</v>
      </c>
      <c r="I59" s="214">
        <v>1502301.55</v>
      </c>
    </row>
    <row r="60" spans="1:10" x14ac:dyDescent="0.3">
      <c r="A60" s="212">
        <v>44196</v>
      </c>
      <c r="C60" s="215">
        <v>787198</v>
      </c>
      <c r="D60" t="s">
        <v>227</v>
      </c>
      <c r="E60" t="s">
        <v>312</v>
      </c>
      <c r="F60" t="s">
        <v>313</v>
      </c>
      <c r="H60" s="214">
        <v>1179978.1100000001</v>
      </c>
    </row>
    <row r="61" spans="1:10" x14ac:dyDescent="0.3">
      <c r="A61" s="212">
        <v>44196</v>
      </c>
      <c r="C61" s="215">
        <v>787202</v>
      </c>
      <c r="D61" t="s">
        <v>227</v>
      </c>
      <c r="E61" t="s">
        <v>314</v>
      </c>
      <c r="F61" t="s">
        <v>313</v>
      </c>
      <c r="H61" s="214">
        <v>392113.34</v>
      </c>
      <c r="J61" s="250">
        <f>H60+H61</f>
        <v>1572091.4500000002</v>
      </c>
    </row>
    <row r="62" spans="1:10" x14ac:dyDescent="0.3">
      <c r="A62" t="s">
        <v>195</v>
      </c>
      <c r="B62" s="212">
        <v>44399</v>
      </c>
      <c r="C62" s="213">
        <v>0.4296875</v>
      </c>
      <c r="D62" t="s">
        <v>196</v>
      </c>
      <c r="E62" t="s">
        <v>197</v>
      </c>
      <c r="F62">
        <v>2</v>
      </c>
    </row>
    <row r="63" spans="1:10" x14ac:dyDescent="0.3">
      <c r="A63" t="s">
        <v>198</v>
      </c>
      <c r="B63" s="212">
        <v>44399</v>
      </c>
      <c r="C63" t="s">
        <v>199</v>
      </c>
      <c r="D63">
        <v>2020</v>
      </c>
      <c r="E63" t="s">
        <v>200</v>
      </c>
      <c r="F63" t="s">
        <v>201</v>
      </c>
    </row>
    <row r="64" spans="1:10" x14ac:dyDescent="0.3">
      <c r="A64" t="s">
        <v>202</v>
      </c>
    </row>
    <row r="65" spans="1:8" x14ac:dyDescent="0.3">
      <c r="A65" t="s">
        <v>203</v>
      </c>
    </row>
    <row r="66" spans="1:8" x14ac:dyDescent="0.3">
      <c r="A66" t="s">
        <v>218</v>
      </c>
      <c r="B66" t="s">
        <v>219</v>
      </c>
      <c r="C66" t="s">
        <v>220</v>
      </c>
      <c r="D66" t="s">
        <v>221</v>
      </c>
      <c r="E66" t="s">
        <v>222</v>
      </c>
      <c r="F66" t="s">
        <v>214</v>
      </c>
      <c r="G66" t="s">
        <v>223</v>
      </c>
      <c r="H66" t="s">
        <v>224</v>
      </c>
    </row>
    <row r="67" spans="1:8" x14ac:dyDescent="0.3">
      <c r="A67" t="s">
        <v>225</v>
      </c>
      <c r="B67" t="s">
        <v>226</v>
      </c>
    </row>
    <row r="68" spans="1:8" x14ac:dyDescent="0.3">
      <c r="A68" t="s">
        <v>297</v>
      </c>
      <c r="B68" t="s">
        <v>298</v>
      </c>
    </row>
    <row r="69" spans="1:8" x14ac:dyDescent="0.3">
      <c r="A69" t="s">
        <v>299</v>
      </c>
      <c r="B69" s="214">
        <v>16926727.760000002</v>
      </c>
      <c r="C69" s="214">
        <v>13379433.289999999</v>
      </c>
    </row>
    <row r="70" spans="1:8" x14ac:dyDescent="0.3">
      <c r="A70" t="s">
        <v>300</v>
      </c>
      <c r="B70">
        <v>48</v>
      </c>
      <c r="C70" t="s">
        <v>301</v>
      </c>
      <c r="D70" t="s">
        <v>302</v>
      </c>
    </row>
  </sheetData>
  <sortState xmlns:xlrd2="http://schemas.microsoft.com/office/spreadsheetml/2017/richdata2" ref="A13:I60">
    <sortCondition ref="F13:F6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1589 Adj</vt:lpstr>
      <vt:lpstr>Trx Balances</vt:lpstr>
      <vt:lpstr>1589 Breakdown</vt:lpstr>
      <vt:lpstr>4707 Trx</vt:lpstr>
      <vt:lpstr>1589 Trx</vt:lpstr>
      <vt:lpstr>1589 Breakdown2</vt:lpstr>
      <vt:lpstr>1588 Breakdown2</vt:lpstr>
      <vt:lpstr>1588 Breakdown</vt:lpstr>
      <vt:lpstr>1588 Trx</vt:lpstr>
      <vt:lpstr>Princ Adj</vt:lpstr>
      <vt:lpstr>2024 Princ Adj</vt:lpstr>
      <vt:lpstr>2020 Unacct Losses</vt:lpstr>
      <vt:lpstr>'2024 Princ Adj'!Print_Area</vt:lpstr>
      <vt:lpstr>'Princ Adj'!Print_Area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Hampton</dc:creator>
  <cp:lastModifiedBy>Laura Hampton</cp:lastModifiedBy>
  <cp:lastPrinted>2025-08-13T21:09:56Z</cp:lastPrinted>
  <dcterms:created xsi:type="dcterms:W3CDTF">2021-08-05T11:54:04Z</dcterms:created>
  <dcterms:modified xsi:type="dcterms:W3CDTF">2025-08-13T21:23:59Z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</Properties>
</file>