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haynet\.syncclient\1695217496109\shaynethompson@hydroottawa.com\1hyYzhFEqlqo00BgqqNrA3oWGucS0Youw\"/>
    </mc:Choice>
  </mc:AlternateContent>
  <xr:revisionPtr revIDLastSave="0" documentId="13_ncr:1_{2A6E1100-9F8F-4038-A15E-C7C8EB0C9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RR &amp; BRR" sheetId="1" r:id="rId1"/>
    <sheet name="OtherRev&amp;RevAtStatusQu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E21" i="1"/>
  <c r="F21" i="1"/>
  <c r="G21" i="1"/>
  <c r="H21" i="1"/>
  <c r="I21" i="1"/>
  <c r="J21" i="1"/>
  <c r="K21" i="1"/>
  <c r="L21" i="1"/>
  <c r="M21" i="1"/>
  <c r="N21" i="1"/>
  <c r="D21" i="1"/>
  <c r="E20" i="1"/>
  <c r="F20" i="1"/>
  <c r="G20" i="1"/>
  <c r="O20" i="1" s="1"/>
  <c r="H20" i="1"/>
  <c r="I20" i="1"/>
  <c r="J20" i="1"/>
  <c r="K20" i="1"/>
  <c r="L20" i="1"/>
  <c r="M20" i="1"/>
  <c r="N20" i="1"/>
  <c r="D20" i="1"/>
  <c r="O17" i="1"/>
  <c r="I16" i="1"/>
  <c r="H16" i="1"/>
  <c r="N18" i="1"/>
  <c r="M18" i="1"/>
  <c r="L18" i="1"/>
  <c r="J18" i="1"/>
  <c r="G18" i="1"/>
  <c r="F18" i="1"/>
  <c r="E18" i="1"/>
  <c r="D18" i="1"/>
  <c r="N17" i="1"/>
  <c r="M17" i="1"/>
  <c r="L17" i="1"/>
  <c r="J17" i="1"/>
  <c r="G17" i="1"/>
  <c r="F17" i="1"/>
  <c r="E17" i="1"/>
  <c r="D17" i="1"/>
  <c r="K18" i="1"/>
  <c r="K17" i="1"/>
  <c r="K16" i="1"/>
  <c r="C40" i="2"/>
  <c r="B40" i="2"/>
  <c r="C39" i="2" s="1"/>
  <c r="E14" i="2"/>
  <c r="E13" i="2"/>
  <c r="E12" i="2"/>
  <c r="E11" i="2"/>
  <c r="E10" i="2"/>
  <c r="E9" i="2"/>
  <c r="E8" i="2"/>
  <c r="E7" i="2"/>
  <c r="E6" i="2"/>
  <c r="E5" i="2"/>
  <c r="E4" i="2"/>
  <c r="E3" i="2"/>
  <c r="N6" i="1"/>
  <c r="M6" i="1"/>
  <c r="L6" i="1"/>
  <c r="K6" i="1"/>
  <c r="J6" i="1"/>
  <c r="I6" i="1"/>
  <c r="H6" i="1"/>
  <c r="G6" i="1"/>
  <c r="F6" i="1"/>
  <c r="E6" i="1"/>
  <c r="D6" i="1"/>
  <c r="O5" i="1"/>
  <c r="O4" i="1"/>
  <c r="H17" i="1" l="1"/>
  <c r="H18" i="1" s="1"/>
  <c r="I17" i="1"/>
  <c r="I18" i="1" s="1"/>
  <c r="N10" i="1"/>
  <c r="M9" i="1"/>
  <c r="C29" i="2"/>
  <c r="D10" i="1" s="1"/>
  <c r="C31" i="2"/>
  <c r="F10" i="1" s="1"/>
  <c r="C34" i="2"/>
  <c r="I10" i="1" s="1"/>
  <c r="L9" i="1"/>
  <c r="C35" i="2"/>
  <c r="J10" i="1" s="1"/>
  <c r="D9" i="1"/>
  <c r="N9" i="1"/>
  <c r="C30" i="2"/>
  <c r="E10" i="1" s="1"/>
  <c r="E11" i="1" s="1"/>
  <c r="E9" i="1"/>
  <c r="F9" i="1"/>
  <c r="C32" i="2"/>
  <c r="G10" i="1" s="1"/>
  <c r="G11" i="1" s="1"/>
  <c r="G9" i="1"/>
  <c r="C33" i="2"/>
  <c r="H10" i="1" s="1"/>
  <c r="H9" i="1"/>
  <c r="I9" i="1"/>
  <c r="C36" i="2"/>
  <c r="K10" i="1" s="1"/>
  <c r="C37" i="2"/>
  <c r="L10" i="1" s="1"/>
  <c r="C38" i="2"/>
  <c r="M10" i="1" s="1"/>
  <c r="J9" i="1"/>
  <c r="K9" i="1"/>
  <c r="N11" i="1" l="1"/>
  <c r="L11" i="1"/>
  <c r="K11" i="1"/>
  <c r="J11" i="1"/>
  <c r="I11" i="1"/>
  <c r="F11" i="1"/>
  <c r="H11" i="1"/>
  <c r="D11" i="1"/>
  <c r="M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Dugan, April</author>
  </authors>
  <commentList>
    <comment ref="I16" authorId="0" shapeId="0" xr:uid="{8C7C8ED8-878C-49C3-ACA1-B5EFBC6FFDF5}">
      <text>
        <r>
          <rPr>
            <sz val="9"/>
            <color indexed="81"/>
            <rFont val="Tahoma"/>
            <family val="2"/>
          </rPr>
          <t xml:space="preserve">
Streetlight class will be brought into band by 2030</t>
        </r>
      </text>
    </comment>
  </commentList>
</comments>
</file>

<file path=xl/sharedStrings.xml><?xml version="1.0" encoding="utf-8"?>
<sst xmlns="http://schemas.openxmlformats.org/spreadsheetml/2006/main" count="75" uniqueCount="40">
  <si>
    <t>Service Revenue Requirement Allocation</t>
  </si>
  <si>
    <t>Residential</t>
  </si>
  <si>
    <t>GS &lt;50</t>
  </si>
  <si>
    <t>GS 50 to 1,499 kW</t>
  </si>
  <si>
    <t>Large Use</t>
  </si>
  <si>
    <t>Street Light</t>
  </si>
  <si>
    <t>Sentinel</t>
  </si>
  <si>
    <t>Unmetered Scattered Load</t>
  </si>
  <si>
    <t>Standby Power  GS 50 to 1,499 kW</t>
  </si>
  <si>
    <t>Standby Power GS 1,500 to 4,999 kW</t>
  </si>
  <si>
    <t>Standby Power Large Use</t>
  </si>
  <si>
    <t>Total</t>
  </si>
  <si>
    <t>2027 Amounts Approved in 2026 Application</t>
  </si>
  <si>
    <t>Row 40</t>
  </si>
  <si>
    <t>Calculated Revenue Requirement (includes NI)</t>
  </si>
  <si>
    <t>Row 25</t>
  </si>
  <si>
    <t>Total Revenue at Status Quo Rates</t>
  </si>
  <si>
    <t>REVENUE TO EXPENSES STATUS QUO%</t>
  </si>
  <si>
    <t>2027 Amounts - 2027 Approved Revenue Requirement</t>
  </si>
  <si>
    <t>Monthly Average Customer Count</t>
  </si>
  <si>
    <t>kWh/kW</t>
  </si>
  <si>
    <t>2027 Revenue at Status Quo Rates</t>
  </si>
  <si>
    <t>GS 1,500 to 4,999 kW</t>
  </si>
  <si>
    <t>2026 Approved Rates</t>
  </si>
  <si>
    <t>Fixed</t>
  </si>
  <si>
    <t>Variable</t>
  </si>
  <si>
    <t>GS &lt; 50 kW</t>
  </si>
  <si>
    <t>Street Lighting</t>
  </si>
  <si>
    <t>Sentinel Lighting</t>
  </si>
  <si>
    <t>Standby Power GS 50 to 1,499 kW</t>
  </si>
  <si>
    <t xml:space="preserve">Other Revenue </t>
  </si>
  <si>
    <t>2027 Approved</t>
  </si>
  <si>
    <t xml:space="preserve">2027 Revenue Load </t>
  </si>
  <si>
    <t>Lower Band</t>
  </si>
  <si>
    <t>Higher Band</t>
  </si>
  <si>
    <t>Adjustment to bring class within band</t>
  </si>
  <si>
    <t>Acheieved R/C ratio</t>
  </si>
  <si>
    <t>Adjusted total revenue requirement (SRR)</t>
  </si>
  <si>
    <t>Other Revenue</t>
  </si>
  <si>
    <t>Base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</si>
</sst>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"/>
    <numFmt numFmtId="165" formatCode="_-* #,##0.00_-;\-* #,##0.00_-;_-* &quot;-&quot;??_-;_-@"/>
    <numFmt numFmtId="166" formatCode="_(* #,##0_);_(* \(#,##0\);_(* &quot;-&quot;??_);_(@_)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  <font>
      <sz val="10"/>
      <color rgb="FFFFFFFF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000000"/>
      <name val="Arial"/>
      <scheme val="minor"/>
    </font>
    <font>
      <b/>
      <sz val="10"/>
      <color rgb="FF000000"/>
      <name val="Arial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5B9B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0" xfId="0" applyFont="1" applyAlignment="1"/>
    <xf numFmtId="3" fontId="1" fillId="0" borderId="0" xfId="0" applyNumberFormat="1" applyFont="1" applyAlignment="1"/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/>
    <xf numFmtId="3" fontId="3" fillId="0" borderId="1" xfId="0" applyNumberFormat="1" applyFont="1" applyBorder="1" applyAlignment="1"/>
    <xf numFmtId="3" fontId="8" fillId="0" borderId="1" xfId="0" applyNumberFormat="1" applyFont="1" applyBorder="1"/>
    <xf numFmtId="0" fontId="4" fillId="0" borderId="1" xfId="0" applyFont="1" applyBorder="1" applyAlignment="1"/>
    <xf numFmtId="0" fontId="8" fillId="0" borderId="1" xfId="0" applyFont="1" applyBorder="1" applyAlignment="1"/>
    <xf numFmtId="10" fontId="8" fillId="0" borderId="1" xfId="0" applyNumberFormat="1" applyFont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3" fontId="8" fillId="4" borderId="1" xfId="0" applyNumberFormat="1" applyFont="1" applyFill="1" applyBorder="1"/>
    <xf numFmtId="3" fontId="8" fillId="3" borderId="0" xfId="0" applyNumberFormat="1" applyFont="1" applyFill="1" applyAlignment="1"/>
    <xf numFmtId="0" fontId="10" fillId="5" borderId="0" xfId="0" applyFont="1" applyFill="1" applyAlignment="1"/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 wrapText="1"/>
    </xf>
    <xf numFmtId="164" fontId="8" fillId="0" borderId="5" xfId="0" applyNumberFormat="1" applyFont="1" applyBorder="1"/>
    <xf numFmtId="9" fontId="0" fillId="0" borderId="0" xfId="0" applyNumberFormat="1" applyFont="1" applyAlignment="1"/>
    <xf numFmtId="43" fontId="0" fillId="0" borderId="0" xfId="1" applyFont="1" applyAlignment="1"/>
    <xf numFmtId="3" fontId="0" fillId="0" borderId="0" xfId="0" applyNumberFormat="1" applyFont="1" applyAlignment="1"/>
    <xf numFmtId="43" fontId="0" fillId="0" borderId="0" xfId="0" applyNumberFormat="1" applyFont="1" applyAlignment="1"/>
    <xf numFmtId="10" fontId="12" fillId="0" borderId="0" xfId="2" applyNumberFormat="1" applyFont="1" applyAlignment="1"/>
    <xf numFmtId="3" fontId="12" fillId="0" borderId="0" xfId="0" applyNumberFormat="1" applyFont="1" applyAlignment="1"/>
    <xf numFmtId="166" fontId="0" fillId="0" borderId="0" xfId="1" applyNumberFormat="1" applyFont="1" applyAlignment="1"/>
    <xf numFmtId="166" fontId="0" fillId="0" borderId="0" xfId="0" applyNumberFormat="1" applyFont="1" applyAlignment="1"/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5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21"/>
  <sheetViews>
    <sheetView tabSelected="1" workbookViewId="0">
      <selection activeCell="K17" sqref="K17"/>
    </sheetView>
  </sheetViews>
  <sheetFormatPr defaultColWidth="12.5703125" defaultRowHeight="15.75" customHeight="1" x14ac:dyDescent="0.2"/>
  <cols>
    <col min="1" max="1" width="17" customWidth="1"/>
    <col min="3" max="3" width="40.140625" bestFit="1" customWidth="1"/>
    <col min="4" max="4" width="12.28515625" bestFit="1" customWidth="1"/>
  </cols>
  <sheetData>
    <row r="1" spans="1:15" ht="12.75" x14ac:dyDescent="0.2">
      <c r="A1" s="6"/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5.75" customHeight="1" x14ac:dyDescent="0.2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52.5" customHeight="1" x14ac:dyDescent="0.2">
      <c r="A3" s="15"/>
      <c r="B3" s="15"/>
      <c r="C3" s="15"/>
      <c r="D3" s="16" t="s">
        <v>1</v>
      </c>
      <c r="E3" s="16" t="s">
        <v>26</v>
      </c>
      <c r="F3" s="17" t="s">
        <v>3</v>
      </c>
      <c r="G3" s="17" t="s">
        <v>22</v>
      </c>
      <c r="H3" s="17" t="s">
        <v>4</v>
      </c>
      <c r="I3" s="17" t="s">
        <v>27</v>
      </c>
      <c r="J3" s="17" t="s">
        <v>28</v>
      </c>
      <c r="K3" s="17" t="s">
        <v>7</v>
      </c>
      <c r="L3" s="17" t="s">
        <v>29</v>
      </c>
      <c r="M3" s="17" t="s">
        <v>9</v>
      </c>
      <c r="N3" s="17" t="s">
        <v>10</v>
      </c>
      <c r="O3" s="16" t="s">
        <v>11</v>
      </c>
    </row>
    <row r="4" spans="1:15" ht="12.75" x14ac:dyDescent="0.2">
      <c r="A4" s="32" t="s">
        <v>12</v>
      </c>
      <c r="B4" s="9" t="s">
        <v>13</v>
      </c>
      <c r="C4" s="9" t="s">
        <v>14</v>
      </c>
      <c r="D4" s="10">
        <v>199609663</v>
      </c>
      <c r="E4" s="10">
        <v>32282343</v>
      </c>
      <c r="F4" s="10">
        <v>72729159</v>
      </c>
      <c r="G4" s="10">
        <v>15807893</v>
      </c>
      <c r="H4" s="10">
        <v>12405774</v>
      </c>
      <c r="I4" s="10">
        <v>1249811</v>
      </c>
      <c r="J4" s="10">
        <v>11516</v>
      </c>
      <c r="K4" s="10">
        <v>961829</v>
      </c>
      <c r="L4" s="10">
        <v>127718</v>
      </c>
      <c r="M4" s="10">
        <v>34249</v>
      </c>
      <c r="N4" s="10">
        <v>219780</v>
      </c>
      <c r="O4" s="11">
        <f>SUM(D4:N4)</f>
        <v>335439735</v>
      </c>
    </row>
    <row r="5" spans="1:15" ht="12.75" x14ac:dyDescent="0.2">
      <c r="A5" s="33"/>
      <c r="B5" s="9" t="s">
        <v>15</v>
      </c>
      <c r="C5" s="9" t="s">
        <v>16</v>
      </c>
      <c r="D5" s="10">
        <v>196510854</v>
      </c>
      <c r="E5" s="10">
        <v>38711415</v>
      </c>
      <c r="F5" s="10">
        <v>69188559</v>
      </c>
      <c r="G5" s="10">
        <v>16293622</v>
      </c>
      <c r="H5" s="10">
        <v>11531752</v>
      </c>
      <c r="I5" s="10">
        <v>1832947</v>
      </c>
      <c r="J5" s="10">
        <v>10078</v>
      </c>
      <c r="K5" s="10">
        <v>1155725</v>
      </c>
      <c r="L5" s="10">
        <v>61490</v>
      </c>
      <c r="M5" s="10">
        <v>21766</v>
      </c>
      <c r="N5" s="10">
        <v>121527</v>
      </c>
      <c r="O5" s="11">
        <f>SUM(D5:N5)</f>
        <v>335439735</v>
      </c>
    </row>
    <row r="6" spans="1:15" ht="12.75" x14ac:dyDescent="0.2">
      <c r="A6" s="34"/>
      <c r="B6" s="12"/>
      <c r="C6" s="13" t="s">
        <v>17</v>
      </c>
      <c r="D6" s="14">
        <f t="shared" ref="D6:G6" si="0">D5/D4</f>
        <v>0.98447565637140522</v>
      </c>
      <c r="E6" s="14">
        <f t="shared" si="0"/>
        <v>1.1991513441264161</v>
      </c>
      <c r="F6" s="14">
        <f t="shared" si="0"/>
        <v>0.95131801262819493</v>
      </c>
      <c r="G6" s="14">
        <f t="shared" si="0"/>
        <v>1.0307269918894315</v>
      </c>
      <c r="H6" s="14">
        <f t="shared" ref="H6:K6" si="1">H5/H4</f>
        <v>0.92954716086235334</v>
      </c>
      <c r="I6" s="14">
        <f t="shared" si="1"/>
        <v>1.4665793467972357</v>
      </c>
      <c r="J6" s="14">
        <f t="shared" si="1"/>
        <v>0.87513025356026397</v>
      </c>
      <c r="K6" s="14">
        <f t="shared" si="1"/>
        <v>1.2015909272854115</v>
      </c>
      <c r="L6" s="14">
        <f t="shared" ref="L6:N6" si="2">L5/L4</f>
        <v>0.48145132244476113</v>
      </c>
      <c r="M6" s="14">
        <f t="shared" si="2"/>
        <v>0.63552220502788404</v>
      </c>
      <c r="N6" s="14">
        <f t="shared" si="2"/>
        <v>0.55294840294840297</v>
      </c>
      <c r="O6" s="12"/>
    </row>
    <row r="7" spans="1:15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5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2.75" x14ac:dyDescent="0.2">
      <c r="A9" s="35" t="s">
        <v>18</v>
      </c>
      <c r="B9" s="9" t="s">
        <v>13</v>
      </c>
      <c r="C9" s="9" t="s">
        <v>14</v>
      </c>
      <c r="D9" s="10">
        <f t="shared" ref="D9:N9" si="3">(D4/$O$4)*$O$9</f>
        <v>220175392.48890716</v>
      </c>
      <c r="E9" s="10">
        <f t="shared" si="3"/>
        <v>35608384.051460095</v>
      </c>
      <c r="F9" s="10">
        <f t="shared" si="3"/>
        <v>80222424.54371126</v>
      </c>
      <c r="G9" s="10">
        <f t="shared" si="3"/>
        <v>17436575.932186447</v>
      </c>
      <c r="H9" s="10">
        <f t="shared" si="3"/>
        <v>13683937.533518502</v>
      </c>
      <c r="I9" s="10">
        <f t="shared" si="3"/>
        <v>1378578.6886577406</v>
      </c>
      <c r="J9" s="10">
        <f t="shared" si="3"/>
        <v>12702.490359408375</v>
      </c>
      <c r="K9" s="10">
        <f t="shared" si="3"/>
        <v>1060925.9812347514</v>
      </c>
      <c r="L9" s="10">
        <f t="shared" si="3"/>
        <v>140876.75093113224</v>
      </c>
      <c r="M9" s="10">
        <f t="shared" si="3"/>
        <v>37777.665189247782</v>
      </c>
      <c r="N9" s="10">
        <f t="shared" si="3"/>
        <v>242423.87384428381</v>
      </c>
      <c r="O9" s="18">
        <v>370000000</v>
      </c>
    </row>
    <row r="10" spans="1:15" ht="12.75" x14ac:dyDescent="0.2">
      <c r="A10" s="33"/>
      <c r="B10" s="9" t="s">
        <v>15</v>
      </c>
      <c r="C10" s="9" t="s">
        <v>16</v>
      </c>
      <c r="D10" s="10">
        <f>('OtherRev&amp;RevAtStatusQuo'!E3+'OtherRev&amp;RevAtStatusQuo'!C29)/('OtherRev&amp;RevAtStatusQuo'!$C$40+'OtherRev&amp;RevAtStatusQuo'!$E$14)*$O$10</f>
        <v>217005237.82268167</v>
      </c>
      <c r="E10" s="10">
        <f>('OtherRev&amp;RevAtStatusQuo'!E4+'OtherRev&amp;RevAtStatusQuo'!C30)/('OtherRev&amp;RevAtStatusQuo'!$C$40+'OtherRev&amp;RevAtStatusQuo'!$E$14)*$O$10</f>
        <v>42667157.498610124</v>
      </c>
      <c r="F10" s="10">
        <f>('OtherRev&amp;RevAtStatusQuo'!E5+'OtherRev&amp;RevAtStatusQuo'!C31)/('OtherRev&amp;RevAtStatusQuo'!$C$40+'OtherRev&amp;RevAtStatusQuo'!$E$14)*$O$10</f>
        <v>76165262.699402153</v>
      </c>
      <c r="G10" s="10">
        <f>('OtherRev&amp;RevAtStatusQuo'!E6+'OtherRev&amp;RevAtStatusQuo'!C32)/('OtherRev&amp;RevAtStatusQuo'!$C$40+'OtherRev&amp;RevAtStatusQuo'!$E$14)*$O$10</f>
        <v>17930577.712140597</v>
      </c>
      <c r="H10" s="10">
        <f>('OtherRev&amp;RevAtStatusQuo'!E7+'OtherRev&amp;RevAtStatusQuo'!C33)/('OtherRev&amp;RevAtStatusQuo'!$C$40+'OtherRev&amp;RevAtStatusQuo'!$E$14)*$O$10</f>
        <v>12688451.520106593</v>
      </c>
      <c r="I10" s="10">
        <f>('OtherRev&amp;RevAtStatusQuo'!E8+'OtherRev&amp;RevAtStatusQuo'!C34)/('OtherRev&amp;RevAtStatusQuo'!$C$40+'OtherRev&amp;RevAtStatusQuo'!$E$14)*$O$10</f>
        <v>2027861.9468003449</v>
      </c>
      <c r="J10" s="10">
        <f>('OtherRev&amp;RevAtStatusQuo'!E9+'OtherRev&amp;RevAtStatusQuo'!C35)/('OtherRev&amp;RevAtStatusQuo'!$C$40+'OtherRev&amp;RevAtStatusQuo'!$E$14)*$O$10</f>
        <v>11172.427765646629</v>
      </c>
      <c r="K10" s="10">
        <f>('OtherRev&amp;RevAtStatusQuo'!E10+'OtherRev&amp;RevAtStatusQuo'!C36)/('OtherRev&amp;RevAtStatusQuo'!$C$40+'OtherRev&amp;RevAtStatusQuo'!$E$14)*$O$10</f>
        <v>1278964.0732591744</v>
      </c>
      <c r="L10" s="10">
        <f>('OtherRev&amp;RevAtStatusQuo'!E11+'OtherRev&amp;RevAtStatusQuo'!C37)/('OtherRev&amp;RevAtStatusQuo'!$C$40+'OtherRev&amp;RevAtStatusQuo'!$E$14)*$O$10</f>
        <v>67655.105725707181</v>
      </c>
      <c r="M10" s="10">
        <f>('OtherRev&amp;RevAtStatusQuo'!E12+'OtherRev&amp;RevAtStatusQuo'!C38)/('OtherRev&amp;RevAtStatusQuo'!$C$40+'OtherRev&amp;RevAtStatusQuo'!$E$14)*$O$10</f>
        <v>23948.4506380739</v>
      </c>
      <c r="N10" s="10">
        <f>('OtherRev&amp;RevAtStatusQuo'!E13+'OtherRev&amp;RevAtStatusQuo'!C39)/('OtherRev&amp;RevAtStatusQuo'!$C$40+'OtherRev&amp;RevAtStatusQuo'!$E$14)*$O$10</f>
        <v>133710.74286998564</v>
      </c>
      <c r="O10" s="18">
        <v>370000000</v>
      </c>
    </row>
    <row r="11" spans="1:15" ht="12.75" x14ac:dyDescent="0.2">
      <c r="A11" s="34"/>
      <c r="B11" s="12"/>
      <c r="C11" s="13" t="s">
        <v>17</v>
      </c>
      <c r="D11" s="14">
        <f t="shared" ref="D11:G11" si="4">D10/D9</f>
        <v>0.98560168495493783</v>
      </c>
      <c r="E11" s="14">
        <f t="shared" si="4"/>
        <v>1.1982334676279867</v>
      </c>
      <c r="F11" s="14">
        <f t="shared" si="4"/>
        <v>0.94942608793756345</v>
      </c>
      <c r="G11" s="14">
        <f t="shared" si="4"/>
        <v>1.0283313525473923</v>
      </c>
      <c r="H11" s="14">
        <f t="shared" ref="H11:K11" si="5">H10/H9</f>
        <v>0.92725149387933936</v>
      </c>
      <c r="I11" s="14">
        <f t="shared" si="5"/>
        <v>1.4709801939378462</v>
      </c>
      <c r="J11" s="14">
        <f t="shared" si="5"/>
        <v>0.87954625034385703</v>
      </c>
      <c r="K11" s="14">
        <f t="shared" si="5"/>
        <v>1.2055167805115496</v>
      </c>
      <c r="L11" s="14">
        <f t="shared" ref="L11:N11" si="6">L10/L9</f>
        <v>0.48024322876938336</v>
      </c>
      <c r="M11" s="14">
        <f t="shared" si="6"/>
        <v>0.6339314650099146</v>
      </c>
      <c r="N11" s="14">
        <f t="shared" si="6"/>
        <v>0.55155765292271541</v>
      </c>
      <c r="O11" s="12"/>
    </row>
    <row r="13" spans="1:15" ht="15.75" customHeight="1" x14ac:dyDescent="0.2">
      <c r="C13" s="7" t="s">
        <v>33</v>
      </c>
      <c r="D13" s="24">
        <v>0.85</v>
      </c>
      <c r="E13" s="24">
        <v>0.8</v>
      </c>
      <c r="F13" s="24">
        <v>0.8</v>
      </c>
      <c r="G13" s="24">
        <v>0.8</v>
      </c>
      <c r="H13" s="24">
        <v>0.85</v>
      </c>
      <c r="I13" s="24">
        <v>0.8</v>
      </c>
      <c r="J13" s="24">
        <v>0.8</v>
      </c>
      <c r="K13" s="24">
        <v>0.8</v>
      </c>
      <c r="L13" s="24"/>
      <c r="M13" s="24"/>
    </row>
    <row r="14" spans="1:15" ht="15.75" customHeight="1" x14ac:dyDescent="0.2">
      <c r="C14" s="7" t="s">
        <v>34</v>
      </c>
      <c r="D14" s="24">
        <v>1.1499999999999999</v>
      </c>
      <c r="E14" s="24">
        <v>1.2</v>
      </c>
      <c r="F14" s="24">
        <v>1.2</v>
      </c>
      <c r="G14" s="24">
        <v>1.2</v>
      </c>
      <c r="H14" s="24">
        <v>1.1499999999999999</v>
      </c>
      <c r="I14" s="24">
        <v>1.2</v>
      </c>
      <c r="J14" s="24">
        <v>1.2</v>
      </c>
      <c r="K14" s="24">
        <v>1.2</v>
      </c>
    </row>
    <row r="16" spans="1:15" ht="15.75" customHeight="1" x14ac:dyDescent="0.2">
      <c r="C16" s="7" t="s">
        <v>35</v>
      </c>
      <c r="H16" s="27">
        <f>-(K16+I16)</f>
        <v>130375.40258115805</v>
      </c>
      <c r="I16" s="25">
        <f>((I14-I11)/3)*I9</f>
        <v>-124522.50680368544</v>
      </c>
      <c r="K16" s="25">
        <f>(K14-K11)*K9</f>
        <v>-5852.8957774726096</v>
      </c>
    </row>
    <row r="17" spans="3:15" ht="15.75" customHeight="1" x14ac:dyDescent="0.2">
      <c r="C17" s="7" t="s">
        <v>37</v>
      </c>
      <c r="D17" s="26">
        <f t="shared" ref="D17:J17" si="7">D10+D16</f>
        <v>217005237.82268167</v>
      </c>
      <c r="E17" s="26">
        <f t="shared" si="7"/>
        <v>42667157.498610124</v>
      </c>
      <c r="F17" s="26">
        <f t="shared" si="7"/>
        <v>76165262.699402153</v>
      </c>
      <c r="G17" s="26">
        <f t="shared" si="7"/>
        <v>17930577.712140597</v>
      </c>
      <c r="H17" s="26">
        <f t="shared" si="7"/>
        <v>12818826.92268775</v>
      </c>
      <c r="I17" s="26">
        <f t="shared" si="7"/>
        <v>1903339.4399966595</v>
      </c>
      <c r="J17" s="26">
        <f t="shared" si="7"/>
        <v>11172.427765646629</v>
      </c>
      <c r="K17" s="26">
        <f>K10+K16</f>
        <v>1273111.1774817018</v>
      </c>
      <c r="L17" s="26">
        <f t="shared" ref="L17:N17" si="8">L10+L16</f>
        <v>67655.105725707181</v>
      </c>
      <c r="M17" s="26">
        <f t="shared" si="8"/>
        <v>23948.4506380739</v>
      </c>
      <c r="N17" s="26">
        <f t="shared" si="8"/>
        <v>133710.74286998564</v>
      </c>
      <c r="O17" s="29">
        <f>SUM(D17:N17)</f>
        <v>370000000.00000012</v>
      </c>
    </row>
    <row r="18" spans="3:15" ht="15.75" customHeight="1" x14ac:dyDescent="0.2">
      <c r="C18" s="7" t="s">
        <v>36</v>
      </c>
      <c r="D18" s="28">
        <f t="shared" ref="D18:J18" si="9">D17/D9</f>
        <v>0.98560168495493783</v>
      </c>
      <c r="E18" s="28">
        <f t="shared" si="9"/>
        <v>1.1982334676279867</v>
      </c>
      <c r="F18" s="28">
        <f t="shared" si="9"/>
        <v>0.94942608793756345</v>
      </c>
      <c r="G18" s="28">
        <f t="shared" si="9"/>
        <v>1.0283313525473923</v>
      </c>
      <c r="H18" s="28">
        <f t="shared" si="9"/>
        <v>0.93677911721595608</v>
      </c>
      <c r="I18" s="28">
        <f t="shared" si="9"/>
        <v>1.3806534626252307</v>
      </c>
      <c r="J18" s="28">
        <f t="shared" si="9"/>
        <v>0.87954625034385703</v>
      </c>
      <c r="K18" s="28">
        <f>K17/K9</f>
        <v>1.2000000000000002</v>
      </c>
      <c r="L18" s="28">
        <f t="shared" ref="L18:N18" si="10">L17/L9</f>
        <v>0.48024322876938336</v>
      </c>
      <c r="M18" s="28">
        <f t="shared" si="10"/>
        <v>0.6339314650099146</v>
      </c>
      <c r="N18" s="28">
        <f t="shared" si="10"/>
        <v>0.55155765292271541</v>
      </c>
    </row>
    <row r="20" spans="3:15" ht="15.75" customHeight="1" x14ac:dyDescent="0.2">
      <c r="C20" s="7" t="s">
        <v>38</v>
      </c>
      <c r="D20" s="30">
        <f>_xlfn.XLOOKUP(D3,'OtherRev&amp;RevAtStatusQuo'!$A$29:$A$39,'OtherRev&amp;RevAtStatusQuo'!$C$29:$C$39)</f>
        <v>9158798</v>
      </c>
      <c r="E20" s="30">
        <f>_xlfn.XLOOKUP(E3,'OtherRev&amp;RevAtStatusQuo'!$A$29:$A$39,'OtherRev&amp;RevAtStatusQuo'!$C$29:$C$39)</f>
        <v>835112</v>
      </c>
      <c r="F20" s="30">
        <f>_xlfn.XLOOKUP(F3,'OtherRev&amp;RevAtStatusQuo'!$A$29:$A$39,'OtherRev&amp;RevAtStatusQuo'!$C$29:$C$39)</f>
        <v>442931</v>
      </c>
      <c r="G20" s="30">
        <f>_xlfn.XLOOKUP(G3,'OtherRev&amp;RevAtStatusQuo'!$A$29:$A$39,'OtherRev&amp;RevAtStatusQuo'!$C$29:$C$39)</f>
        <v>38415</v>
      </c>
      <c r="H20" s="30">
        <f>_xlfn.XLOOKUP(H3,'OtherRev&amp;RevAtStatusQuo'!$A$29:$A$39,'OtherRev&amp;RevAtStatusQuo'!$C$29:$C$39)</f>
        <v>8465</v>
      </c>
      <c r="I20" s="30">
        <f>_xlfn.XLOOKUP(I3,'OtherRev&amp;RevAtStatusQuo'!$A$29:$A$39,'OtherRev&amp;RevAtStatusQuo'!$C$29:$C$39)</f>
        <v>127813</v>
      </c>
      <c r="J20" s="30">
        <f>_xlfn.XLOOKUP(J3,'OtherRev&amp;RevAtStatusQuo'!$A$29:$A$39,'OtherRev&amp;RevAtStatusQuo'!$C$29:$C$39)</f>
        <v>975</v>
      </c>
      <c r="K20" s="30">
        <f>_xlfn.XLOOKUP(K3,'OtherRev&amp;RevAtStatusQuo'!$A$29:$A$39,'OtherRev&amp;RevAtStatusQuo'!$C$29:$C$39)</f>
        <v>84552</v>
      </c>
      <c r="L20" s="30">
        <f>_xlfn.XLOOKUP(L3,'OtherRev&amp;RevAtStatusQuo'!$A$29:$A$39,'OtherRev&amp;RevAtStatusQuo'!$C$29:$C$39)</f>
        <v>7</v>
      </c>
      <c r="M20" s="30">
        <f>_xlfn.XLOOKUP(M3,'OtherRev&amp;RevAtStatusQuo'!$A$29:$A$39,'OtherRev&amp;RevAtStatusQuo'!$C$29:$C$39)</f>
        <v>7</v>
      </c>
      <c r="N20" s="30">
        <f>_xlfn.XLOOKUP(N3,'OtherRev&amp;RevAtStatusQuo'!$A$29:$A$39,'OtherRev&amp;RevAtStatusQuo'!$C$29:$C$39)</f>
        <v>7</v>
      </c>
      <c r="O20" s="31">
        <f>SUM(D20:N20)</f>
        <v>10697082</v>
      </c>
    </row>
    <row r="21" spans="3:15" ht="15.75" customHeight="1" x14ac:dyDescent="0.2">
      <c r="C21" s="7" t="s">
        <v>39</v>
      </c>
      <c r="D21" s="31">
        <f>D17-D20</f>
        <v>207846439.82268167</v>
      </c>
      <c r="E21" s="31">
        <f t="shared" ref="E21:N21" si="11">E17-E20</f>
        <v>41832045.498610124</v>
      </c>
      <c r="F21" s="31">
        <f t="shared" si="11"/>
        <v>75722331.699402153</v>
      </c>
      <c r="G21" s="31">
        <f t="shared" si="11"/>
        <v>17892162.712140597</v>
      </c>
      <c r="H21" s="31">
        <f t="shared" si="11"/>
        <v>12810361.92268775</v>
      </c>
      <c r="I21" s="31">
        <f t="shared" si="11"/>
        <v>1775526.4399966595</v>
      </c>
      <c r="J21" s="31">
        <f t="shared" si="11"/>
        <v>10197.427765646629</v>
      </c>
      <c r="K21" s="31">
        <f t="shared" si="11"/>
        <v>1188559.1774817018</v>
      </c>
      <c r="L21" s="31">
        <f t="shared" si="11"/>
        <v>67648.105725707181</v>
      </c>
      <c r="M21" s="31">
        <f t="shared" si="11"/>
        <v>23941.4506380739</v>
      </c>
      <c r="N21" s="31">
        <f t="shared" si="11"/>
        <v>133703.74286998564</v>
      </c>
      <c r="O21" s="31">
        <f>SUM(D21:N21)</f>
        <v>359302918.00000012</v>
      </c>
    </row>
  </sheetData>
  <mergeCells count="2">
    <mergeCell ref="A4:A6"/>
    <mergeCell ref="A9:A11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E40"/>
  <sheetViews>
    <sheetView workbookViewId="0">
      <selection activeCell="D26" sqref="D26"/>
    </sheetView>
  </sheetViews>
  <sheetFormatPr defaultColWidth="12.5703125" defaultRowHeight="15.75" customHeight="1" x14ac:dyDescent="0.2"/>
  <cols>
    <col min="1" max="1" width="29.140625" customWidth="1"/>
    <col min="2" max="2" width="26.140625" customWidth="1"/>
    <col min="5" max="5" width="27.28515625" customWidth="1"/>
  </cols>
  <sheetData>
    <row r="2" spans="1:5" ht="25.5" customHeight="1" x14ac:dyDescent="0.2">
      <c r="A2" s="20" t="s">
        <v>32</v>
      </c>
      <c r="B2" s="22" t="s">
        <v>19</v>
      </c>
      <c r="C2" s="22" t="s">
        <v>20</v>
      </c>
      <c r="E2" s="22" t="s">
        <v>21</v>
      </c>
    </row>
    <row r="3" spans="1:5" ht="15.75" customHeight="1" x14ac:dyDescent="0.2">
      <c r="A3" s="1" t="s">
        <v>1</v>
      </c>
      <c r="B3" s="2">
        <v>351762</v>
      </c>
      <c r="C3" s="2">
        <v>2628617762</v>
      </c>
      <c r="E3" s="4">
        <f t="shared" ref="E3:E13" si="0">(B3*B16*12)+(C3*C16)</f>
        <v>173615652.72</v>
      </c>
    </row>
    <row r="4" spans="1:5" ht="15.75" customHeight="1" x14ac:dyDescent="0.2">
      <c r="A4" s="1" t="s">
        <v>2</v>
      </c>
      <c r="B4" s="2">
        <v>26138</v>
      </c>
      <c r="C4" s="2">
        <v>722195593</v>
      </c>
      <c r="E4" s="4">
        <f t="shared" si="0"/>
        <v>35101653.185200006</v>
      </c>
    </row>
    <row r="5" spans="1:5" ht="15.75" customHeight="1" x14ac:dyDescent="0.2">
      <c r="A5" s="1" t="s">
        <v>3</v>
      </c>
      <c r="B5" s="2">
        <v>3137</v>
      </c>
      <c r="C5" s="2">
        <v>6948214</v>
      </c>
      <c r="E5" s="4">
        <f t="shared" si="0"/>
        <v>63707889.475599997</v>
      </c>
    </row>
    <row r="6" spans="1:5" ht="15.75" customHeight="1" x14ac:dyDescent="0.2">
      <c r="A6" s="1" t="s">
        <v>22</v>
      </c>
      <c r="B6" s="1">
        <v>69</v>
      </c>
      <c r="C6" s="2">
        <v>1501652</v>
      </c>
      <c r="E6" s="4">
        <f t="shared" si="0"/>
        <v>15063761.912</v>
      </c>
    </row>
    <row r="7" spans="1:5" ht="15.75" customHeight="1" x14ac:dyDescent="0.2">
      <c r="A7" s="1" t="s">
        <v>4</v>
      </c>
      <c r="B7" s="1">
        <v>12</v>
      </c>
      <c r="C7" s="2">
        <v>1081955</v>
      </c>
      <c r="E7" s="4">
        <f t="shared" si="0"/>
        <v>10678487.906500001</v>
      </c>
    </row>
    <row r="8" spans="1:5" ht="15.75" customHeight="1" x14ac:dyDescent="0.2">
      <c r="A8" s="1" t="s">
        <v>5</v>
      </c>
      <c r="B8" s="2">
        <v>66810</v>
      </c>
      <c r="C8" s="2">
        <v>61402</v>
      </c>
      <c r="E8" s="4">
        <f t="shared" si="0"/>
        <v>1580170.4440000001</v>
      </c>
    </row>
    <row r="9" spans="1:5" ht="15.75" customHeight="1" x14ac:dyDescent="0.2">
      <c r="A9" s="1" t="s">
        <v>6</v>
      </c>
      <c r="B9" s="1">
        <v>46</v>
      </c>
      <c r="C9" s="1">
        <v>114</v>
      </c>
      <c r="E9" s="4">
        <f t="shared" si="0"/>
        <v>8435.0694000000003</v>
      </c>
    </row>
    <row r="10" spans="1:5" ht="15.75" customHeight="1" x14ac:dyDescent="0.2">
      <c r="A10" s="1" t="s">
        <v>7</v>
      </c>
      <c r="B10" s="2">
        <v>4383</v>
      </c>
      <c r="C10" s="2">
        <v>14471895</v>
      </c>
      <c r="E10" s="4">
        <f t="shared" si="0"/>
        <v>992666.0355</v>
      </c>
    </row>
    <row r="11" spans="1:5" ht="15.75" customHeight="1" x14ac:dyDescent="0.2">
      <c r="A11" s="1" t="s">
        <v>8</v>
      </c>
      <c r="B11" s="1">
        <v>2</v>
      </c>
      <c r="C11" s="2">
        <v>12986</v>
      </c>
      <c r="E11" s="4">
        <f t="shared" si="0"/>
        <v>56976.070599999992</v>
      </c>
    </row>
    <row r="12" spans="1:5" ht="15.75" customHeight="1" x14ac:dyDescent="0.2">
      <c r="A12" s="1" t="s">
        <v>9</v>
      </c>
      <c r="B12" s="1">
        <v>2</v>
      </c>
      <c r="C12" s="2">
        <v>4045</v>
      </c>
      <c r="E12" s="4">
        <f t="shared" si="0"/>
        <v>20163.78</v>
      </c>
    </row>
    <row r="13" spans="1:5" ht="15.75" customHeight="1" x14ac:dyDescent="0.2">
      <c r="A13" s="1" t="s">
        <v>10</v>
      </c>
      <c r="B13" s="1">
        <v>2</v>
      </c>
      <c r="C13" s="2">
        <v>27444</v>
      </c>
      <c r="E13" s="4">
        <f t="shared" si="0"/>
        <v>112611.97560000001</v>
      </c>
    </row>
    <row r="14" spans="1:5" ht="15.75" customHeight="1" x14ac:dyDescent="0.2">
      <c r="E14" s="23">
        <f>SUM(E3:E13)</f>
        <v>300938468.57439995</v>
      </c>
    </row>
    <row r="15" spans="1:5" ht="12.75" x14ac:dyDescent="0.2">
      <c r="A15" s="20" t="s">
        <v>23</v>
      </c>
      <c r="B15" s="21" t="s">
        <v>24</v>
      </c>
      <c r="C15" s="21" t="s">
        <v>25</v>
      </c>
    </row>
    <row r="16" spans="1:5" ht="15.75" customHeight="1" x14ac:dyDescent="0.25">
      <c r="A16" s="1" t="s">
        <v>1</v>
      </c>
      <c r="B16" s="5">
        <v>41.13</v>
      </c>
      <c r="C16" s="1">
        <v>0</v>
      </c>
    </row>
    <row r="17" spans="1:3" ht="15.75" customHeight="1" x14ac:dyDescent="0.25">
      <c r="A17" s="1" t="s">
        <v>26</v>
      </c>
      <c r="B17" s="5">
        <v>28.1</v>
      </c>
      <c r="C17" s="1">
        <v>3.6400000000000002E-2</v>
      </c>
    </row>
    <row r="18" spans="1:3" ht="15.75" customHeight="1" x14ac:dyDescent="0.25">
      <c r="A18" s="1" t="s">
        <v>3</v>
      </c>
      <c r="B18" s="5">
        <v>200</v>
      </c>
      <c r="C18" s="1">
        <v>8.0853999999999999</v>
      </c>
    </row>
    <row r="19" spans="1:3" ht="15.75" customHeight="1" x14ac:dyDescent="0.25">
      <c r="A19" s="1" t="s">
        <v>22</v>
      </c>
      <c r="B19" s="5">
        <v>4126.75</v>
      </c>
      <c r="C19" s="1">
        <v>7.7560000000000002</v>
      </c>
    </row>
    <row r="20" spans="1:3" ht="15.75" customHeight="1" x14ac:dyDescent="0.25">
      <c r="A20" s="1" t="s">
        <v>4</v>
      </c>
      <c r="B20" s="5">
        <v>14946.93</v>
      </c>
      <c r="C20" s="1">
        <v>7.8803000000000001</v>
      </c>
    </row>
    <row r="21" spans="1:3" ht="15.75" customHeight="1" x14ac:dyDescent="0.25">
      <c r="A21" s="1" t="s">
        <v>27</v>
      </c>
      <c r="B21" s="5">
        <v>1.28</v>
      </c>
      <c r="C21" s="1">
        <v>9.0220000000000002</v>
      </c>
    </row>
    <row r="22" spans="1:3" ht="15.75" customHeight="1" x14ac:dyDescent="0.25">
      <c r="A22" s="1" t="s">
        <v>28</v>
      </c>
      <c r="B22" s="5">
        <v>7.76</v>
      </c>
      <c r="C22" s="1">
        <v>36.417099999999998</v>
      </c>
    </row>
    <row r="23" spans="1:3" ht="15.75" customHeight="1" x14ac:dyDescent="0.25">
      <c r="A23" s="1" t="s">
        <v>7</v>
      </c>
      <c r="B23" s="5">
        <v>8.17</v>
      </c>
      <c r="C23" s="1">
        <v>3.8899999999999997E-2</v>
      </c>
    </row>
    <row r="24" spans="1:3" ht="15.75" customHeight="1" x14ac:dyDescent="0.25">
      <c r="A24" s="1" t="s">
        <v>29</v>
      </c>
      <c r="B24" s="5">
        <v>186.89</v>
      </c>
      <c r="C24" s="1">
        <v>4.0420999999999996</v>
      </c>
    </row>
    <row r="25" spans="1:3" ht="15.75" customHeight="1" x14ac:dyDescent="0.25">
      <c r="A25" s="1" t="s">
        <v>9</v>
      </c>
      <c r="B25" s="5">
        <v>186.89</v>
      </c>
      <c r="C25" s="1">
        <v>3.8759999999999999</v>
      </c>
    </row>
    <row r="26" spans="1:3" ht="15.75" customHeight="1" x14ac:dyDescent="0.25">
      <c r="A26" s="1" t="s">
        <v>10</v>
      </c>
      <c r="B26" s="5">
        <v>186.89</v>
      </c>
      <c r="C26" s="1">
        <v>3.9399000000000002</v>
      </c>
    </row>
    <row r="28" spans="1:3" ht="27.95" customHeight="1" x14ac:dyDescent="0.2">
      <c r="A28" s="21" t="s">
        <v>30</v>
      </c>
      <c r="B28" s="22" t="s">
        <v>12</v>
      </c>
      <c r="C28" s="22" t="s">
        <v>31</v>
      </c>
    </row>
    <row r="29" spans="1:3" ht="15.75" customHeight="1" x14ac:dyDescent="0.2">
      <c r="A29" s="1" t="s">
        <v>1</v>
      </c>
      <c r="B29" s="2">
        <v>9158798</v>
      </c>
      <c r="C29" s="4">
        <f t="shared" ref="C29:C39" si="1">B29/$B$40*$C$40</f>
        <v>9158798</v>
      </c>
    </row>
    <row r="30" spans="1:3" ht="15.75" customHeight="1" x14ac:dyDescent="0.2">
      <c r="A30" s="1" t="s">
        <v>26</v>
      </c>
      <c r="B30" s="2">
        <v>835112</v>
      </c>
      <c r="C30" s="4">
        <f t="shared" si="1"/>
        <v>835112</v>
      </c>
    </row>
    <row r="31" spans="1:3" ht="15.75" customHeight="1" x14ac:dyDescent="0.2">
      <c r="A31" s="1" t="s">
        <v>3</v>
      </c>
      <c r="B31" s="2">
        <v>442931</v>
      </c>
      <c r="C31" s="4">
        <f t="shared" si="1"/>
        <v>442931</v>
      </c>
    </row>
    <row r="32" spans="1:3" ht="15.75" customHeight="1" x14ac:dyDescent="0.2">
      <c r="A32" s="1" t="s">
        <v>22</v>
      </c>
      <c r="B32" s="2">
        <v>38415</v>
      </c>
      <c r="C32" s="4">
        <f t="shared" si="1"/>
        <v>38415</v>
      </c>
    </row>
    <row r="33" spans="1:3" ht="15.75" customHeight="1" x14ac:dyDescent="0.2">
      <c r="A33" s="1" t="s">
        <v>4</v>
      </c>
      <c r="B33" s="2">
        <v>8465</v>
      </c>
      <c r="C33" s="4">
        <f t="shared" si="1"/>
        <v>8465</v>
      </c>
    </row>
    <row r="34" spans="1:3" ht="15.75" customHeight="1" x14ac:dyDescent="0.2">
      <c r="A34" s="1" t="s">
        <v>27</v>
      </c>
      <c r="B34" s="2">
        <v>127813</v>
      </c>
      <c r="C34" s="4">
        <f t="shared" si="1"/>
        <v>127813</v>
      </c>
    </row>
    <row r="35" spans="1:3" ht="15.75" customHeight="1" x14ac:dyDescent="0.2">
      <c r="A35" s="1" t="s">
        <v>28</v>
      </c>
      <c r="B35" s="2">
        <v>975</v>
      </c>
      <c r="C35" s="4">
        <f t="shared" si="1"/>
        <v>975</v>
      </c>
    </row>
    <row r="36" spans="1:3" ht="12.75" x14ac:dyDescent="0.2">
      <c r="A36" s="1" t="s">
        <v>7</v>
      </c>
      <c r="B36" s="2">
        <v>84552</v>
      </c>
      <c r="C36" s="4">
        <f t="shared" si="1"/>
        <v>84552</v>
      </c>
    </row>
    <row r="37" spans="1:3" ht="12.75" x14ac:dyDescent="0.2">
      <c r="A37" s="1" t="s">
        <v>29</v>
      </c>
      <c r="B37" s="2">
        <v>7</v>
      </c>
      <c r="C37" s="4">
        <f t="shared" si="1"/>
        <v>7</v>
      </c>
    </row>
    <row r="38" spans="1:3" ht="12.75" x14ac:dyDescent="0.2">
      <c r="A38" s="1" t="s">
        <v>9</v>
      </c>
      <c r="B38" s="2">
        <v>7</v>
      </c>
      <c r="C38" s="4">
        <f t="shared" si="1"/>
        <v>7</v>
      </c>
    </row>
    <row r="39" spans="1:3" ht="12.75" x14ac:dyDescent="0.2">
      <c r="A39" s="1" t="s">
        <v>10</v>
      </c>
      <c r="B39" s="2">
        <v>7</v>
      </c>
      <c r="C39" s="4">
        <f t="shared" si="1"/>
        <v>7</v>
      </c>
    </row>
    <row r="40" spans="1:3" ht="12.75" x14ac:dyDescent="0.2">
      <c r="B40" s="3">
        <f>SUM(B29:B39)</f>
        <v>10697082</v>
      </c>
      <c r="C40" s="19">
        <f>B40</f>
        <v>10697082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SRR &amp; BRR</vt:lpstr>
      <vt:lpstr>OtherRev&amp;RevAtStatusQuo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Dugan, April</dc:creator>
  <cp:lastModifiedBy>Thompson, Shayne</cp:lastModifiedBy>
  <dcterms:created xsi:type="dcterms:W3CDTF">2025-07-30T13:50:16Z</dcterms:created>
  <dcterms:modified xsi:type="dcterms:W3CDTF">2025-08-10T02:54:31Z</dcterms:modified>
</cp:coreProperties>
</file>