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C-27" sheetId="1" r:id="rId4"/>
  </sheets>
  <definedNames/>
  <calcPr/>
</workbook>
</file>

<file path=xl/sharedStrings.xml><?xml version="1.0" encoding="utf-8"?>
<sst xmlns="http://schemas.openxmlformats.org/spreadsheetml/2006/main" count="162" uniqueCount="113">
  <si>
    <t>Supporting Calculations for Productivity Benefits</t>
  </si>
  <si>
    <t>Initiative</t>
  </si>
  <si>
    <t>2021-2025</t>
  </si>
  <si>
    <t>2026-2030</t>
  </si>
  <si>
    <t>3.2.1 Net Metering Automation</t>
  </si>
  <si>
    <t>[Methodology]</t>
  </si>
  <si>
    <t>Volume of Automated Tiered Bills</t>
  </si>
  <si>
    <t>A</t>
  </si>
  <si>
    <t>Volume of Automated TOU*/ULO** Bills</t>
  </si>
  <si>
    <t>B</t>
  </si>
  <si>
    <t>Internal labor rate ($ per hour)</t>
  </si>
  <si>
    <t>C</t>
  </si>
  <si>
    <t>Monthly Savings ($)</t>
  </si>
  <si>
    <t>D = (A x C x 20 minutes) + (B x C x 1 hour)</t>
  </si>
  <si>
    <t>Less Depreciation Costs ($)</t>
  </si>
  <si>
    <t>E</t>
  </si>
  <si>
    <t>3.2.1 Net Metering Automation ($'000's)</t>
  </si>
  <si>
    <t>OM&amp;A = D - E</t>
  </si>
  <si>
    <t>n/a</t>
  </si>
  <si>
    <t>3.2.2 Online Billing Enhancements</t>
  </si>
  <si>
    <t># of Customers opting for paperless billing</t>
  </si>
  <si>
    <t>Cost Saved by paperless billing per customer, per year</t>
  </si>
  <si>
    <t>Total Paperless Billing Savings per year ($'000's)</t>
  </si>
  <si>
    <t>C = A x B</t>
  </si>
  <si>
    <t>Incremental Savings as compared to base year savings ($'000's)
for 2021-2025, base year is 2020, the final year of the previous rate application period ($2.149) ($'000's)
for 2026-2030 , base year of 2025, the final year of the current rate application period ($5.001) ($'000's)</t>
  </si>
  <si>
    <t>D = C - base year savings</t>
  </si>
  <si>
    <t>Less Campaign costs ($'000's)</t>
  </si>
  <si>
    <t>Net Paperless Billing Savings ($'000's)</t>
  </si>
  <si>
    <t>F = D - E</t>
  </si>
  <si>
    <t># of paperless Account Overdue Notices (AON)  issued</t>
  </si>
  <si>
    <t>G</t>
  </si>
  <si>
    <t>Cost Saved by per paperless AON ($)</t>
  </si>
  <si>
    <t>H</t>
  </si>
  <si>
    <t>Total AON savings per year ($'000's)</t>
  </si>
  <si>
    <t>I = G x H</t>
  </si>
  <si>
    <t>3.2.2 Online Billing Enhancements ($'000's)***</t>
  </si>
  <si>
    <t>OM&amp;A = I + F</t>
  </si>
  <si>
    <t>3.2.3 Remote Disconnection Technology</t>
  </si>
  <si>
    <t>Total Remote / Disconnect Activity</t>
  </si>
  <si>
    <t>Labor &amp; Fleet Cost per activity ($)</t>
  </si>
  <si>
    <t>3.2.3 Remote Disconnection Technology ($'000's)</t>
  </si>
  <si>
    <t>OM&amp;A = A x B</t>
  </si>
  <si>
    <t>3.2.4 Customer Relationship Management (CRM) Platform Implementation</t>
  </si>
  <si>
    <t>Savings by year ($)</t>
  </si>
  <si>
    <t>Assumption: 60% to capital expenditures</t>
  </si>
  <si>
    <t>Estimated useful life (years)</t>
  </si>
  <si>
    <t>3.2.4 Customer Relationship Management (CRM) Platform Implementation ($'000's)</t>
  </si>
  <si>
    <t>Capital Expense (A x B) = D</t>
  </si>
  <si>
    <t>Capital Depreciation = D/C = E</t>
  </si>
  <si>
    <t>Services to Third Parties = A - D = F</t>
  </si>
  <si>
    <t>3.2.5 Disconnection Notification Automation</t>
  </si>
  <si>
    <t>Labour cost (salary + benefits) for 3 positions eliminated from this function ($'000's)</t>
  </si>
  <si>
    <t>Labor Cost increase (%)</t>
  </si>
  <si>
    <t>3.2.5 Disconnection Notification Automation ($'000's)</t>
  </si>
  <si>
    <t>OM&amp;A = A x (1+B)</t>
  </si>
  <si>
    <t>3.2.6 Satellite Imaging for Vegetation Management</t>
  </si>
  <si>
    <t>Reactive tree triming spend Spend ($)</t>
  </si>
  <si>
    <t>Expected unplanned savings (%)</t>
  </si>
  <si>
    <t>Less: Overstory subscription ($)</t>
  </si>
  <si>
    <t>3.2.6 Satellite Imaging for Vegetation Management ($'000's)</t>
  </si>
  <si>
    <t>OM&amp;A = ((A/(1-B))-A-C)</t>
  </si>
  <si>
    <t>3.2.7 Blue Beam for Plant Inspectors</t>
  </si>
  <si>
    <t>Hours per year</t>
  </si>
  <si>
    <t>Hourly rate ($)</t>
  </si>
  <si>
    <t>Useful life (years)</t>
  </si>
  <si>
    <t>3.2.7 Blue Beam for Plant Inspectors ($'000's)</t>
  </si>
  <si>
    <t>Capital Expense = A x B = D</t>
  </si>
  <si>
    <t>3.2.8 Move-In Move-Out Automation</t>
  </si>
  <si>
    <t>volume of fully automated Moves</t>
  </si>
  <si>
    <t>Manual labour cost (per hour)</t>
  </si>
  <si>
    <t>Savings for fully automated moves ($'000's)</t>
  </si>
  <si>
    <t>C = A x B x 10 minutes savings</t>
  </si>
  <si>
    <t>Volume of Semi Automated Moves</t>
  </si>
  <si>
    <t>D</t>
  </si>
  <si>
    <t>E = D x B x 7 minutes savings</t>
  </si>
  <si>
    <t>Less estimated depreciation Costs ($'000's)</t>
  </si>
  <si>
    <t>F</t>
  </si>
  <si>
    <t>3.2.8 Move-In Move-Out Automation ($'000's)</t>
  </si>
  <si>
    <t>OM&amp;A = C + E - F</t>
  </si>
  <si>
    <t>3.2.9 Salesforce Field Service for Reliability Operations</t>
  </si>
  <si>
    <t>Yearly field tech and crew hours</t>
  </si>
  <si>
    <t>Annual hourly labour rate ($)</t>
  </si>
  <si>
    <t>Total labour costs ($)</t>
  </si>
  <si>
    <t>Less: Salesforce licenses</t>
  </si>
  <si>
    <t>3.2.9 Salesforce Field Service for Reliability Operations ($'000's)</t>
  </si>
  <si>
    <t>OM&amp;A = C - D</t>
  </si>
  <si>
    <t>3.2.10 Damage to Plant Process Automation</t>
  </si>
  <si>
    <t>Damage to plant cases per year</t>
  </si>
  <si>
    <t>Time saved per case (20 minutes per case = 0.33 of a hour)</t>
  </si>
  <si>
    <t>Total labour hours saved</t>
  </si>
  <si>
    <t>Hourly labour rate ($)</t>
  </si>
  <si>
    <t>3.2.10 Damage to Plant Process Automation ($'000's)</t>
  </si>
  <si>
    <t>Capital Expense (C x D) = F</t>
  </si>
  <si>
    <t>Capital Depreciation (F/E)</t>
  </si>
  <si>
    <t>3.2.11 Customer Information System Reduced Fees</t>
  </si>
  <si>
    <t>2021 &amp; 2022 Contract Fees</t>
  </si>
  <si>
    <t>Jan to Jun</t>
  </si>
  <si>
    <t>Pre-savings amount: Jan to Jun</t>
  </si>
  <si>
    <t>Monthly savings (pre-savings amount x 12%)</t>
  </si>
  <si>
    <t>B = A x 12%</t>
  </si>
  <si>
    <t>Savings over 6 months</t>
  </si>
  <si>
    <t>C = B x 6 months</t>
  </si>
  <si>
    <t>Jul to onwards (2021 = December (6 months); 2022 = Jul to October (4 months))</t>
  </si>
  <si>
    <t>Pre-savings amount: Jul onwards</t>
  </si>
  <si>
    <t>E = D x 12%</t>
  </si>
  <si>
    <t>Savings over: 2021 (6 months); 2022 (4 months)</t>
  </si>
  <si>
    <t>F = E x # months</t>
  </si>
  <si>
    <t>3.2.11 Customer Information System Reduced Fees ($'000's)</t>
  </si>
  <si>
    <t>OM&amp;A: C + F</t>
  </si>
  <si>
    <t>Asterisk</t>
  </si>
  <si>
    <t>*TOU: Time-of-Use rate plan</t>
  </si>
  <si>
    <t>**ULO: Ultra-Low Overnight rate plan</t>
  </si>
  <si>
    <t>*** It should be noted that initiative 3.2.2 Online Billing Enhancements is immaterially different from the original amount filed in the initial rate application.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</si>
</sst>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&quot;$&quot;#,##0.00"/>
    <numFmt numFmtId="166" formatCode="&quot;$&quot;#,##0.000"/>
    <numFmt numFmtId="167" formatCode="#,##0;(#,##0)"/>
    <numFmt numFmtId="168" formatCode="#,##0.00;(#,##0.00)"/>
  </numFmts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theme="1"/>
      <name val="Arial"/>
      <scheme val="minor"/>
    </font>
    <font>
      <b/>
      <sz val="10.0"/>
      <color theme="1"/>
      <name val="Arial"/>
    </font>
    <font>
      <b/>
      <sz val="10.0"/>
      <color rgb="FFFFFFFF"/>
      <name val="Arial"/>
    </font>
    <font>
      <i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Font="1"/>
    <xf borderId="0" fillId="0" fontId="3" numFmtId="0" xfId="0" applyAlignment="1" applyFont="1">
      <alignment horizontal="center" readingOrder="0" vertical="bottom"/>
    </xf>
    <xf borderId="1" fillId="2" fontId="4" numFmtId="0" xfId="0" applyAlignment="1" applyBorder="1" applyFill="1" applyFont="1">
      <alignment shrinkToFit="0" vertical="bottom" wrapText="1"/>
    </xf>
    <xf borderId="1" fillId="2" fontId="1" numFmtId="0" xfId="0" applyAlignment="1" applyBorder="1" applyFont="1">
      <alignment vertical="bottom"/>
    </xf>
    <xf borderId="2" fillId="2" fontId="4" numFmtId="0" xfId="0" applyAlignment="1" applyBorder="1" applyFont="1">
      <alignment horizontal="center" shrinkToFit="0" vertical="bottom" wrapText="1"/>
    </xf>
    <xf borderId="2" fillId="2" fontId="1" numFmtId="0" xfId="0" applyAlignment="1" applyBorder="1" applyFont="1">
      <alignment vertical="bottom"/>
    </xf>
    <xf borderId="3" fillId="2" fontId="1" numFmtId="0" xfId="0" applyAlignment="1" applyBorder="1" applyFont="1">
      <alignment vertical="bottom"/>
    </xf>
    <xf borderId="4" fillId="2" fontId="1" numFmtId="0" xfId="0" applyAlignment="1" applyBorder="1" applyFont="1">
      <alignment vertical="bottom"/>
    </xf>
    <xf borderId="3" fillId="2" fontId="4" numFmtId="0" xfId="0" applyAlignment="1" applyBorder="1" applyFont="1">
      <alignment horizontal="center" shrinkToFit="0" vertical="bottom" wrapText="1"/>
    </xf>
    <xf borderId="3" fillId="3" fontId="3" numFmtId="0" xfId="0" applyAlignment="1" applyBorder="1" applyFill="1" applyFont="1">
      <alignment horizontal="center" shrinkToFit="0" vertical="bottom" wrapText="1"/>
    </xf>
    <xf borderId="3" fillId="3" fontId="3" numFmtId="164" xfId="0" applyAlignment="1" applyBorder="1" applyFont="1" applyNumberFormat="1">
      <alignment horizontal="left" shrinkToFit="0" vertical="top" wrapText="1"/>
    </xf>
    <xf borderId="3" fillId="3" fontId="3" numFmtId="164" xfId="0" applyAlignment="1" applyBorder="1" applyFont="1" applyNumberFormat="1">
      <alignment horizontal="center" shrinkToFit="0" vertical="top" wrapText="1"/>
    </xf>
    <xf borderId="3" fillId="3" fontId="5" numFmtId="164" xfId="0" applyAlignment="1" applyBorder="1" applyFont="1" applyNumberFormat="1">
      <alignment horizontal="right" shrinkToFit="0" vertical="top" wrapText="1"/>
    </xf>
    <xf borderId="3" fillId="3" fontId="1" numFmtId="164" xfId="0" applyAlignment="1" applyBorder="1" applyFont="1" applyNumberFormat="1">
      <alignment horizontal="right" shrinkToFit="0" vertical="top" wrapText="1"/>
    </xf>
    <xf borderId="5" fillId="0" fontId="1" numFmtId="0" xfId="0" applyAlignment="1" applyBorder="1" applyFont="1">
      <alignment readingOrder="0" shrinkToFit="0" vertical="top" wrapText="1"/>
    </xf>
    <xf borderId="3" fillId="0" fontId="1" numFmtId="164" xfId="0" applyAlignment="1" applyBorder="1" applyFont="1" applyNumberFormat="1">
      <alignment vertical="top"/>
    </xf>
    <xf borderId="3" fillId="0" fontId="1" numFmtId="3" xfId="0" applyAlignment="1" applyBorder="1" applyFont="1" applyNumberFormat="1">
      <alignment horizontal="right" readingOrder="0" shrinkToFit="0" vertical="top" wrapText="1"/>
    </xf>
    <xf borderId="3" fillId="3" fontId="1" numFmtId="3" xfId="0" applyAlignment="1" applyBorder="1" applyFont="1" applyNumberFormat="1">
      <alignment horizontal="right" readingOrder="0" shrinkToFit="0" vertical="top" wrapText="1"/>
    </xf>
    <xf borderId="3" fillId="0" fontId="1" numFmtId="164" xfId="0" applyAlignment="1" applyBorder="1" applyFont="1" applyNumberFormat="1">
      <alignment horizontal="right" readingOrder="0" shrinkToFit="0" vertical="top" wrapText="1"/>
    </xf>
    <xf borderId="3" fillId="3" fontId="1" numFmtId="165" xfId="0" applyAlignment="1" applyBorder="1" applyFont="1" applyNumberFormat="1">
      <alignment horizontal="right" readingOrder="0" shrinkToFit="0" vertical="top" wrapText="1"/>
    </xf>
    <xf borderId="3" fillId="3" fontId="1" numFmtId="164" xfId="0" applyAlignment="1" applyBorder="1" applyFont="1" applyNumberFormat="1">
      <alignment horizontal="right" readingOrder="0" shrinkToFit="0" vertical="top" wrapText="1"/>
    </xf>
    <xf borderId="4" fillId="0" fontId="1" numFmtId="0" xfId="0" applyAlignment="1" applyBorder="1" applyFont="1">
      <alignment readingOrder="0" shrinkToFit="0" vertical="top" wrapText="1"/>
    </xf>
    <xf borderId="3" fillId="0" fontId="1" numFmtId="165" xfId="0" applyAlignment="1" applyBorder="1" applyFont="1" applyNumberFormat="1">
      <alignment readingOrder="0" vertical="top"/>
    </xf>
    <xf borderId="3" fillId="0" fontId="1" numFmtId="41" xfId="0" applyAlignment="1" applyBorder="1" applyFont="1" applyNumberFormat="1">
      <alignment horizontal="right" readingOrder="0" shrinkToFit="0" vertical="top" wrapText="1"/>
    </xf>
    <xf borderId="6" fillId="4" fontId="1" numFmtId="0" xfId="0" applyAlignment="1" applyBorder="1" applyFill="1" applyFont="1">
      <alignment readingOrder="0" shrinkToFit="0" vertical="top" wrapText="1"/>
    </xf>
    <xf borderId="3" fillId="4" fontId="1" numFmtId="164" xfId="0" applyAlignment="1" applyBorder="1" applyFont="1" applyNumberFormat="1">
      <alignment horizontal="right" shrinkToFit="0" vertical="top" wrapText="1"/>
    </xf>
    <xf borderId="5" fillId="3" fontId="1" numFmtId="164" xfId="0" applyAlignment="1" applyBorder="1" applyFont="1" applyNumberFormat="1">
      <alignment horizontal="right" shrinkToFit="0" vertical="top" wrapText="1"/>
    </xf>
    <xf borderId="5" fillId="0" fontId="1" numFmtId="3" xfId="0" applyAlignment="1" applyBorder="1" applyFont="1" applyNumberFormat="1">
      <alignment horizontal="right" readingOrder="0" shrinkToFit="0" vertical="top" wrapText="1"/>
    </xf>
    <xf borderId="5" fillId="0" fontId="1" numFmtId="165" xfId="0" applyAlignment="1" applyBorder="1" applyFont="1" applyNumberFormat="1">
      <alignment horizontal="right" readingOrder="0" shrinkToFit="0" vertical="top" wrapText="1"/>
    </xf>
    <xf borderId="3" fillId="0" fontId="1" numFmtId="165" xfId="0" applyAlignment="1" applyBorder="1" applyFont="1" applyNumberFormat="1">
      <alignment horizontal="right" readingOrder="0" shrinkToFit="0" vertical="top" wrapText="1"/>
    </xf>
    <xf borderId="5" fillId="0" fontId="1" numFmtId="164" xfId="0" applyAlignment="1" applyBorder="1" applyFont="1" applyNumberFormat="1">
      <alignment horizontal="right" shrinkToFit="0" vertical="top" wrapText="1"/>
    </xf>
    <xf borderId="5" fillId="0" fontId="1" numFmtId="164" xfId="0" applyAlignment="1" applyBorder="1" applyFont="1" applyNumberFormat="1">
      <alignment horizontal="right" readingOrder="0" shrinkToFit="0" vertical="top" wrapText="1"/>
    </xf>
    <xf borderId="4" fillId="0" fontId="3" numFmtId="0" xfId="0" applyAlignment="1" applyBorder="1" applyFont="1">
      <alignment readingOrder="0" shrinkToFit="0" vertical="top" wrapText="1"/>
    </xf>
    <xf borderId="5" fillId="0" fontId="1" numFmtId="166" xfId="0" applyAlignment="1" applyBorder="1" applyFont="1" applyNumberFormat="1">
      <alignment horizontal="right" readingOrder="0" shrinkToFit="0" vertical="top" wrapText="1"/>
    </xf>
    <xf borderId="3" fillId="0" fontId="1" numFmtId="166" xfId="0" applyAlignment="1" applyBorder="1" applyFont="1" applyNumberFormat="1">
      <alignment horizontal="right" readingOrder="0" shrinkToFit="0" vertical="top" wrapText="1"/>
    </xf>
    <xf borderId="3" fillId="0" fontId="1" numFmtId="164" xfId="0" applyAlignment="1" applyBorder="1" applyFont="1" applyNumberFormat="1">
      <alignment horizontal="right" shrinkToFit="0" vertical="top" wrapText="1"/>
    </xf>
    <xf borderId="5" fillId="0" fontId="1" numFmtId="164" xfId="0" applyAlignment="1" applyBorder="1" applyFont="1" applyNumberFormat="1">
      <alignment horizontal="right" vertical="bottom"/>
    </xf>
    <xf borderId="5" fillId="0" fontId="1" numFmtId="9" xfId="0" applyAlignment="1" applyBorder="1" applyFont="1" applyNumberFormat="1">
      <alignment horizontal="right" readingOrder="0" shrinkToFit="0" vertical="top" wrapText="1"/>
    </xf>
    <xf borderId="6" fillId="4" fontId="1" numFmtId="164" xfId="0" applyAlignment="1" applyBorder="1" applyFont="1" applyNumberFormat="1">
      <alignment readingOrder="0" shrinkToFit="0" vertical="top" wrapText="1"/>
    </xf>
    <xf borderId="5" fillId="0" fontId="1" numFmtId="164" xfId="0" applyAlignment="1" applyBorder="1" applyFont="1" applyNumberFormat="1">
      <alignment readingOrder="0" shrinkToFit="0" vertical="top" wrapText="1"/>
    </xf>
    <xf borderId="5" fillId="0" fontId="1" numFmtId="164" xfId="0" applyAlignment="1" applyBorder="1" applyFont="1" applyNumberFormat="1">
      <alignment shrinkToFit="0" vertical="top" wrapText="1"/>
    </xf>
    <xf borderId="3" fillId="0" fontId="1" numFmtId="10" xfId="0" applyAlignment="1" applyBorder="1" applyFont="1" applyNumberFormat="1">
      <alignment horizontal="right" readingOrder="0" shrinkToFit="0" vertical="top" wrapText="1"/>
    </xf>
    <xf borderId="3" fillId="3" fontId="3" numFmtId="0" xfId="0" applyAlignment="1" applyBorder="1" applyFont="1">
      <alignment horizontal="left" shrinkToFit="0" vertical="top" wrapText="1"/>
    </xf>
    <xf borderId="3" fillId="0" fontId="1" numFmtId="9" xfId="0" applyAlignment="1" applyBorder="1" applyFont="1" applyNumberFormat="1">
      <alignment horizontal="right" readingOrder="0" shrinkToFit="0" vertical="top" wrapText="1"/>
    </xf>
    <xf borderId="3" fillId="3" fontId="3" numFmtId="0" xfId="0" applyAlignment="1" applyBorder="1" applyFont="1">
      <alignment horizontal="left" readingOrder="0" shrinkToFit="0" vertical="top" wrapText="1"/>
    </xf>
    <xf borderId="3" fillId="3" fontId="1" numFmtId="3" xfId="0" applyAlignment="1" applyBorder="1" applyFont="1" applyNumberFormat="1">
      <alignment horizontal="right" shrinkToFit="0" vertical="top" wrapText="1"/>
    </xf>
    <xf borderId="3" fillId="0" fontId="1" numFmtId="165" xfId="0" applyAlignment="1" applyBorder="1" applyFont="1" applyNumberFormat="1">
      <alignment horizontal="right" readingOrder="0" shrinkToFit="0" vertical="top" wrapText="1"/>
    </xf>
    <xf borderId="3" fillId="0" fontId="1" numFmtId="167" xfId="0" applyAlignment="1" applyBorder="1" applyFont="1" applyNumberFormat="1">
      <alignment horizontal="right" readingOrder="0" shrinkToFit="0" vertical="top" wrapText="1"/>
    </xf>
    <xf borderId="3" fillId="0" fontId="1" numFmtId="167" xfId="0" applyAlignment="1" applyBorder="1" applyFont="1" applyNumberFormat="1">
      <alignment horizontal="right" shrinkToFit="0" vertical="top" wrapText="1"/>
    </xf>
    <xf borderId="3" fillId="0" fontId="1" numFmtId="167" xfId="0" applyAlignment="1" applyBorder="1" applyFont="1" applyNumberFormat="1">
      <alignment vertical="top"/>
    </xf>
    <xf borderId="3" fillId="3" fontId="1" numFmtId="167" xfId="0" applyAlignment="1" applyBorder="1" applyFont="1" applyNumberFormat="1">
      <alignment horizontal="right" shrinkToFit="0" vertical="top" wrapText="1"/>
    </xf>
    <xf borderId="3" fillId="0" fontId="1" numFmtId="168" xfId="0" applyAlignment="1" applyBorder="1" applyFont="1" applyNumberFormat="1">
      <alignment vertical="top"/>
    </xf>
    <xf borderId="3" fillId="0" fontId="1" numFmtId="4" xfId="0" applyAlignment="1" applyBorder="1" applyFont="1" applyNumberFormat="1">
      <alignment vertical="top"/>
    </xf>
    <xf borderId="3" fillId="0" fontId="1" numFmtId="3" xfId="0" applyAlignment="1" applyBorder="1" applyFont="1" applyNumberFormat="1">
      <alignment vertical="top"/>
    </xf>
    <xf borderId="3" fillId="0" fontId="1" numFmtId="164" xfId="0" applyAlignment="1" applyBorder="1" applyFont="1" applyNumberFormat="1">
      <alignment readingOrder="0" vertical="top"/>
    </xf>
    <xf borderId="3" fillId="0" fontId="1" numFmtId="3" xfId="0" applyAlignment="1" applyBorder="1" applyFont="1" applyNumberFormat="1">
      <alignment readingOrder="0" vertical="top"/>
    </xf>
    <xf borderId="3" fillId="4" fontId="5" numFmtId="164" xfId="0" applyAlignment="1" applyBorder="1" applyFont="1" applyNumberFormat="1">
      <alignment horizontal="right" shrinkToFit="0" vertical="top" wrapText="1"/>
    </xf>
    <xf borderId="5" fillId="0" fontId="1" numFmtId="0" xfId="0" applyAlignment="1" applyBorder="1" applyFont="1">
      <alignment readingOrder="0" vertical="top"/>
    </xf>
    <xf borderId="5" fillId="0" fontId="1" numFmtId="0" xfId="0" applyAlignment="1" applyBorder="1" applyFont="1">
      <alignment vertical="top"/>
    </xf>
    <xf borderId="5" fillId="0" fontId="1" numFmtId="164" xfId="0" applyAlignment="1" applyBorder="1" applyFont="1" applyNumberFormat="1">
      <alignment readingOrder="0" vertical="top"/>
    </xf>
    <xf borderId="5" fillId="0" fontId="1" numFmtId="165" xfId="0" applyAlignment="1" applyBorder="1" applyFont="1" applyNumberFormat="1">
      <alignment vertical="bottom"/>
    </xf>
    <xf borderId="5" fillId="0" fontId="1" numFmtId="164" xfId="0" applyAlignment="1" applyBorder="1" applyFont="1" applyNumberFormat="1">
      <alignment readingOrder="0" vertical="bottom"/>
    </xf>
    <xf borderId="5" fillId="0" fontId="1" numFmtId="164" xfId="0" applyAlignment="1" applyBorder="1" applyFont="1" applyNumberFormat="1">
      <alignment vertical="bottom"/>
    </xf>
    <xf borderId="5" fillId="0" fontId="2" numFmtId="0" xfId="0" applyBorder="1" applyFont="1"/>
    <xf borderId="5" fillId="0" fontId="2" numFmtId="0" xfId="0" applyAlignment="1" applyBorder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164" xfId="0" applyAlignment="1" applyFont="1" applyNumberFormat="1">
      <alignment readingOrder="0" vertical="bottom"/>
    </xf>
    <xf borderId="0" fillId="0" fontId="3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Row="1"/>
  <cols>
    <col customWidth="1" min="1" max="1" width="63.88"/>
    <col customWidth="1" min="2" max="2" width="28.38"/>
    <col customWidth="1" min="3" max="3" width="10.63"/>
    <col customWidth="1" min="4" max="7" width="8.0"/>
    <col customWidth="1" min="8" max="8" width="9.0"/>
    <col customWidth="1" min="9" max="13" width="9.38"/>
    <col customWidth="1" min="14" max="14" width="9.0"/>
    <col customWidth="1" min="15" max="15" width="18.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>
      <c r="A2" s="3" t="s"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>
      <c r="A3" s="4" t="s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</row>
    <row r="4">
      <c r="A4" s="9"/>
      <c r="B4" s="9"/>
      <c r="C4" s="10">
        <v>2021.0</v>
      </c>
      <c r="D4" s="10">
        <v>2022.0</v>
      </c>
      <c r="E4" s="10">
        <v>2023.0</v>
      </c>
      <c r="F4" s="10">
        <v>2024.0</v>
      </c>
      <c r="G4" s="10">
        <v>2025.0</v>
      </c>
      <c r="H4" s="11" t="s">
        <v>2</v>
      </c>
      <c r="I4" s="10">
        <v>2026.0</v>
      </c>
      <c r="J4" s="10">
        <v>2027.0</v>
      </c>
      <c r="K4" s="10">
        <v>2028.0</v>
      </c>
      <c r="L4" s="10">
        <v>2029.0</v>
      </c>
      <c r="M4" s="10">
        <v>2030.0</v>
      </c>
      <c r="N4" s="11" t="s">
        <v>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</row>
    <row r="5" collapsed="1">
      <c r="A5" s="12" t="s">
        <v>4</v>
      </c>
      <c r="B5" s="13" t="s">
        <v>5</v>
      </c>
      <c r="C5" s="14"/>
      <c r="D5" s="14"/>
      <c r="E5" s="14"/>
      <c r="F5" s="14"/>
      <c r="G5" s="14"/>
      <c r="H5" s="15"/>
      <c r="I5" s="14"/>
      <c r="J5" s="14"/>
      <c r="K5" s="14"/>
      <c r="L5" s="14"/>
      <c r="M5" s="14"/>
      <c r="N5" s="1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 hidden="1" outlineLevel="1">
      <c r="A6" s="16" t="s">
        <v>6</v>
      </c>
      <c r="B6" s="16" t="s">
        <v>7</v>
      </c>
      <c r="C6" s="17"/>
      <c r="D6" s="17"/>
      <c r="E6" s="17"/>
      <c r="F6" s="17"/>
      <c r="G6" s="17"/>
      <c r="H6" s="15"/>
      <c r="I6" s="18">
        <v>7176.0</v>
      </c>
      <c r="J6" s="18">
        <v>10137.0</v>
      </c>
      <c r="K6" s="18">
        <v>13889.0</v>
      </c>
      <c r="L6" s="18">
        <v>18600.0</v>
      </c>
      <c r="M6" s="18">
        <v>24486.0</v>
      </c>
      <c r="N6" s="1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hidden="1" outlineLevel="1">
      <c r="A7" s="16" t="s">
        <v>8</v>
      </c>
      <c r="B7" s="16" t="s">
        <v>9</v>
      </c>
      <c r="C7" s="17"/>
      <c r="D7" s="17"/>
      <c r="E7" s="17"/>
      <c r="F7" s="17"/>
      <c r="G7" s="17"/>
      <c r="H7" s="15"/>
      <c r="I7" s="18">
        <v>4776.0</v>
      </c>
      <c r="J7" s="18">
        <v>6759.0</v>
      </c>
      <c r="K7" s="18">
        <v>9259.0</v>
      </c>
      <c r="L7" s="18">
        <v>12396.0</v>
      </c>
      <c r="M7" s="18">
        <v>16320.0</v>
      </c>
      <c r="N7" s="1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hidden="1" outlineLevel="1">
      <c r="A8" s="16" t="s">
        <v>10</v>
      </c>
      <c r="B8" s="16" t="s">
        <v>11</v>
      </c>
      <c r="C8" s="17"/>
      <c r="D8" s="17"/>
      <c r="E8" s="17"/>
      <c r="F8" s="17"/>
      <c r="G8" s="17"/>
      <c r="H8" s="15"/>
      <c r="I8" s="20">
        <v>95.0</v>
      </c>
      <c r="J8" s="20">
        <v>98.0</v>
      </c>
      <c r="K8" s="20">
        <v>101.0</v>
      </c>
      <c r="L8" s="20">
        <v>104.0</v>
      </c>
      <c r="M8" s="20">
        <v>107.0</v>
      </c>
      <c r="N8" s="2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hidden="1" outlineLevel="1">
      <c r="A9" s="16" t="s">
        <v>12</v>
      </c>
      <c r="B9" s="16" t="s">
        <v>13</v>
      </c>
      <c r="C9" s="17"/>
      <c r="D9" s="17"/>
      <c r="E9" s="17"/>
      <c r="F9" s="17"/>
      <c r="G9" s="17"/>
      <c r="H9" s="15"/>
      <c r="I9" s="20">
        <f t="shared" ref="I9:M9" si="1">((I6*I8*20/60)+(I7*I8*1))</f>
        <v>680960</v>
      </c>
      <c r="J9" s="20">
        <f t="shared" si="1"/>
        <v>993524</v>
      </c>
      <c r="K9" s="20">
        <f t="shared" si="1"/>
        <v>1402755.333</v>
      </c>
      <c r="L9" s="20">
        <f t="shared" si="1"/>
        <v>1933984</v>
      </c>
      <c r="M9" s="20">
        <f t="shared" si="1"/>
        <v>2619574</v>
      </c>
      <c r="N9" s="2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hidden="1" outlineLevel="1">
      <c r="A10" s="23" t="s">
        <v>14</v>
      </c>
      <c r="B10" s="16" t="s">
        <v>15</v>
      </c>
      <c r="C10" s="24"/>
      <c r="D10" s="17"/>
      <c r="E10" s="17"/>
      <c r="F10" s="17"/>
      <c r="G10" s="17"/>
      <c r="H10" s="15"/>
      <c r="I10" s="20">
        <f t="shared" ref="I10:J10" si="2">440*1000</f>
        <v>440000</v>
      </c>
      <c r="J10" s="20">
        <f t="shared" si="2"/>
        <v>440000</v>
      </c>
      <c r="K10" s="25">
        <v>0.0</v>
      </c>
      <c r="L10" s="25">
        <v>0.0</v>
      </c>
      <c r="M10" s="25">
        <v>0.0</v>
      </c>
      <c r="N10" s="2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>
      <c r="A11" s="26" t="s">
        <v>16</v>
      </c>
      <c r="B11" s="26" t="s">
        <v>17</v>
      </c>
      <c r="C11" s="27"/>
      <c r="D11" s="27"/>
      <c r="E11" s="27"/>
      <c r="F11" s="27"/>
      <c r="G11" s="27"/>
      <c r="H11" s="28" t="s">
        <v>18</v>
      </c>
      <c r="I11" s="27">
        <f t="shared" ref="I11:M11" si="3">(I9-I10)/1000</f>
        <v>240.96</v>
      </c>
      <c r="J11" s="27">
        <f t="shared" si="3"/>
        <v>553.524</v>
      </c>
      <c r="K11" s="27">
        <f t="shared" si="3"/>
        <v>1402.755333</v>
      </c>
      <c r="L11" s="27">
        <f t="shared" si="3"/>
        <v>1933.984</v>
      </c>
      <c r="M11" s="27">
        <f t="shared" si="3"/>
        <v>2619.574</v>
      </c>
      <c r="N11" s="15">
        <f>sum(I11:M11)</f>
        <v>6750.797333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 collapsed="1">
      <c r="A12" s="12" t="s">
        <v>19</v>
      </c>
      <c r="B12" s="13" t="s">
        <v>5</v>
      </c>
      <c r="C12" s="14"/>
      <c r="D12" s="14"/>
      <c r="E12" s="14"/>
      <c r="F12" s="14"/>
      <c r="G12" s="14"/>
      <c r="H12" s="15"/>
      <c r="I12" s="14"/>
      <c r="J12" s="14"/>
      <c r="K12" s="14"/>
      <c r="L12" s="14"/>
      <c r="M12" s="14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 hidden="1" outlineLevel="1">
      <c r="A13" s="23" t="s">
        <v>20</v>
      </c>
      <c r="B13" s="23" t="s">
        <v>7</v>
      </c>
      <c r="C13" s="29">
        <v>207995.0</v>
      </c>
      <c r="D13" s="18">
        <v>221848.0</v>
      </c>
      <c r="E13" s="18">
        <v>235986.0</v>
      </c>
      <c r="F13" s="18">
        <v>261236.0</v>
      </c>
      <c r="G13" s="18">
        <v>300000.0</v>
      </c>
      <c r="H13" s="19"/>
      <c r="I13" s="18">
        <v>305935.0</v>
      </c>
      <c r="J13" s="18">
        <v>310830.0</v>
      </c>
      <c r="K13" s="18">
        <v>315803.0</v>
      </c>
      <c r="L13" s="18">
        <v>320856.0</v>
      </c>
      <c r="M13" s="18">
        <v>325990.0</v>
      </c>
      <c r="N13" s="1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hidden="1" outlineLevel="1">
      <c r="A14" s="23" t="s">
        <v>21</v>
      </c>
      <c r="B14" s="23" t="s">
        <v>9</v>
      </c>
      <c r="C14" s="30">
        <v>11.722</v>
      </c>
      <c r="D14" s="31">
        <v>12.72</v>
      </c>
      <c r="E14" s="31">
        <v>12.756</v>
      </c>
      <c r="F14" s="31">
        <v>13.633</v>
      </c>
      <c r="G14" s="31">
        <v>16.67</v>
      </c>
      <c r="H14" s="15"/>
      <c r="I14" s="30">
        <v>17.27</v>
      </c>
      <c r="J14" s="31">
        <v>17.87</v>
      </c>
      <c r="K14" s="31">
        <v>18.47</v>
      </c>
      <c r="L14" s="31">
        <v>19.07</v>
      </c>
      <c r="M14" s="31">
        <v>19.67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hidden="1" outlineLevel="1">
      <c r="A15" s="23" t="s">
        <v>22</v>
      </c>
      <c r="B15" s="23" t="s">
        <v>23</v>
      </c>
      <c r="C15" s="32">
        <f t="shared" ref="C15:G15" si="4">(C13*C14)/1000</f>
        <v>2438.11739</v>
      </c>
      <c r="D15" s="32">
        <f t="shared" si="4"/>
        <v>2821.90656</v>
      </c>
      <c r="E15" s="32">
        <f t="shared" si="4"/>
        <v>3010.237416</v>
      </c>
      <c r="F15" s="32">
        <f t="shared" si="4"/>
        <v>3561.430388</v>
      </c>
      <c r="G15" s="32">
        <f t="shared" si="4"/>
        <v>5001</v>
      </c>
      <c r="H15" s="15"/>
      <c r="I15" s="32">
        <f t="shared" ref="I15:M15" si="5">(I13*I14)/1000</f>
        <v>5283.49745</v>
      </c>
      <c r="J15" s="32">
        <f t="shared" si="5"/>
        <v>5554.5321</v>
      </c>
      <c r="K15" s="32">
        <f t="shared" si="5"/>
        <v>5832.88141</v>
      </c>
      <c r="L15" s="32">
        <f t="shared" si="5"/>
        <v>6118.72392</v>
      </c>
      <c r="M15" s="32">
        <f t="shared" si="5"/>
        <v>6412.2233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hidden="1" outlineLevel="1">
      <c r="A16" s="23" t="s">
        <v>24</v>
      </c>
      <c r="B16" s="23" t="s">
        <v>25</v>
      </c>
      <c r="C16" s="32">
        <f t="shared" ref="C16:G16" si="6">C15-2149.354</f>
        <v>288.76339</v>
      </c>
      <c r="D16" s="32">
        <f t="shared" si="6"/>
        <v>672.55256</v>
      </c>
      <c r="E16" s="32">
        <f t="shared" si="6"/>
        <v>860.883416</v>
      </c>
      <c r="F16" s="32">
        <f t="shared" si="6"/>
        <v>1412.076388</v>
      </c>
      <c r="G16" s="32">
        <f t="shared" si="6"/>
        <v>2851.646</v>
      </c>
      <c r="H16" s="15"/>
      <c r="I16" s="32">
        <f t="shared" ref="I16:M16" si="7">I15-$G15</f>
        <v>282.49745</v>
      </c>
      <c r="J16" s="32">
        <f t="shared" si="7"/>
        <v>553.5321</v>
      </c>
      <c r="K16" s="32">
        <f t="shared" si="7"/>
        <v>831.88141</v>
      </c>
      <c r="L16" s="32">
        <f t="shared" si="7"/>
        <v>1117.72392</v>
      </c>
      <c r="M16" s="32">
        <f t="shared" si="7"/>
        <v>1411.2233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hidden="1" outlineLevel="1">
      <c r="A17" s="23" t="s">
        <v>26</v>
      </c>
      <c r="B17" s="23" t="s">
        <v>15</v>
      </c>
      <c r="C17" s="32">
        <v>130.0</v>
      </c>
      <c r="D17" s="33">
        <v>0.0</v>
      </c>
      <c r="E17" s="33">
        <v>0.0</v>
      </c>
      <c r="F17" s="33">
        <v>0.0</v>
      </c>
      <c r="G17" s="33">
        <v>173.513</v>
      </c>
      <c r="H17" s="15"/>
      <c r="I17" s="33">
        <v>0.0</v>
      </c>
      <c r="J17" s="33">
        <v>0.0</v>
      </c>
      <c r="K17" s="33">
        <v>0.0</v>
      </c>
      <c r="L17" s="33">
        <v>0.0</v>
      </c>
      <c r="M17" s="33">
        <v>0.0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hidden="1" outlineLevel="1">
      <c r="A18" s="34" t="s">
        <v>27</v>
      </c>
      <c r="B18" s="23" t="s">
        <v>28</v>
      </c>
      <c r="C18" s="33">
        <f t="shared" ref="C18:G18" si="8">C16-C17</f>
        <v>158.76339</v>
      </c>
      <c r="D18" s="33">
        <f t="shared" si="8"/>
        <v>672.55256</v>
      </c>
      <c r="E18" s="33">
        <f t="shared" si="8"/>
        <v>860.883416</v>
      </c>
      <c r="F18" s="33">
        <f t="shared" si="8"/>
        <v>1412.076388</v>
      </c>
      <c r="G18" s="33">
        <f t="shared" si="8"/>
        <v>2678.133</v>
      </c>
      <c r="H18" s="19">
        <f>sum(C18:G18)</f>
        <v>5782.408754</v>
      </c>
      <c r="I18" s="33">
        <f t="shared" ref="I18:M18" si="9">I16-I17</f>
        <v>282.49745</v>
      </c>
      <c r="J18" s="33">
        <f t="shared" si="9"/>
        <v>553.5321</v>
      </c>
      <c r="K18" s="33">
        <f t="shared" si="9"/>
        <v>831.88141</v>
      </c>
      <c r="L18" s="33">
        <f t="shared" si="9"/>
        <v>1117.72392</v>
      </c>
      <c r="M18" s="33">
        <f t="shared" si="9"/>
        <v>1411.2233</v>
      </c>
      <c r="N18" s="19">
        <f>sum(I18:M18)</f>
        <v>4196.85818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hidden="1" outlineLevel="1">
      <c r="A19" s="23" t="s">
        <v>29</v>
      </c>
      <c r="B19" s="23" t="s">
        <v>30</v>
      </c>
      <c r="C19" s="29">
        <v>80902.0</v>
      </c>
      <c r="D19" s="18">
        <v>95706.0</v>
      </c>
      <c r="E19" s="18">
        <v>114861.0</v>
      </c>
      <c r="F19" s="18">
        <v>130801.0</v>
      </c>
      <c r="G19" s="18">
        <v>155699.0</v>
      </c>
      <c r="H19" s="19"/>
      <c r="I19" s="18">
        <v>180000.0</v>
      </c>
      <c r="J19" s="18">
        <v>180000.0</v>
      </c>
      <c r="K19" s="18">
        <v>180000.0</v>
      </c>
      <c r="L19" s="18">
        <v>180000.0</v>
      </c>
      <c r="M19" s="18">
        <v>180000.0</v>
      </c>
      <c r="N19" s="1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hidden="1" outlineLevel="1">
      <c r="A20" s="23" t="s">
        <v>31</v>
      </c>
      <c r="B20" s="23" t="s">
        <v>32</v>
      </c>
      <c r="C20" s="35">
        <v>0.901</v>
      </c>
      <c r="D20" s="36">
        <v>0.963</v>
      </c>
      <c r="E20" s="36">
        <v>0.97</v>
      </c>
      <c r="F20" s="36">
        <v>1.024</v>
      </c>
      <c r="G20" s="36">
        <v>1.293</v>
      </c>
      <c r="H20" s="15"/>
      <c r="I20" s="36">
        <v>1.343</v>
      </c>
      <c r="J20" s="36">
        <v>1.393</v>
      </c>
      <c r="K20" s="36">
        <v>1.443</v>
      </c>
      <c r="L20" s="36">
        <v>1.493</v>
      </c>
      <c r="M20" s="36">
        <v>1.543</v>
      </c>
      <c r="N20" s="1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hidden="1" outlineLevel="1">
      <c r="A21" s="34" t="s">
        <v>33</v>
      </c>
      <c r="B21" s="23" t="s">
        <v>34</v>
      </c>
      <c r="C21" s="32">
        <f t="shared" ref="C21:G21" si="10">C19*C20/1000</f>
        <v>72.892702</v>
      </c>
      <c r="D21" s="37">
        <f t="shared" si="10"/>
        <v>92.164878</v>
      </c>
      <c r="E21" s="37">
        <f t="shared" si="10"/>
        <v>111.41517</v>
      </c>
      <c r="F21" s="37">
        <f t="shared" si="10"/>
        <v>133.940224</v>
      </c>
      <c r="G21" s="37">
        <f t="shared" si="10"/>
        <v>201.318807</v>
      </c>
      <c r="H21" s="15">
        <f>sum(C21:G21)</f>
        <v>611.731781</v>
      </c>
      <c r="I21" s="37">
        <f t="shared" ref="I21:M21" si="11">I19*I20/1000</f>
        <v>241.74</v>
      </c>
      <c r="J21" s="37">
        <f t="shared" si="11"/>
        <v>250.74</v>
      </c>
      <c r="K21" s="37">
        <f t="shared" si="11"/>
        <v>259.74</v>
      </c>
      <c r="L21" s="37">
        <f t="shared" si="11"/>
        <v>268.74</v>
      </c>
      <c r="M21" s="37">
        <f t="shared" si="11"/>
        <v>277.74</v>
      </c>
      <c r="N21" s="15">
        <f>sum(I21:M21)</f>
        <v>1298.7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>
      <c r="A22" s="26" t="s">
        <v>35</v>
      </c>
      <c r="B22" s="26" t="s">
        <v>36</v>
      </c>
      <c r="C22" s="27">
        <f t="shared" ref="C22:F22" si="12">C21+C18</f>
        <v>231.656092</v>
      </c>
      <c r="D22" s="27">
        <f t="shared" si="12"/>
        <v>764.717438</v>
      </c>
      <c r="E22" s="27">
        <f t="shared" si="12"/>
        <v>972.298586</v>
      </c>
      <c r="F22" s="27">
        <f t="shared" si="12"/>
        <v>1546.016612</v>
      </c>
      <c r="G22" s="27">
        <f>G21+G18+1</f>
        <v>2880.451807</v>
      </c>
      <c r="H22" s="15">
        <f>sum(C22:G22)-1</f>
        <v>6394.140535</v>
      </c>
      <c r="I22" s="27">
        <f t="shared" ref="I22:M22" si="13">I21+I18</f>
        <v>524.23745</v>
      </c>
      <c r="J22" s="27">
        <f t="shared" si="13"/>
        <v>804.2721</v>
      </c>
      <c r="K22" s="27">
        <f t="shared" si="13"/>
        <v>1091.62141</v>
      </c>
      <c r="L22" s="27">
        <f t="shared" si="13"/>
        <v>1386.46392</v>
      </c>
      <c r="M22" s="27">
        <f t="shared" si="13"/>
        <v>1688.9633</v>
      </c>
      <c r="N22" s="15">
        <f>sum(I22:M22)-1</f>
        <v>5494.55818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 collapsed="1">
      <c r="A23" s="12" t="s">
        <v>37</v>
      </c>
      <c r="B23" s="13" t="s">
        <v>5</v>
      </c>
      <c r="C23" s="14"/>
      <c r="D23" s="14"/>
      <c r="E23" s="14"/>
      <c r="F23" s="14"/>
      <c r="G23" s="14"/>
      <c r="H23" s="15"/>
      <c r="I23" s="14"/>
      <c r="J23" s="14"/>
      <c r="K23" s="14"/>
      <c r="L23" s="14"/>
      <c r="M23" s="14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 hidden="1" outlineLevel="1">
      <c r="A24" s="23" t="s">
        <v>38</v>
      </c>
      <c r="B24" s="16" t="s">
        <v>7</v>
      </c>
      <c r="C24" s="29">
        <v>3408.0</v>
      </c>
      <c r="D24" s="18">
        <v>4498.0</v>
      </c>
      <c r="E24" s="18">
        <v>6148.0</v>
      </c>
      <c r="F24" s="18">
        <v>8970.0</v>
      </c>
      <c r="G24" s="18">
        <v>9114.0</v>
      </c>
      <c r="H24" s="19"/>
      <c r="I24" s="29">
        <v>9259.0</v>
      </c>
      <c r="J24" s="18">
        <v>9407.0</v>
      </c>
      <c r="K24" s="18">
        <v>9558.0</v>
      </c>
      <c r="L24" s="18">
        <v>9711.0</v>
      </c>
      <c r="M24" s="18">
        <v>9866.0</v>
      </c>
      <c r="N24" s="1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 hidden="1" outlineLevel="1">
      <c r="A25" s="23" t="s">
        <v>39</v>
      </c>
      <c r="B25" s="16" t="s">
        <v>9</v>
      </c>
      <c r="C25" s="30">
        <v>82.73</v>
      </c>
      <c r="D25" s="31">
        <v>83.67</v>
      </c>
      <c r="E25" s="31">
        <v>84.6</v>
      </c>
      <c r="F25" s="31">
        <v>92.07</v>
      </c>
      <c r="G25" s="31">
        <v>94.87</v>
      </c>
      <c r="H25" s="15"/>
      <c r="I25" s="31">
        <v>97.67</v>
      </c>
      <c r="J25" s="31">
        <v>100.47</v>
      </c>
      <c r="K25" s="31">
        <v>103.27</v>
      </c>
      <c r="L25" s="31">
        <v>106.07</v>
      </c>
      <c r="M25" s="31">
        <v>108.87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>
      <c r="A26" s="26" t="s">
        <v>40</v>
      </c>
      <c r="B26" s="26" t="s">
        <v>41</v>
      </c>
      <c r="C26" s="27">
        <f t="shared" ref="C26:G26" si="14">(C24*C25)/1000</f>
        <v>281.94384</v>
      </c>
      <c r="D26" s="27">
        <f t="shared" si="14"/>
        <v>376.34766</v>
      </c>
      <c r="E26" s="27">
        <f t="shared" si="14"/>
        <v>520.1208</v>
      </c>
      <c r="F26" s="27">
        <f t="shared" si="14"/>
        <v>825.8679</v>
      </c>
      <c r="G26" s="27">
        <f t="shared" si="14"/>
        <v>864.64518</v>
      </c>
      <c r="H26" s="28">
        <f>SUM(C26:G26)</f>
        <v>2868.92538</v>
      </c>
      <c r="I26" s="27">
        <f t="shared" ref="I26:M26" si="15">(I24*I25)/1000</f>
        <v>904.32653</v>
      </c>
      <c r="J26" s="27">
        <f t="shared" si="15"/>
        <v>945.12129</v>
      </c>
      <c r="K26" s="27">
        <f t="shared" si="15"/>
        <v>987.05466</v>
      </c>
      <c r="L26" s="27">
        <f t="shared" si="15"/>
        <v>1030.04577</v>
      </c>
      <c r="M26" s="27">
        <f t="shared" si="15"/>
        <v>1074.11142</v>
      </c>
      <c r="N26" s="28">
        <f>sum(I26:M26)</f>
        <v>4940.65967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 collapsed="1">
      <c r="A27" s="12" t="s">
        <v>42</v>
      </c>
      <c r="B27" s="13" t="s">
        <v>5</v>
      </c>
      <c r="C27" s="14"/>
      <c r="D27" s="14"/>
      <c r="E27" s="14"/>
      <c r="F27" s="14"/>
      <c r="G27" s="14"/>
      <c r="H27" s="15"/>
      <c r="I27" s="14"/>
      <c r="J27" s="14"/>
      <c r="K27" s="14"/>
      <c r="L27" s="14"/>
      <c r="M27" s="14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hidden="1" outlineLevel="1">
      <c r="A28" s="16" t="s">
        <v>43</v>
      </c>
      <c r="B28" s="16" t="s">
        <v>7</v>
      </c>
      <c r="C28" s="38">
        <v>220173.0</v>
      </c>
      <c r="D28" s="38">
        <v>295440.0</v>
      </c>
      <c r="E28" s="38">
        <v>292410.0</v>
      </c>
      <c r="F28" s="38">
        <v>283643.0</v>
      </c>
      <c r="G28" s="38">
        <v>299092.0</v>
      </c>
      <c r="H28" s="28"/>
      <c r="I28" s="38">
        <v>333165.0</v>
      </c>
      <c r="J28" s="38">
        <v>370538.0</v>
      </c>
      <c r="K28" s="38">
        <v>411777.0</v>
      </c>
      <c r="L28" s="38">
        <v>457392.0</v>
      </c>
      <c r="M28" s="38">
        <v>507501.0</v>
      </c>
      <c r="N28" s="2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hidden="1" outlineLevel="1">
      <c r="A29" s="16" t="s">
        <v>44</v>
      </c>
      <c r="B29" s="16" t="s">
        <v>9</v>
      </c>
      <c r="C29" s="39">
        <v>0.6</v>
      </c>
      <c r="D29" s="39">
        <v>0.6</v>
      </c>
      <c r="E29" s="39">
        <v>0.6</v>
      </c>
      <c r="F29" s="39">
        <v>0.6</v>
      </c>
      <c r="G29" s="39">
        <v>0.6</v>
      </c>
      <c r="H29" s="28"/>
      <c r="I29" s="39">
        <v>0.6</v>
      </c>
      <c r="J29" s="39">
        <v>0.6</v>
      </c>
      <c r="K29" s="39">
        <v>0.6</v>
      </c>
      <c r="L29" s="39">
        <v>0.6</v>
      </c>
      <c r="M29" s="39">
        <v>0.6</v>
      </c>
      <c r="N29" s="2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hidden="1" outlineLevel="1">
      <c r="A30" s="16" t="s">
        <v>45</v>
      </c>
      <c r="B30" s="16" t="s">
        <v>11</v>
      </c>
      <c r="C30" s="29">
        <v>30.0</v>
      </c>
      <c r="D30" s="29">
        <f t="shared" ref="D30:G30" si="16">$C$30</f>
        <v>30</v>
      </c>
      <c r="E30" s="29">
        <f t="shared" si="16"/>
        <v>30</v>
      </c>
      <c r="F30" s="29">
        <f t="shared" si="16"/>
        <v>30</v>
      </c>
      <c r="G30" s="29">
        <f t="shared" si="16"/>
        <v>30</v>
      </c>
      <c r="H30" s="28"/>
      <c r="I30" s="29">
        <f t="shared" ref="I30:M30" si="17">$C$30</f>
        <v>30</v>
      </c>
      <c r="J30" s="29">
        <f t="shared" si="17"/>
        <v>30</v>
      </c>
      <c r="K30" s="29">
        <f t="shared" si="17"/>
        <v>30</v>
      </c>
      <c r="L30" s="29">
        <f t="shared" si="17"/>
        <v>30</v>
      </c>
      <c r="M30" s="29">
        <f t="shared" si="17"/>
        <v>30</v>
      </c>
      <c r="N30" s="2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>
      <c r="A31" s="26" t="s">
        <v>46</v>
      </c>
      <c r="B31" s="26" t="s">
        <v>47</v>
      </c>
      <c r="C31" s="27">
        <f t="shared" ref="C31:G31" si="18">C28*C29/1000</f>
        <v>132.1038</v>
      </c>
      <c r="D31" s="27">
        <f t="shared" si="18"/>
        <v>177.264</v>
      </c>
      <c r="E31" s="27">
        <f t="shared" si="18"/>
        <v>175.446</v>
      </c>
      <c r="F31" s="27">
        <f t="shared" si="18"/>
        <v>170.1858</v>
      </c>
      <c r="G31" s="27">
        <f t="shared" si="18"/>
        <v>179.4552</v>
      </c>
      <c r="H31" s="28">
        <f t="shared" ref="H31:H33" si="21">sum(C31:G31)</f>
        <v>834.4548</v>
      </c>
      <c r="I31" s="27">
        <f t="shared" ref="I31:M31" si="19">I28*I29/1000</f>
        <v>199.899</v>
      </c>
      <c r="J31" s="27">
        <f t="shared" si="19"/>
        <v>222.3228</v>
      </c>
      <c r="K31" s="27">
        <f t="shared" si="19"/>
        <v>247.0662</v>
      </c>
      <c r="L31" s="27">
        <f t="shared" si="19"/>
        <v>274.4352</v>
      </c>
      <c r="M31" s="27">
        <f t="shared" si="19"/>
        <v>304.5006</v>
      </c>
      <c r="N31" s="28">
        <f t="shared" ref="N31:N33" si="23">sum(I31:M31)</f>
        <v>1248.2238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>
      <c r="A32" s="26" t="s">
        <v>46</v>
      </c>
      <c r="B32" s="26" t="s">
        <v>48</v>
      </c>
      <c r="C32" s="27">
        <f t="shared" ref="C32:G32" si="20">C31/C30</f>
        <v>4.40346</v>
      </c>
      <c r="D32" s="40">
        <f t="shared" si="20"/>
        <v>5.9088</v>
      </c>
      <c r="E32" s="27">
        <f t="shared" si="20"/>
        <v>5.8482</v>
      </c>
      <c r="F32" s="40">
        <f t="shared" si="20"/>
        <v>5.67286</v>
      </c>
      <c r="G32" s="27">
        <f t="shared" si="20"/>
        <v>5.98184</v>
      </c>
      <c r="H32" s="28">
        <f t="shared" si="21"/>
        <v>27.81516</v>
      </c>
      <c r="I32" s="27">
        <f t="shared" ref="I32:M32" si="22">I31/I30</f>
        <v>6.6633</v>
      </c>
      <c r="J32" s="27">
        <f t="shared" si="22"/>
        <v>7.41076</v>
      </c>
      <c r="K32" s="27">
        <f t="shared" si="22"/>
        <v>8.23554</v>
      </c>
      <c r="L32" s="27">
        <f t="shared" si="22"/>
        <v>9.14784</v>
      </c>
      <c r="M32" s="27">
        <f t="shared" si="22"/>
        <v>10.15002</v>
      </c>
      <c r="N32" s="28">
        <f t="shared" si="23"/>
        <v>41.60746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>
      <c r="A33" s="26" t="s">
        <v>46</v>
      </c>
      <c r="B33" s="26" t="s">
        <v>49</v>
      </c>
      <c r="C33" s="27">
        <f t="shared" ref="C33:G33" si="24">C28/1000-C31</f>
        <v>88.0692</v>
      </c>
      <c r="D33" s="40">
        <f t="shared" si="24"/>
        <v>118.176</v>
      </c>
      <c r="E33" s="27">
        <f t="shared" si="24"/>
        <v>116.964</v>
      </c>
      <c r="F33" s="40">
        <f t="shared" si="24"/>
        <v>113.4572</v>
      </c>
      <c r="G33" s="27">
        <f t="shared" si="24"/>
        <v>119.6368</v>
      </c>
      <c r="H33" s="28">
        <f t="shared" si="21"/>
        <v>556.3032</v>
      </c>
      <c r="I33" s="27">
        <f t="shared" ref="I33:M33" si="25">I28/1000-I31</f>
        <v>133.266</v>
      </c>
      <c r="J33" s="27">
        <f t="shared" si="25"/>
        <v>148.2152</v>
      </c>
      <c r="K33" s="27">
        <f t="shared" si="25"/>
        <v>164.7108</v>
      </c>
      <c r="L33" s="27">
        <f t="shared" si="25"/>
        <v>182.9568</v>
      </c>
      <c r="M33" s="27">
        <f t="shared" si="25"/>
        <v>203.0004</v>
      </c>
      <c r="N33" s="28">
        <f t="shared" si="23"/>
        <v>832.1492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collapsed="1">
      <c r="A34" s="12" t="s">
        <v>50</v>
      </c>
      <c r="B34" s="13" t="s">
        <v>5</v>
      </c>
      <c r="C34" s="14"/>
      <c r="D34" s="14"/>
      <c r="E34" s="14"/>
      <c r="F34" s="14"/>
      <c r="G34" s="14"/>
      <c r="H34" s="15"/>
      <c r="I34" s="14"/>
      <c r="J34" s="14"/>
      <c r="K34" s="14"/>
      <c r="L34" s="14"/>
      <c r="M34" s="14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 hidden="1" outlineLevel="1">
      <c r="A35" s="23" t="s">
        <v>51</v>
      </c>
      <c r="B35" s="41" t="s">
        <v>7</v>
      </c>
      <c r="C35" s="41">
        <f>115.421*3</f>
        <v>346.263</v>
      </c>
      <c r="D35" s="42">
        <f t="shared" ref="D35:G35" si="26">C37</f>
        <v>346.263</v>
      </c>
      <c r="E35" s="42">
        <f t="shared" si="26"/>
        <v>355.1965854</v>
      </c>
      <c r="F35" s="42">
        <f t="shared" si="26"/>
        <v>368.9071736</v>
      </c>
      <c r="G35" s="42">
        <f t="shared" si="26"/>
        <v>382.556739</v>
      </c>
      <c r="H35" s="15"/>
      <c r="I35" s="37">
        <f>G37</f>
        <v>396.1375033</v>
      </c>
      <c r="J35" s="37">
        <f t="shared" ref="J35:M35" si="27">I37</f>
        <v>410.2003846</v>
      </c>
      <c r="K35" s="37">
        <f t="shared" si="27"/>
        <v>424.7624983</v>
      </c>
      <c r="L35" s="37">
        <f t="shared" si="27"/>
        <v>439.841567</v>
      </c>
      <c r="M35" s="37">
        <f t="shared" si="27"/>
        <v>455.4559426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 hidden="1" outlineLevel="1">
      <c r="A36" s="23" t="s">
        <v>52</v>
      </c>
      <c r="B36" s="16" t="s">
        <v>9</v>
      </c>
      <c r="C36" s="32"/>
      <c r="D36" s="43">
        <v>0.0258</v>
      </c>
      <c r="E36" s="43">
        <v>0.0386</v>
      </c>
      <c r="F36" s="43">
        <v>0.037</v>
      </c>
      <c r="G36" s="43">
        <v>0.0355</v>
      </c>
      <c r="H36" s="15"/>
      <c r="I36" s="43">
        <v>0.0355</v>
      </c>
      <c r="J36" s="43">
        <v>0.0355</v>
      </c>
      <c r="K36" s="43">
        <v>0.0355</v>
      </c>
      <c r="L36" s="43">
        <v>0.0355</v>
      </c>
      <c r="M36" s="43">
        <v>0.0355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>
      <c r="A37" s="26" t="s">
        <v>53</v>
      </c>
      <c r="B37" s="26" t="s">
        <v>54</v>
      </c>
      <c r="C37" s="27">
        <f t="shared" ref="C37:G37" si="28">C35*(1+C36)</f>
        <v>346.263</v>
      </c>
      <c r="D37" s="27">
        <f t="shared" si="28"/>
        <v>355.1965854</v>
      </c>
      <c r="E37" s="27">
        <f t="shared" si="28"/>
        <v>368.9071736</v>
      </c>
      <c r="F37" s="27">
        <f t="shared" si="28"/>
        <v>382.556739</v>
      </c>
      <c r="G37" s="27">
        <f t="shared" si="28"/>
        <v>396.1375033</v>
      </c>
      <c r="H37" s="15">
        <f>sum(C37:G37)</f>
        <v>1849.061001</v>
      </c>
      <c r="I37" s="27">
        <f t="shared" ref="I37:M37" si="29">I35*(1+I36)</f>
        <v>410.2003846</v>
      </c>
      <c r="J37" s="27">
        <f t="shared" si="29"/>
        <v>424.7624983</v>
      </c>
      <c r="K37" s="27">
        <f t="shared" si="29"/>
        <v>439.841567</v>
      </c>
      <c r="L37" s="27">
        <f t="shared" si="29"/>
        <v>455.4559426</v>
      </c>
      <c r="M37" s="27">
        <f t="shared" si="29"/>
        <v>471.6246286</v>
      </c>
      <c r="N37" s="15">
        <f>sum(I37:M37)</f>
        <v>2201.885021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 collapsed="1">
      <c r="A38" s="44" t="s">
        <v>55</v>
      </c>
      <c r="B38" s="13" t="s">
        <v>5</v>
      </c>
      <c r="C38" s="14"/>
      <c r="D38" s="14"/>
      <c r="E38" s="14"/>
      <c r="F38" s="14"/>
      <c r="G38" s="14"/>
      <c r="H38" s="15"/>
      <c r="I38" s="14"/>
      <c r="J38" s="14"/>
      <c r="K38" s="14"/>
      <c r="L38" s="14"/>
      <c r="M38" s="14"/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 hidden="1" outlineLevel="1">
      <c r="A39" s="16" t="s">
        <v>56</v>
      </c>
      <c r="B39" s="16" t="s">
        <v>7</v>
      </c>
      <c r="C39" s="32"/>
      <c r="D39" s="37"/>
      <c r="E39" s="37"/>
      <c r="F39" s="37"/>
      <c r="G39" s="37"/>
      <c r="H39" s="15"/>
      <c r="I39" s="20">
        <v>2975000.0</v>
      </c>
      <c r="J39" s="20">
        <v>2889600.0</v>
      </c>
      <c r="K39" s="20">
        <v>2982067.0</v>
      </c>
      <c r="L39" s="20">
        <v>3077493.0</v>
      </c>
      <c r="M39" s="20">
        <v>3175973.0</v>
      </c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 hidden="1" outlineLevel="1">
      <c r="A40" s="16" t="s">
        <v>57</v>
      </c>
      <c r="B40" s="16" t="s">
        <v>9</v>
      </c>
      <c r="C40" s="32"/>
      <c r="D40" s="37"/>
      <c r="E40" s="37"/>
      <c r="F40" s="37"/>
      <c r="G40" s="37"/>
      <c r="H40" s="15"/>
      <c r="I40" s="45">
        <v>0.15</v>
      </c>
      <c r="J40" s="45">
        <v>0.2</v>
      </c>
      <c r="K40" s="45">
        <v>0.2</v>
      </c>
      <c r="L40" s="45">
        <v>0.2</v>
      </c>
      <c r="M40" s="45">
        <v>0.2</v>
      </c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 hidden="1" outlineLevel="1">
      <c r="A41" s="16" t="s">
        <v>58</v>
      </c>
      <c r="B41" s="16" t="s">
        <v>11</v>
      </c>
      <c r="C41" s="32"/>
      <c r="D41" s="37"/>
      <c r="E41" s="37"/>
      <c r="F41" s="37"/>
      <c r="G41" s="37"/>
      <c r="H41" s="15"/>
      <c r="I41" s="20">
        <v>347382.0</v>
      </c>
      <c r="J41" s="20">
        <v>364751.0</v>
      </c>
      <c r="K41" s="20">
        <v>382989.0</v>
      </c>
      <c r="L41" s="20">
        <v>402138.0</v>
      </c>
      <c r="M41" s="20">
        <v>422245.0</v>
      </c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>
      <c r="A42" s="26" t="s">
        <v>59</v>
      </c>
      <c r="B42" s="26" t="s">
        <v>60</v>
      </c>
      <c r="C42" s="27">
        <f t="shared" ref="C42:G42" si="30">(C39*C40)-C41</f>
        <v>0</v>
      </c>
      <c r="D42" s="27">
        <f t="shared" si="30"/>
        <v>0</v>
      </c>
      <c r="E42" s="27">
        <f t="shared" si="30"/>
        <v>0</v>
      </c>
      <c r="F42" s="27">
        <f t="shared" si="30"/>
        <v>0</v>
      </c>
      <c r="G42" s="27">
        <f t="shared" si="30"/>
        <v>0</v>
      </c>
      <c r="H42" s="15" t="s">
        <v>18</v>
      </c>
      <c r="I42" s="27">
        <f t="shared" ref="I42:M42" si="31">((I39/(1-I40)-I39-I41)/1000)</f>
        <v>177.618</v>
      </c>
      <c r="J42" s="27">
        <f t="shared" si="31"/>
        <v>357.649</v>
      </c>
      <c r="K42" s="27">
        <f t="shared" si="31"/>
        <v>362.52775</v>
      </c>
      <c r="L42" s="27">
        <f t="shared" si="31"/>
        <v>367.23525</v>
      </c>
      <c r="M42" s="27">
        <f t="shared" si="31"/>
        <v>371.74825</v>
      </c>
      <c r="N42" s="15">
        <f>sum(I42:M42)</f>
        <v>1636.77825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 collapsed="1">
      <c r="A43" s="46" t="s">
        <v>61</v>
      </c>
      <c r="B43" s="13" t="s">
        <v>5</v>
      </c>
      <c r="C43" s="14"/>
      <c r="D43" s="14"/>
      <c r="E43" s="14"/>
      <c r="F43" s="14"/>
      <c r="G43" s="14"/>
      <c r="H43" s="15"/>
      <c r="I43" s="14"/>
      <c r="J43" s="14"/>
      <c r="K43" s="14"/>
      <c r="L43" s="14"/>
      <c r="M43" s="14"/>
      <c r="N43" s="1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 hidden="1" outlineLevel="1">
      <c r="A44" s="16" t="s">
        <v>62</v>
      </c>
      <c r="B44" s="16" t="s">
        <v>7</v>
      </c>
      <c r="C44" s="18">
        <v>2600.0</v>
      </c>
      <c r="D44" s="18">
        <v>2600.0</v>
      </c>
      <c r="E44" s="18">
        <v>2600.0</v>
      </c>
      <c r="F44" s="18">
        <v>2600.0</v>
      </c>
      <c r="G44" s="18">
        <v>2600.0</v>
      </c>
      <c r="H44" s="15"/>
      <c r="I44" s="18">
        <v>2600.0</v>
      </c>
      <c r="J44" s="18">
        <v>2600.0</v>
      </c>
      <c r="K44" s="18">
        <v>2600.0</v>
      </c>
      <c r="L44" s="18">
        <v>2600.0</v>
      </c>
      <c r="M44" s="18">
        <v>2600.0</v>
      </c>
      <c r="N44" s="1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 hidden="1" outlineLevel="1">
      <c r="A45" s="16" t="s">
        <v>63</v>
      </c>
      <c r="B45" s="16" t="s">
        <v>9</v>
      </c>
      <c r="C45" s="20">
        <v>79.0</v>
      </c>
      <c r="D45" s="20">
        <v>80.0</v>
      </c>
      <c r="E45" s="20">
        <v>81.0</v>
      </c>
      <c r="F45" s="20">
        <v>89.0</v>
      </c>
      <c r="G45" s="20">
        <v>92.0</v>
      </c>
      <c r="H45" s="22"/>
      <c r="I45" s="20">
        <v>95.0</v>
      </c>
      <c r="J45" s="20">
        <v>98.0</v>
      </c>
      <c r="K45" s="20">
        <v>101.0</v>
      </c>
      <c r="L45" s="20">
        <v>104.0</v>
      </c>
      <c r="M45" s="20">
        <v>107.0</v>
      </c>
      <c r="N45" s="1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 hidden="1" outlineLevel="1">
      <c r="A46" s="16" t="s">
        <v>64</v>
      </c>
      <c r="B46" s="16" t="s">
        <v>11</v>
      </c>
      <c r="C46" s="18">
        <v>30.0</v>
      </c>
      <c r="D46" s="18">
        <v>30.0</v>
      </c>
      <c r="E46" s="18">
        <v>30.0</v>
      </c>
      <c r="F46" s="18">
        <v>30.0</v>
      </c>
      <c r="G46" s="18">
        <v>30.0</v>
      </c>
      <c r="H46" s="47"/>
      <c r="I46" s="18">
        <v>30.0</v>
      </c>
      <c r="J46" s="18">
        <v>30.0</v>
      </c>
      <c r="K46" s="18">
        <v>30.0</v>
      </c>
      <c r="L46" s="18">
        <v>30.0</v>
      </c>
      <c r="M46" s="18">
        <v>30.0</v>
      </c>
      <c r="N46" s="1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>
      <c r="A47" s="26" t="s">
        <v>65</v>
      </c>
      <c r="B47" s="26" t="s">
        <v>66</v>
      </c>
      <c r="C47" s="27">
        <f t="shared" ref="C47:G47" si="32">C44*C45/1000</f>
        <v>205.4</v>
      </c>
      <c r="D47" s="27">
        <f t="shared" si="32"/>
        <v>208</v>
      </c>
      <c r="E47" s="27">
        <f t="shared" si="32"/>
        <v>210.6</v>
      </c>
      <c r="F47" s="27">
        <f t="shared" si="32"/>
        <v>231.4</v>
      </c>
      <c r="G47" s="27">
        <f t="shared" si="32"/>
        <v>239.2</v>
      </c>
      <c r="H47" s="15">
        <f t="shared" ref="H47:H48" si="35">sum(C47:G47)</f>
        <v>1094.6</v>
      </c>
      <c r="I47" s="27">
        <f t="shared" ref="I47:M47" si="33">I44*I45/1000</f>
        <v>247</v>
      </c>
      <c r="J47" s="27">
        <f t="shared" si="33"/>
        <v>254.8</v>
      </c>
      <c r="K47" s="27">
        <f t="shared" si="33"/>
        <v>262.6</v>
      </c>
      <c r="L47" s="27">
        <f t="shared" si="33"/>
        <v>270.4</v>
      </c>
      <c r="M47" s="27">
        <f t="shared" si="33"/>
        <v>278.2</v>
      </c>
      <c r="N47" s="15">
        <f t="shared" ref="N47:N48" si="37">sum(I47:M47)</f>
        <v>1313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>
      <c r="A48" s="26" t="s">
        <v>65</v>
      </c>
      <c r="B48" s="26" t="s">
        <v>48</v>
      </c>
      <c r="C48" s="27">
        <f t="shared" ref="C48:G48" si="34">C47/C46</f>
        <v>6.846666667</v>
      </c>
      <c r="D48" s="27">
        <f t="shared" si="34"/>
        <v>6.933333333</v>
      </c>
      <c r="E48" s="27">
        <f t="shared" si="34"/>
        <v>7.02</v>
      </c>
      <c r="F48" s="27">
        <f t="shared" si="34"/>
        <v>7.713333333</v>
      </c>
      <c r="G48" s="27">
        <f t="shared" si="34"/>
        <v>7.973333333</v>
      </c>
      <c r="H48" s="15">
        <f t="shared" si="35"/>
        <v>36.48666667</v>
      </c>
      <c r="I48" s="27">
        <f t="shared" ref="I48:M48" si="36">I47/I46</f>
        <v>8.233333333</v>
      </c>
      <c r="J48" s="27">
        <f t="shared" si="36"/>
        <v>8.493333333</v>
      </c>
      <c r="K48" s="27">
        <f t="shared" si="36"/>
        <v>8.753333333</v>
      </c>
      <c r="L48" s="27">
        <f t="shared" si="36"/>
        <v>9.013333333</v>
      </c>
      <c r="M48" s="27">
        <f t="shared" si="36"/>
        <v>9.273333333</v>
      </c>
      <c r="N48" s="15">
        <f t="shared" si="37"/>
        <v>43.76666667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 collapsed="1">
      <c r="A49" s="44" t="s">
        <v>67</v>
      </c>
      <c r="B49" s="13" t="s">
        <v>5</v>
      </c>
      <c r="C49" s="14"/>
      <c r="D49" s="14"/>
      <c r="E49" s="14"/>
      <c r="F49" s="14"/>
      <c r="G49" s="14"/>
      <c r="H49" s="15"/>
      <c r="I49" s="14"/>
      <c r="J49" s="14"/>
      <c r="K49" s="14"/>
      <c r="L49" s="14"/>
      <c r="M49" s="14"/>
      <c r="N49" s="1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 hidden="1" outlineLevel="1">
      <c r="A50" s="23" t="s">
        <v>68</v>
      </c>
      <c r="B50" s="16" t="s">
        <v>7</v>
      </c>
      <c r="C50" s="29">
        <v>0.0</v>
      </c>
      <c r="D50" s="18">
        <v>4363.0</v>
      </c>
      <c r="E50" s="18">
        <v>21008.0</v>
      </c>
      <c r="F50" s="18">
        <v>22643.0</v>
      </c>
      <c r="G50" s="18">
        <v>24116.0</v>
      </c>
      <c r="H50" s="19"/>
      <c r="I50" s="18">
        <v>24442.0</v>
      </c>
      <c r="J50" s="18">
        <v>24442.0</v>
      </c>
      <c r="K50" s="18">
        <v>24442.0</v>
      </c>
      <c r="L50" s="18">
        <v>24442.0</v>
      </c>
      <c r="M50" s="18">
        <v>24442.0</v>
      </c>
      <c r="N50" s="1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 hidden="1" outlineLevel="1">
      <c r="A51" s="23" t="s">
        <v>69</v>
      </c>
      <c r="B51" s="16" t="s">
        <v>9</v>
      </c>
      <c r="C51" s="33">
        <v>0.0</v>
      </c>
      <c r="D51" s="48">
        <v>35.4</v>
      </c>
      <c r="E51" s="48">
        <v>35.4</v>
      </c>
      <c r="F51" s="48">
        <v>39.0</v>
      </c>
      <c r="G51" s="48">
        <v>39.0</v>
      </c>
      <c r="H51" s="15"/>
      <c r="I51" s="48">
        <v>39.0</v>
      </c>
      <c r="J51" s="48">
        <v>39.0</v>
      </c>
      <c r="K51" s="48">
        <v>39.0</v>
      </c>
      <c r="L51" s="48">
        <v>39.0</v>
      </c>
      <c r="M51" s="48">
        <v>39.0</v>
      </c>
      <c r="N51" s="1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 hidden="1" outlineLevel="1">
      <c r="A52" s="23" t="s">
        <v>70</v>
      </c>
      <c r="B52" s="16" t="s">
        <v>71</v>
      </c>
      <c r="C52" s="32">
        <f t="shared" ref="C52:G52" si="38">C50*C51*(10/60)/1000</f>
        <v>0</v>
      </c>
      <c r="D52" s="37">
        <f t="shared" si="38"/>
        <v>25.7417</v>
      </c>
      <c r="E52" s="37">
        <f t="shared" si="38"/>
        <v>123.9472</v>
      </c>
      <c r="F52" s="37">
        <f t="shared" si="38"/>
        <v>147.1795</v>
      </c>
      <c r="G52" s="37">
        <f t="shared" si="38"/>
        <v>156.754</v>
      </c>
      <c r="H52" s="15"/>
      <c r="I52" s="37">
        <f t="shared" ref="I52:M52" si="39">I50*I51*(10/60)/1000</f>
        <v>158.873</v>
      </c>
      <c r="J52" s="37">
        <f t="shared" si="39"/>
        <v>158.873</v>
      </c>
      <c r="K52" s="37">
        <f t="shared" si="39"/>
        <v>158.873</v>
      </c>
      <c r="L52" s="37">
        <f t="shared" si="39"/>
        <v>158.873</v>
      </c>
      <c r="M52" s="37">
        <f t="shared" si="39"/>
        <v>158.873</v>
      </c>
      <c r="N52" s="1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 hidden="1" outlineLevel="1">
      <c r="A53" s="23" t="s">
        <v>72</v>
      </c>
      <c r="B53" s="16" t="s">
        <v>73</v>
      </c>
      <c r="C53" s="29">
        <v>0.0</v>
      </c>
      <c r="D53" s="18">
        <v>7449.0</v>
      </c>
      <c r="E53" s="18">
        <v>6770.0</v>
      </c>
      <c r="F53" s="18">
        <v>6715.0</v>
      </c>
      <c r="G53" s="18">
        <v>7151.0</v>
      </c>
      <c r="H53" s="19"/>
      <c r="I53" s="18">
        <v>7248.0</v>
      </c>
      <c r="J53" s="18">
        <v>7248.0</v>
      </c>
      <c r="K53" s="18">
        <v>7248.0</v>
      </c>
      <c r="L53" s="18">
        <v>7248.0</v>
      </c>
      <c r="M53" s="18">
        <v>7248.0</v>
      </c>
      <c r="N53" s="1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 hidden="1" outlineLevel="1">
      <c r="A54" s="23" t="s">
        <v>70</v>
      </c>
      <c r="B54" s="16" t="s">
        <v>74</v>
      </c>
      <c r="C54" s="32">
        <f t="shared" ref="C54:G54" si="40">C53*C51*(7/60)/1000</f>
        <v>0</v>
      </c>
      <c r="D54" s="37">
        <f t="shared" si="40"/>
        <v>30.76437</v>
      </c>
      <c r="E54" s="37">
        <f t="shared" si="40"/>
        <v>27.9601</v>
      </c>
      <c r="F54" s="37">
        <f t="shared" si="40"/>
        <v>30.55325</v>
      </c>
      <c r="G54" s="37">
        <f t="shared" si="40"/>
        <v>32.53705</v>
      </c>
      <c r="H54" s="15"/>
      <c r="I54" s="37">
        <f t="shared" ref="I54:M54" si="41">I53*I51*(7/60)/1000</f>
        <v>32.9784</v>
      </c>
      <c r="J54" s="37">
        <f t="shared" si="41"/>
        <v>32.9784</v>
      </c>
      <c r="K54" s="37">
        <f t="shared" si="41"/>
        <v>32.9784</v>
      </c>
      <c r="L54" s="37">
        <f t="shared" si="41"/>
        <v>32.9784</v>
      </c>
      <c r="M54" s="37">
        <f t="shared" si="41"/>
        <v>32.9784</v>
      </c>
      <c r="N54" s="1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 hidden="1" outlineLevel="1">
      <c r="A55" s="23" t="s">
        <v>75</v>
      </c>
      <c r="B55" s="16" t="s">
        <v>76</v>
      </c>
      <c r="C55" s="33">
        <v>0.0</v>
      </c>
      <c r="D55" s="20">
        <v>18.358</v>
      </c>
      <c r="E55" s="20">
        <v>18.358</v>
      </c>
      <c r="F55" s="20">
        <v>18.358</v>
      </c>
      <c r="G55" s="20">
        <v>18.358</v>
      </c>
      <c r="H55" s="15"/>
      <c r="I55" s="20">
        <v>18.358</v>
      </c>
      <c r="J55" s="20">
        <v>18.358</v>
      </c>
      <c r="K55" s="20">
        <v>0.0</v>
      </c>
      <c r="L55" s="20">
        <v>0.0</v>
      </c>
      <c r="M55" s="20">
        <v>0.0</v>
      </c>
      <c r="N55" s="1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>
      <c r="A56" s="26" t="s">
        <v>77</v>
      </c>
      <c r="B56" s="26" t="s">
        <v>78</v>
      </c>
      <c r="C56" s="27">
        <v>0.0</v>
      </c>
      <c r="D56" s="40">
        <f t="shared" ref="D56:G56" si="42">D52+D54-D55</f>
        <v>38.14807</v>
      </c>
      <c r="E56" s="27">
        <f t="shared" si="42"/>
        <v>133.5493</v>
      </c>
      <c r="F56" s="40">
        <f t="shared" si="42"/>
        <v>159.37475</v>
      </c>
      <c r="G56" s="27">
        <f t="shared" si="42"/>
        <v>170.93305</v>
      </c>
      <c r="H56" s="28">
        <f>sum(C56:G56)</f>
        <v>502.00517</v>
      </c>
      <c r="I56" s="27">
        <f t="shared" ref="I56:M56" si="43">I52+I54-I55</f>
        <v>173.4934</v>
      </c>
      <c r="J56" s="27">
        <f t="shared" si="43"/>
        <v>173.4934</v>
      </c>
      <c r="K56" s="27">
        <f t="shared" si="43"/>
        <v>191.8514</v>
      </c>
      <c r="L56" s="27">
        <f t="shared" si="43"/>
        <v>191.8514</v>
      </c>
      <c r="M56" s="27">
        <f t="shared" si="43"/>
        <v>191.8514</v>
      </c>
      <c r="N56" s="28">
        <f>sum(I56:M56)</f>
        <v>922.541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 collapsed="1">
      <c r="A57" s="44" t="s">
        <v>79</v>
      </c>
      <c r="B57" s="13" t="s">
        <v>5</v>
      </c>
      <c r="C57" s="14"/>
      <c r="D57" s="14"/>
      <c r="E57" s="14"/>
      <c r="F57" s="14"/>
      <c r="G57" s="14"/>
      <c r="H57" s="15"/>
      <c r="I57" s="14"/>
      <c r="J57" s="14"/>
      <c r="K57" s="14"/>
      <c r="L57" s="14"/>
      <c r="M57" s="14"/>
      <c r="N57" s="1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 hidden="1" outlineLevel="1">
      <c r="A58" s="23" t="s">
        <v>80</v>
      </c>
      <c r="B58" s="16" t="s">
        <v>7</v>
      </c>
      <c r="C58" s="17"/>
      <c r="D58" s="17"/>
      <c r="E58" s="17"/>
      <c r="F58" s="17"/>
      <c r="G58" s="49">
        <v>1800.0</v>
      </c>
      <c r="H58" s="15"/>
      <c r="I58" s="50">
        <f t="shared" ref="I58:M58" si="44">$G$58</f>
        <v>1800</v>
      </c>
      <c r="J58" s="50">
        <f t="shared" si="44"/>
        <v>1800</v>
      </c>
      <c r="K58" s="50">
        <f t="shared" si="44"/>
        <v>1800</v>
      </c>
      <c r="L58" s="50">
        <f t="shared" si="44"/>
        <v>1800</v>
      </c>
      <c r="M58" s="50">
        <f t="shared" si="44"/>
        <v>1800</v>
      </c>
      <c r="N58" s="1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 hidden="1" outlineLevel="1">
      <c r="A59" s="23" t="s">
        <v>81</v>
      </c>
      <c r="B59" s="16" t="s">
        <v>9</v>
      </c>
      <c r="C59" s="17"/>
      <c r="D59" s="17"/>
      <c r="E59" s="17"/>
      <c r="F59" s="17"/>
      <c r="G59" s="20">
        <v>92.0</v>
      </c>
      <c r="H59" s="15"/>
      <c r="I59" s="20">
        <v>95.0</v>
      </c>
      <c r="J59" s="20">
        <v>98.0</v>
      </c>
      <c r="K59" s="20">
        <v>101.0</v>
      </c>
      <c r="L59" s="20">
        <v>104.0</v>
      </c>
      <c r="M59" s="20">
        <v>107.0</v>
      </c>
      <c r="N59" s="1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hidden="1" outlineLevel="1">
      <c r="A60" s="23" t="s">
        <v>82</v>
      </c>
      <c r="B60" s="16" t="s">
        <v>23</v>
      </c>
      <c r="C60" s="17"/>
      <c r="D60" s="17"/>
      <c r="E60" s="17"/>
      <c r="F60" s="17"/>
      <c r="G60" s="37">
        <f>G58*G59</f>
        <v>165600</v>
      </c>
      <c r="H60" s="15"/>
      <c r="I60" s="37">
        <f t="shared" ref="I60:M60" si="45">I58*I59</f>
        <v>171000</v>
      </c>
      <c r="J60" s="37">
        <f t="shared" si="45"/>
        <v>176400</v>
      </c>
      <c r="K60" s="37">
        <f t="shared" si="45"/>
        <v>181800</v>
      </c>
      <c r="L60" s="37">
        <f t="shared" si="45"/>
        <v>187200</v>
      </c>
      <c r="M60" s="37">
        <f t="shared" si="45"/>
        <v>192600</v>
      </c>
      <c r="N60" s="1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 hidden="1" outlineLevel="1">
      <c r="A61" s="23" t="s">
        <v>83</v>
      </c>
      <c r="B61" s="16" t="s">
        <v>73</v>
      </c>
      <c r="C61" s="17"/>
      <c r="D61" s="17"/>
      <c r="E61" s="17"/>
      <c r="F61" s="17"/>
      <c r="G61" s="20">
        <v>24130.0</v>
      </c>
      <c r="H61" s="15"/>
      <c r="I61" s="20">
        <v>25336.0</v>
      </c>
      <c r="J61" s="20">
        <v>26603.0</v>
      </c>
      <c r="K61" s="20">
        <v>27933.0</v>
      </c>
      <c r="L61" s="20">
        <v>29330.0</v>
      </c>
      <c r="M61" s="20">
        <v>30796.0</v>
      </c>
      <c r="N61" s="1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>
      <c r="A62" s="26" t="s">
        <v>84</v>
      </c>
      <c r="B62" s="26" t="s">
        <v>85</v>
      </c>
      <c r="C62" s="27"/>
      <c r="D62" s="40"/>
      <c r="E62" s="27"/>
      <c r="F62" s="40"/>
      <c r="G62" s="27">
        <f>(G60-G61)/1000</f>
        <v>141.47</v>
      </c>
      <c r="H62" s="28">
        <f>G62</f>
        <v>141.47</v>
      </c>
      <c r="I62" s="27">
        <f t="shared" ref="I62:M62" si="46">(I60-I61)/1000</f>
        <v>145.664</v>
      </c>
      <c r="J62" s="27">
        <f t="shared" si="46"/>
        <v>149.797</v>
      </c>
      <c r="K62" s="27">
        <f t="shared" si="46"/>
        <v>153.867</v>
      </c>
      <c r="L62" s="27">
        <f t="shared" si="46"/>
        <v>157.87</v>
      </c>
      <c r="M62" s="27">
        <f t="shared" si="46"/>
        <v>161.804</v>
      </c>
      <c r="N62" s="28">
        <f>sum(I62:M62)</f>
        <v>769.002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 collapsed="1">
      <c r="A63" s="46" t="s">
        <v>86</v>
      </c>
      <c r="B63" s="13" t="s">
        <v>5</v>
      </c>
      <c r="C63" s="14"/>
      <c r="D63" s="14"/>
      <c r="E63" s="14"/>
      <c r="F63" s="14"/>
      <c r="G63" s="14"/>
      <c r="H63" s="15"/>
      <c r="I63" s="14"/>
      <c r="J63" s="14"/>
      <c r="K63" s="14"/>
      <c r="L63" s="14"/>
      <c r="M63" s="14"/>
      <c r="N63" s="1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 hidden="1" outlineLevel="1">
      <c r="A64" s="23" t="s">
        <v>87</v>
      </c>
      <c r="B64" s="16" t="s">
        <v>7</v>
      </c>
      <c r="C64" s="51">
        <v>148.0</v>
      </c>
      <c r="D64" s="51">
        <f t="shared" ref="D64:G64" si="47">$C$64</f>
        <v>148</v>
      </c>
      <c r="E64" s="51">
        <f t="shared" si="47"/>
        <v>148</v>
      </c>
      <c r="F64" s="51">
        <f t="shared" si="47"/>
        <v>148</v>
      </c>
      <c r="G64" s="51">
        <f t="shared" si="47"/>
        <v>148</v>
      </c>
      <c r="H64" s="52"/>
      <c r="I64" s="51">
        <f t="shared" ref="I64:M64" si="48">$C$64</f>
        <v>148</v>
      </c>
      <c r="J64" s="51">
        <f t="shared" si="48"/>
        <v>148</v>
      </c>
      <c r="K64" s="51">
        <f t="shared" si="48"/>
        <v>148</v>
      </c>
      <c r="L64" s="51">
        <f t="shared" si="48"/>
        <v>148</v>
      </c>
      <c r="M64" s="51">
        <f t="shared" si="48"/>
        <v>148</v>
      </c>
      <c r="N64" s="1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 hidden="1" outlineLevel="1">
      <c r="A65" s="23" t="s">
        <v>88</v>
      </c>
      <c r="B65" s="16" t="s">
        <v>9</v>
      </c>
      <c r="C65" s="53">
        <f>20/60</f>
        <v>0.3333333333</v>
      </c>
      <c r="D65" s="54">
        <f t="shared" ref="D65:G65" si="49">$C$65</f>
        <v>0.3333333333</v>
      </c>
      <c r="E65" s="54">
        <f t="shared" si="49"/>
        <v>0.3333333333</v>
      </c>
      <c r="F65" s="54">
        <f t="shared" si="49"/>
        <v>0.3333333333</v>
      </c>
      <c r="G65" s="54">
        <f t="shared" si="49"/>
        <v>0.3333333333</v>
      </c>
      <c r="H65" s="15"/>
      <c r="I65" s="54">
        <f t="shared" ref="I65:M65" si="50">$C$65</f>
        <v>0.3333333333</v>
      </c>
      <c r="J65" s="54">
        <f t="shared" si="50"/>
        <v>0.3333333333</v>
      </c>
      <c r="K65" s="54">
        <f t="shared" si="50"/>
        <v>0.3333333333</v>
      </c>
      <c r="L65" s="54">
        <f t="shared" si="50"/>
        <v>0.3333333333</v>
      </c>
      <c r="M65" s="54">
        <f t="shared" si="50"/>
        <v>0.3333333333</v>
      </c>
      <c r="N65" s="1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 hidden="1" outlineLevel="1">
      <c r="A66" s="23" t="s">
        <v>89</v>
      </c>
      <c r="B66" s="16" t="s">
        <v>23</v>
      </c>
      <c r="C66" s="55">
        <f t="shared" ref="C66:G66" si="51">C64*C65</f>
        <v>49.33333333</v>
      </c>
      <c r="D66" s="55">
        <f t="shared" si="51"/>
        <v>49.33333333</v>
      </c>
      <c r="E66" s="55">
        <f t="shared" si="51"/>
        <v>49.33333333</v>
      </c>
      <c r="F66" s="55">
        <f t="shared" si="51"/>
        <v>49.33333333</v>
      </c>
      <c r="G66" s="55">
        <f t="shared" si="51"/>
        <v>49.33333333</v>
      </c>
      <c r="H66" s="47"/>
      <c r="I66" s="55">
        <f t="shared" ref="I66:M66" si="52">I64*I65</f>
        <v>49.33333333</v>
      </c>
      <c r="J66" s="55">
        <f t="shared" si="52"/>
        <v>49.33333333</v>
      </c>
      <c r="K66" s="55">
        <f t="shared" si="52"/>
        <v>49.33333333</v>
      </c>
      <c r="L66" s="55">
        <f t="shared" si="52"/>
        <v>49.33333333</v>
      </c>
      <c r="M66" s="55">
        <f t="shared" si="52"/>
        <v>49.33333333</v>
      </c>
      <c r="N66" s="1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 hidden="1" outlineLevel="1">
      <c r="A67" s="16" t="s">
        <v>90</v>
      </c>
      <c r="B67" s="16" t="s">
        <v>73</v>
      </c>
      <c r="C67" s="56">
        <v>79.0</v>
      </c>
      <c r="D67" s="56">
        <v>80.0</v>
      </c>
      <c r="E67" s="56">
        <v>81.0</v>
      </c>
      <c r="F67" s="56">
        <v>89.0</v>
      </c>
      <c r="G67" s="20">
        <v>92.0</v>
      </c>
      <c r="H67" s="15"/>
      <c r="I67" s="20">
        <v>95.0</v>
      </c>
      <c r="J67" s="20">
        <v>98.0</v>
      </c>
      <c r="K67" s="20">
        <v>101.0</v>
      </c>
      <c r="L67" s="20">
        <v>104.0</v>
      </c>
      <c r="M67" s="20">
        <v>107.0</v>
      </c>
      <c r="N67" s="1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 hidden="1" outlineLevel="1">
      <c r="A68" s="16" t="s">
        <v>64</v>
      </c>
      <c r="B68" s="16" t="s">
        <v>15</v>
      </c>
      <c r="C68" s="57">
        <v>30.0</v>
      </c>
      <c r="D68" s="57">
        <v>30.0</v>
      </c>
      <c r="E68" s="57">
        <v>30.0</v>
      </c>
      <c r="F68" s="57">
        <v>30.0</v>
      </c>
      <c r="G68" s="57">
        <v>30.0</v>
      </c>
      <c r="H68" s="15"/>
      <c r="I68" s="57">
        <v>30.0</v>
      </c>
      <c r="J68" s="57">
        <v>30.0</v>
      </c>
      <c r="K68" s="57">
        <v>30.0</v>
      </c>
      <c r="L68" s="57">
        <v>30.0</v>
      </c>
      <c r="M68" s="57">
        <v>30.0</v>
      </c>
      <c r="N68" s="1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>
      <c r="A69" s="26" t="s">
        <v>91</v>
      </c>
      <c r="B69" s="26" t="s">
        <v>92</v>
      </c>
      <c r="C69" s="58">
        <f t="shared" ref="C69:G69" si="53">(C66*C67)/1000</f>
        <v>3.897333333</v>
      </c>
      <c r="D69" s="58">
        <f t="shared" si="53"/>
        <v>3.946666667</v>
      </c>
      <c r="E69" s="58">
        <f t="shared" si="53"/>
        <v>3.996</v>
      </c>
      <c r="F69" s="58">
        <f t="shared" si="53"/>
        <v>4.390666667</v>
      </c>
      <c r="G69" s="58">
        <f t="shared" si="53"/>
        <v>4.538666667</v>
      </c>
      <c r="H69" s="28">
        <f t="shared" ref="H69:H70" si="56">sum(C69:G69)</f>
        <v>20.76933333</v>
      </c>
      <c r="I69" s="58">
        <f t="shared" ref="I69:M69" si="54">(I66*I67)/1000</f>
        <v>4.686666667</v>
      </c>
      <c r="J69" s="58">
        <f t="shared" si="54"/>
        <v>4.834666667</v>
      </c>
      <c r="K69" s="58">
        <f t="shared" si="54"/>
        <v>4.982666667</v>
      </c>
      <c r="L69" s="58">
        <f t="shared" si="54"/>
        <v>5.130666667</v>
      </c>
      <c r="M69" s="58">
        <f t="shared" si="54"/>
        <v>5.278666667</v>
      </c>
      <c r="N69" s="28">
        <f t="shared" ref="N69:N70" si="58">sum(I69:M69)</f>
        <v>24.91333333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>
      <c r="A70" s="26" t="s">
        <v>91</v>
      </c>
      <c r="B70" s="26" t="s">
        <v>93</v>
      </c>
      <c r="C70" s="27">
        <f t="shared" ref="C70:G70" si="55">C69/C68</f>
        <v>0.1299111111</v>
      </c>
      <c r="D70" s="40">
        <f t="shared" si="55"/>
        <v>0.1315555556</v>
      </c>
      <c r="E70" s="27">
        <f t="shared" si="55"/>
        <v>0.1332</v>
      </c>
      <c r="F70" s="40">
        <f t="shared" si="55"/>
        <v>0.1463555556</v>
      </c>
      <c r="G70" s="27">
        <f t="shared" si="55"/>
        <v>0.1512888889</v>
      </c>
      <c r="H70" s="28">
        <f t="shared" si="56"/>
        <v>0.6923111111</v>
      </c>
      <c r="I70" s="27">
        <f t="shared" ref="I70:M70" si="57">I69/I68</f>
        <v>0.1562222222</v>
      </c>
      <c r="J70" s="27">
        <f t="shared" si="57"/>
        <v>0.1611555556</v>
      </c>
      <c r="K70" s="27">
        <f t="shared" si="57"/>
        <v>0.1660888889</v>
      </c>
      <c r="L70" s="27">
        <f t="shared" si="57"/>
        <v>0.1710222222</v>
      </c>
      <c r="M70" s="27">
        <f t="shared" si="57"/>
        <v>0.1759555556</v>
      </c>
      <c r="N70" s="28">
        <f t="shared" si="58"/>
        <v>0.8304444444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 collapsed="1">
      <c r="A71" s="44" t="s">
        <v>94</v>
      </c>
      <c r="B71" s="13" t="s">
        <v>5</v>
      </c>
      <c r="C71" s="14"/>
      <c r="D71" s="14"/>
      <c r="E71" s="14"/>
      <c r="F71" s="14"/>
      <c r="G71" s="14"/>
      <c r="H71" s="15"/>
      <c r="I71" s="14"/>
      <c r="J71" s="14"/>
      <c r="K71" s="14"/>
      <c r="L71" s="14"/>
      <c r="M71" s="14"/>
      <c r="N71" s="1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 hidden="1" outlineLevel="1">
      <c r="A72" s="59" t="s">
        <v>95</v>
      </c>
      <c r="B72" s="60"/>
      <c r="C72" s="61"/>
      <c r="D72" s="61"/>
      <c r="E72" s="61"/>
      <c r="F72" s="61"/>
      <c r="G72" s="61"/>
      <c r="H72" s="15"/>
      <c r="I72" s="61"/>
      <c r="J72" s="61"/>
      <c r="K72" s="61"/>
      <c r="L72" s="61"/>
      <c r="M72" s="61"/>
      <c r="N72" s="1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 hidden="1" outlineLevel="1">
      <c r="A73" s="59" t="s">
        <v>96</v>
      </c>
      <c r="B73" s="59"/>
      <c r="C73" s="61"/>
      <c r="D73" s="62"/>
      <c r="E73" s="62"/>
      <c r="F73" s="62"/>
      <c r="G73" s="62"/>
      <c r="H73" s="15"/>
      <c r="I73" s="62"/>
      <c r="J73" s="62"/>
      <c r="K73" s="62"/>
      <c r="L73" s="62"/>
      <c r="M73" s="62"/>
      <c r="N73" s="15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 hidden="1" outlineLevel="1">
      <c r="A74" s="59" t="s">
        <v>97</v>
      </c>
      <c r="B74" s="59" t="s">
        <v>7</v>
      </c>
      <c r="C74" s="63">
        <f>185205/1000</f>
        <v>185.205</v>
      </c>
      <c r="D74" s="64">
        <f>181422/1000</f>
        <v>181.422</v>
      </c>
      <c r="E74" s="63">
        <v>0.0</v>
      </c>
      <c r="F74" s="63">
        <v>0.0</v>
      </c>
      <c r="G74" s="63">
        <v>0.0</v>
      </c>
      <c r="H74" s="15"/>
      <c r="I74" s="63">
        <v>0.0</v>
      </c>
      <c r="J74" s="63">
        <v>0.0</v>
      </c>
      <c r="K74" s="63">
        <v>0.0</v>
      </c>
      <c r="L74" s="63">
        <v>0.0</v>
      </c>
      <c r="M74" s="63">
        <v>0.0</v>
      </c>
      <c r="N74" s="1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 hidden="1" outlineLevel="1">
      <c r="A75" s="59" t="s">
        <v>98</v>
      </c>
      <c r="B75" s="59" t="s">
        <v>99</v>
      </c>
      <c r="C75" s="64">
        <f t="shared" ref="C75:D75" si="59">C74*12%</f>
        <v>22.2246</v>
      </c>
      <c r="D75" s="64">
        <f t="shared" si="59"/>
        <v>21.77064</v>
      </c>
      <c r="E75" s="63">
        <v>0.0</v>
      </c>
      <c r="F75" s="63">
        <v>0.0</v>
      </c>
      <c r="G75" s="63">
        <v>0.0</v>
      </c>
      <c r="H75" s="15"/>
      <c r="I75" s="63">
        <v>0.0</v>
      </c>
      <c r="J75" s="63">
        <v>0.0</v>
      </c>
      <c r="K75" s="63">
        <v>0.0</v>
      </c>
      <c r="L75" s="63">
        <v>0.0</v>
      </c>
      <c r="M75" s="63">
        <v>0.0</v>
      </c>
      <c r="N75" s="1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 hidden="1" outlineLevel="1">
      <c r="A76" s="59" t="s">
        <v>100</v>
      </c>
      <c r="B76" s="59" t="s">
        <v>101</v>
      </c>
      <c r="C76" s="63">
        <f t="shared" ref="C76:D76" si="60">C75*6</f>
        <v>133.3476</v>
      </c>
      <c r="D76" s="63">
        <f t="shared" si="60"/>
        <v>130.62384</v>
      </c>
      <c r="E76" s="63">
        <v>0.0</v>
      </c>
      <c r="F76" s="63">
        <v>0.0</v>
      </c>
      <c r="G76" s="63">
        <v>0.0</v>
      </c>
      <c r="H76" s="15"/>
      <c r="I76" s="63">
        <v>0.0</v>
      </c>
      <c r="J76" s="63">
        <v>0.0</v>
      </c>
      <c r="K76" s="63">
        <v>0.0</v>
      </c>
      <c r="L76" s="63">
        <v>0.0</v>
      </c>
      <c r="M76" s="63">
        <v>0.0</v>
      </c>
      <c r="N76" s="1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 hidden="1" outlineLevel="1">
      <c r="A77" s="59" t="s">
        <v>102</v>
      </c>
      <c r="B77" s="59"/>
      <c r="C77" s="65"/>
      <c r="D77" s="61"/>
      <c r="E77" s="61"/>
      <c r="F77" s="61"/>
      <c r="G77" s="61"/>
      <c r="H77" s="15"/>
      <c r="I77" s="61"/>
      <c r="J77" s="61"/>
      <c r="K77" s="61"/>
      <c r="L77" s="61"/>
      <c r="M77" s="61"/>
      <c r="N77" s="1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 hidden="1" outlineLevel="1">
      <c r="A78" s="59" t="s">
        <v>103</v>
      </c>
      <c r="B78" s="66" t="s">
        <v>73</v>
      </c>
      <c r="C78" s="63">
        <f>181422/1000</f>
        <v>181.422</v>
      </c>
      <c r="D78" s="63">
        <f>177755/1000</f>
        <v>177.755</v>
      </c>
      <c r="E78" s="63">
        <v>0.0</v>
      </c>
      <c r="F78" s="63">
        <v>0.0</v>
      </c>
      <c r="G78" s="63">
        <v>0.0</v>
      </c>
      <c r="H78" s="15"/>
      <c r="I78" s="63">
        <v>0.0</v>
      </c>
      <c r="J78" s="63">
        <v>0.0</v>
      </c>
      <c r="K78" s="63">
        <v>0.0</v>
      </c>
      <c r="L78" s="63">
        <v>0.0</v>
      </c>
      <c r="M78" s="63">
        <v>0.0</v>
      </c>
      <c r="N78" s="1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 hidden="1" outlineLevel="1">
      <c r="A79" s="59" t="s">
        <v>98</v>
      </c>
      <c r="B79" s="59" t="s">
        <v>104</v>
      </c>
      <c r="C79" s="64">
        <f t="shared" ref="C79:D79" si="61">C78*12%</f>
        <v>21.77064</v>
      </c>
      <c r="D79" s="64">
        <f t="shared" si="61"/>
        <v>21.3306</v>
      </c>
      <c r="E79" s="63">
        <v>0.0</v>
      </c>
      <c r="F79" s="63">
        <v>0.0</v>
      </c>
      <c r="G79" s="63">
        <v>0.0</v>
      </c>
      <c r="H79" s="15"/>
      <c r="I79" s="63">
        <v>0.0</v>
      </c>
      <c r="J79" s="63">
        <v>0.0</v>
      </c>
      <c r="K79" s="63">
        <v>0.0</v>
      </c>
      <c r="L79" s="63">
        <v>0.0</v>
      </c>
      <c r="M79" s="63">
        <v>0.0</v>
      </c>
      <c r="N79" s="1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 hidden="1" outlineLevel="1">
      <c r="A80" s="59" t="s">
        <v>105</v>
      </c>
      <c r="B80" s="59" t="s">
        <v>106</v>
      </c>
      <c r="C80" s="64">
        <f>C79*6</f>
        <v>130.62384</v>
      </c>
      <c r="D80" s="64">
        <f>D79*4</f>
        <v>85.3224</v>
      </c>
      <c r="E80" s="63">
        <v>0.0</v>
      </c>
      <c r="F80" s="63">
        <v>0.0</v>
      </c>
      <c r="G80" s="63">
        <v>0.0</v>
      </c>
      <c r="H80" s="15"/>
      <c r="I80" s="63">
        <v>0.0</v>
      </c>
      <c r="J80" s="63">
        <v>0.0</v>
      </c>
      <c r="K80" s="63">
        <v>0.0</v>
      </c>
      <c r="L80" s="63">
        <v>0.0</v>
      </c>
      <c r="M80" s="63">
        <v>0.0</v>
      </c>
      <c r="N80" s="1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>
      <c r="A81" s="26" t="s">
        <v>107</v>
      </c>
      <c r="B81" s="26" t="s">
        <v>108</v>
      </c>
      <c r="C81" s="27">
        <f t="shared" ref="C81:G81" si="62">C76+C80</f>
        <v>263.97144</v>
      </c>
      <c r="D81" s="40">
        <f t="shared" si="62"/>
        <v>215.94624</v>
      </c>
      <c r="E81" s="40">
        <f t="shared" si="62"/>
        <v>0</v>
      </c>
      <c r="F81" s="40">
        <f t="shared" si="62"/>
        <v>0</v>
      </c>
      <c r="G81" s="40">
        <f t="shared" si="62"/>
        <v>0</v>
      </c>
      <c r="H81" s="28">
        <f>C81+D81</f>
        <v>479.91768</v>
      </c>
      <c r="I81" s="40">
        <f t="shared" ref="I81:M81" si="63">I76+I80</f>
        <v>0</v>
      </c>
      <c r="J81" s="40">
        <f t="shared" si="63"/>
        <v>0</v>
      </c>
      <c r="K81" s="40">
        <f t="shared" si="63"/>
        <v>0</v>
      </c>
      <c r="L81" s="40">
        <f t="shared" si="63"/>
        <v>0</v>
      </c>
      <c r="M81" s="40">
        <f t="shared" si="63"/>
        <v>0</v>
      </c>
      <c r="N81" s="28" t="s">
        <v>18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>
      <c r="A83" s="1"/>
      <c r="B83" s="67"/>
      <c r="C83" s="6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>
      <c r="A84" s="69" t="s">
        <v>109</v>
      </c>
      <c r="B84" s="67"/>
      <c r="C84" s="6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>
      <c r="A85" s="67" t="s">
        <v>110</v>
      </c>
      <c r="B85" s="67"/>
      <c r="C85" s="6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>
      <c r="A86" s="67" t="s">
        <v>111</v>
      </c>
      <c r="B86" s="67"/>
      <c r="C86" s="6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>
      <c r="A87" s="67" t="s">
        <v>112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2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2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2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2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2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2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2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2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2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2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2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2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2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2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2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2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2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2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2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2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2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2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2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2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2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2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2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2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2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2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2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2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2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2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2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2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2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2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2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2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2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2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2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2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2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2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2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2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2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2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2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2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2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2"/>
    </row>
    <row r="100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2"/>
    </row>
    <row r="1009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2"/>
    </row>
    <row r="1010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2"/>
    </row>
    <row r="101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2"/>
    </row>
    <row r="101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2"/>
    </row>
    <row r="10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2"/>
    </row>
    <row r="101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2"/>
    </row>
    <row r="10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2"/>
    </row>
    <row r="101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2"/>
    </row>
    <row r="101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2"/>
    </row>
    <row r="1018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2"/>
    </row>
    <row r="1019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2"/>
    </row>
    <row r="1020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2"/>
    </row>
    <row r="10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2"/>
    </row>
    <row r="102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2"/>
    </row>
    <row r="102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2"/>
    </row>
    <row r="10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2"/>
    </row>
    <row r="10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2"/>
    </row>
    <row r="102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2"/>
    </row>
    <row r="1027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2"/>
    </row>
    <row r="1028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2"/>
    </row>
    <row r="1029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2"/>
    </row>
    <row r="1030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2"/>
    </row>
    <row r="103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2"/>
    </row>
    <row r="103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2"/>
    </row>
    <row r="103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2"/>
    </row>
    <row r="103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2"/>
    </row>
    <row r="103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2"/>
    </row>
    <row r="103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2"/>
    </row>
    <row r="1037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2"/>
    </row>
    <row r="1038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2"/>
    </row>
    <row r="1039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2"/>
    </row>
    <row r="1040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2"/>
    </row>
    <row r="104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2"/>
    </row>
    <row r="104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2"/>
    </row>
    <row r="104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2"/>
    </row>
    <row r="104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2"/>
    </row>
    <row r="104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2"/>
    </row>
    <row r="104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2"/>
    </row>
    <row r="1047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2"/>
    </row>
  </sheetData>
  <mergeCells count="1">
    <mergeCell ref="A2:N2"/>
  </mergeCells>
  <drawing r:id="rId1"/>
</worksheet>
</file>