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Regulatory\2026 Cost of Service EB-2025-0044\01 Application\01_Submission\"/>
    </mc:Choice>
  </mc:AlternateContent>
  <xr:revisionPtr revIDLastSave="0" documentId="8_{4EF0AF07-2E42-4A09-8770-51629BE6F4C0}" xr6:coauthVersionLast="47" xr6:coauthVersionMax="47" xr10:uidLastSave="{00000000-0000-0000-0000-000000000000}"/>
  <bookViews>
    <workbookView xWindow="-120" yWindow="-120" windowWidth="29040" windowHeight="15720" xr2:uid="{8E0BDA46-D2C4-4266-B610-8483408E8B3F}"/>
  </bookViews>
  <sheets>
    <sheet name="PILS 1592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" i="1" l="1"/>
  <c r="A92" i="1" s="1"/>
  <c r="A93" i="1" s="1"/>
  <c r="A94" i="1" s="1"/>
  <c r="A95" i="1" s="1"/>
  <c r="A96" i="1" s="1"/>
  <c r="A97" i="1" s="1"/>
  <c r="D86" i="1"/>
  <c r="F85" i="1"/>
  <c r="F84" i="1"/>
  <c r="F83" i="1"/>
  <c r="F82" i="1"/>
  <c r="F81" i="1"/>
  <c r="E81" i="1"/>
  <c r="E86" i="1" s="1"/>
  <c r="F80" i="1"/>
  <c r="F79" i="1"/>
  <c r="F86" i="1" s="1"/>
  <c r="H86" i="1" s="1"/>
  <c r="I86" i="1" s="1"/>
  <c r="B97" i="1" s="1"/>
  <c r="B79" i="1"/>
  <c r="B86" i="1" s="1"/>
  <c r="F78" i="1"/>
  <c r="D74" i="1"/>
  <c r="B74" i="1"/>
  <c r="F73" i="1"/>
  <c r="F72" i="1"/>
  <c r="F71" i="1"/>
  <c r="F70" i="1"/>
  <c r="F69" i="1"/>
  <c r="E69" i="1"/>
  <c r="E74" i="1" s="1"/>
  <c r="F68" i="1"/>
  <c r="F67" i="1"/>
  <c r="F66" i="1"/>
  <c r="F74" i="1" s="1"/>
  <c r="H74" i="1" s="1"/>
  <c r="I74" i="1" s="1"/>
  <c r="B96" i="1" s="1"/>
  <c r="F61" i="1"/>
  <c r="F60" i="1"/>
  <c r="F59" i="1"/>
  <c r="F58" i="1"/>
  <c r="E57" i="1"/>
  <c r="F57" i="1" s="1"/>
  <c r="D57" i="1"/>
  <c r="D62" i="1" s="1"/>
  <c r="B57" i="1"/>
  <c r="B62" i="1" s="1"/>
  <c r="F56" i="1"/>
  <c r="F55" i="1"/>
  <c r="F54" i="1"/>
  <c r="E50" i="1"/>
  <c r="D50" i="1"/>
  <c r="B50" i="1"/>
  <c r="F49" i="1"/>
  <c r="F48" i="1"/>
  <c r="F47" i="1"/>
  <c r="F46" i="1"/>
  <c r="F45" i="1"/>
  <c r="F44" i="1"/>
  <c r="F43" i="1"/>
  <c r="F42" i="1"/>
  <c r="F50" i="1" s="1"/>
  <c r="H50" i="1" s="1"/>
  <c r="I50" i="1" s="1"/>
  <c r="B94" i="1" s="1"/>
  <c r="D38" i="1"/>
  <c r="B38" i="1"/>
  <c r="F37" i="1"/>
  <c r="F36" i="1"/>
  <c r="F35" i="1"/>
  <c r="E34" i="1"/>
  <c r="E38" i="1" s="1"/>
  <c r="F33" i="1"/>
  <c r="F32" i="1"/>
  <c r="F31" i="1"/>
  <c r="D27" i="1"/>
  <c r="B27" i="1"/>
  <c r="F26" i="1"/>
  <c r="F25" i="1"/>
  <c r="F24" i="1"/>
  <c r="E23" i="1"/>
  <c r="F23" i="1" s="1"/>
  <c r="F27" i="1" s="1"/>
  <c r="H27" i="1" s="1"/>
  <c r="I27" i="1" s="1"/>
  <c r="B92" i="1" s="1"/>
  <c r="F22" i="1"/>
  <c r="F21" i="1"/>
  <c r="F20" i="1"/>
  <c r="B16" i="1"/>
  <c r="F15" i="1"/>
  <c r="F14" i="1"/>
  <c r="F13" i="1"/>
  <c r="E13" i="1"/>
  <c r="E12" i="1"/>
  <c r="F12" i="1" s="1"/>
  <c r="D12" i="1"/>
  <c r="D16" i="1" s="1"/>
  <c r="F11" i="1"/>
  <c r="F10" i="1"/>
  <c r="F16" i="1" s="1"/>
  <c r="H16" i="1" s="1"/>
  <c r="I16" i="1" s="1"/>
  <c r="B91" i="1" s="1"/>
  <c r="F9" i="1"/>
  <c r="E5" i="1"/>
  <c r="D5" i="1"/>
  <c r="B5" i="1"/>
  <c r="F4" i="1"/>
  <c r="F5" i="1" s="1"/>
  <c r="H5" i="1" s="1"/>
  <c r="I5" i="1" s="1"/>
  <c r="B90" i="1" s="1"/>
  <c r="F62" i="1" l="1"/>
  <c r="H62" i="1" s="1"/>
  <c r="I62" i="1" s="1"/>
  <c r="B95" i="1" s="1"/>
  <c r="E27" i="1"/>
  <c r="F34" i="1"/>
  <c r="F38" i="1" s="1"/>
  <c r="H38" i="1" s="1"/>
  <c r="I38" i="1" s="1"/>
  <c r="B93" i="1" s="1"/>
  <c r="B98" i="1" s="1"/>
  <c r="E16" i="1"/>
  <c r="E62" i="1"/>
</calcChain>
</file>

<file path=xl/sharedStrings.xml><?xml version="1.0" encoding="utf-8"?>
<sst xmlns="http://schemas.openxmlformats.org/spreadsheetml/2006/main" count="88" uniqueCount="17">
  <si>
    <t>Calculation by Year</t>
  </si>
  <si>
    <t>Class</t>
  </si>
  <si>
    <t>AIIP Additions</t>
  </si>
  <si>
    <t>CCA Rate</t>
  </si>
  <si>
    <t>Accelerated CCA</t>
  </si>
  <si>
    <t>CCA (No AIIP)</t>
  </si>
  <si>
    <t>CR = CCA Taken Exceeds No AIIP CCA</t>
  </si>
  <si>
    <t>Tax Rate</t>
  </si>
  <si>
    <t>Tax Impact</t>
  </si>
  <si>
    <t>Grossed Up Tax Impact = Account 1592 Addition for Year</t>
  </si>
  <si>
    <t>Total</t>
  </si>
  <si>
    <t>AIIP/Immediate Expense Additions</t>
  </si>
  <si>
    <t>AIIP and immediate expensing</t>
  </si>
  <si>
    <t>Note: Year 1 of AIIP phase out, no immediate expensing</t>
  </si>
  <si>
    <t>Note: Year 2 of AIIP phase out, no immediate expensing</t>
  </si>
  <si>
    <t>Year</t>
  </si>
  <si>
    <t>1592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</si>
</sst>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0.0%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65" fontId="0" fillId="0" borderId="7" xfId="1" applyNumberFormat="1" applyFont="1" applyBorder="1"/>
    <xf numFmtId="9" fontId="0" fillId="0" borderId="7" xfId="2" applyFont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165" fontId="0" fillId="0" borderId="10" xfId="1" applyNumberFormat="1" applyFont="1" applyBorder="1"/>
    <xf numFmtId="0" fontId="2" fillId="3" borderId="2" xfId="0" applyFont="1" applyFill="1" applyBorder="1" applyAlignment="1">
      <alignment horizontal="center"/>
    </xf>
    <xf numFmtId="165" fontId="2" fillId="3" borderId="3" xfId="1" applyNumberFormat="1" applyFont="1" applyFill="1" applyBorder="1"/>
    <xf numFmtId="9" fontId="2" fillId="3" borderId="3" xfId="2" applyFont="1" applyFill="1" applyBorder="1"/>
    <xf numFmtId="165" fontId="2" fillId="3" borderId="4" xfId="1" applyNumberFormat="1" applyFont="1" applyFill="1" applyBorder="1"/>
    <xf numFmtId="165" fontId="2" fillId="3" borderId="5" xfId="1" applyNumberFormat="1" applyFont="1" applyFill="1" applyBorder="1"/>
    <xf numFmtId="0" fontId="0" fillId="0" borderId="11" xfId="0" applyBorder="1" applyAlignment="1">
      <alignment horizontal="center"/>
    </xf>
    <xf numFmtId="165" fontId="0" fillId="0" borderId="12" xfId="1" quotePrefix="1" applyNumberFormat="1" applyFont="1" applyBorder="1"/>
    <xf numFmtId="9" fontId="0" fillId="0" borderId="12" xfId="2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0" fontId="0" fillId="0" borderId="14" xfId="0" applyBorder="1" applyAlignment="1">
      <alignment horizontal="center"/>
    </xf>
    <xf numFmtId="165" fontId="0" fillId="0" borderId="15" xfId="1" applyNumberFormat="1" applyFont="1" applyBorder="1"/>
    <xf numFmtId="9" fontId="0" fillId="0" borderId="15" xfId="2" applyFont="1" applyBorder="1"/>
    <xf numFmtId="165" fontId="0" fillId="0" borderId="16" xfId="1" applyNumberFormat="1" applyFont="1" applyBorder="1"/>
    <xf numFmtId="165" fontId="0" fillId="0" borderId="17" xfId="1" applyNumberFormat="1" applyFont="1" applyBorder="1"/>
    <xf numFmtId="9" fontId="0" fillId="0" borderId="9" xfId="2" applyFont="1" applyBorder="1"/>
    <xf numFmtId="164" fontId="0" fillId="0" borderId="9" xfId="1" applyNumberFormat="1" applyFont="1" applyBorder="1"/>
    <xf numFmtId="164" fontId="0" fillId="0" borderId="13" xfId="1" applyNumberFormat="1" applyFont="1" applyBorder="1"/>
    <xf numFmtId="9" fontId="0" fillId="0" borderId="8" xfId="2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9" fontId="0" fillId="0" borderId="16" xfId="2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166" fontId="2" fillId="3" borderId="4" xfId="2" applyNumberFormat="1" applyFont="1" applyFill="1" applyBorder="1"/>
    <xf numFmtId="164" fontId="2" fillId="0" borderId="0" xfId="0" applyNumberFormat="1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2BD46-02C3-4359-AE49-704FA11A8EA0}">
  <dimension ref="A1:K98"/>
  <sheetViews>
    <sheetView showGridLines="0" tabSelected="1" workbookViewId="0">
      <selection activeCell="L8" sqref="L8"/>
    </sheetView>
  </sheetViews>
  <sheetFormatPr defaultRowHeight="15" x14ac:dyDescent="0.25"/>
  <cols>
    <col min="1" max="1" width="6.7109375" customWidth="1"/>
    <col min="2" max="2" width="15.28515625" customWidth="1"/>
    <col min="3" max="3" width="9.5703125" customWidth="1"/>
    <col min="4" max="6" width="15.28515625" customWidth="1"/>
    <col min="7" max="7" width="9.5703125" customWidth="1"/>
    <col min="8" max="8" width="14" customWidth="1"/>
    <col min="9" max="9" width="17.5703125" customWidth="1"/>
  </cols>
  <sheetData>
    <row r="1" spans="1:9" s="1" customFormat="1" x14ac:dyDescent="0.25">
      <c r="A1" s="1" t="s">
        <v>0</v>
      </c>
    </row>
    <row r="2" spans="1:9" x14ac:dyDescent="0.25">
      <c r="A2" s="2">
        <v>2018</v>
      </c>
    </row>
    <row r="3" spans="1:9" ht="60" x14ac:dyDescent="0.25">
      <c r="A3" s="3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</row>
    <row r="4" spans="1:9" x14ac:dyDescent="0.25">
      <c r="A4" s="8">
        <v>47</v>
      </c>
      <c r="B4" s="9">
        <v>1084749</v>
      </c>
      <c r="C4" s="10">
        <v>0.08</v>
      </c>
      <c r="D4" s="9">
        <v>3535570</v>
      </c>
      <c r="E4" s="11">
        <v>3470188</v>
      </c>
      <c r="F4" s="12">
        <f t="shared" ref="F4" si="0">E4-D4</f>
        <v>-65382</v>
      </c>
      <c r="G4" s="11"/>
      <c r="H4" s="11"/>
      <c r="I4" s="13"/>
    </row>
    <row r="5" spans="1:9" x14ac:dyDescent="0.25">
      <c r="A5" s="14" t="s">
        <v>10</v>
      </c>
      <c r="B5" s="15">
        <f>SUM(B4:B4)</f>
        <v>1084749</v>
      </c>
      <c r="C5" s="16"/>
      <c r="D5" s="15">
        <f>SUM(D4:D4)</f>
        <v>3535570</v>
      </c>
      <c r="E5" s="15">
        <f>SUM(E4:E4)</f>
        <v>3470188</v>
      </c>
      <c r="F5" s="15">
        <f>SUM(F4:F4)</f>
        <v>-65382</v>
      </c>
      <c r="G5" s="38">
        <v>0.26500000000000001</v>
      </c>
      <c r="H5" s="17">
        <f>F5*G5</f>
        <v>-17326.23</v>
      </c>
      <c r="I5" s="18">
        <f>H5/(1-G5)</f>
        <v>-23573.102040816328</v>
      </c>
    </row>
    <row r="7" spans="1:9" x14ac:dyDescent="0.25">
      <c r="A7" s="2">
        <v>2019</v>
      </c>
    </row>
    <row r="8" spans="1:9" ht="60" x14ac:dyDescent="0.25">
      <c r="A8" s="3" t="s">
        <v>1</v>
      </c>
      <c r="B8" s="4" t="s">
        <v>2</v>
      </c>
      <c r="C8" s="5" t="s">
        <v>3</v>
      </c>
      <c r="D8" s="5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7" t="s">
        <v>9</v>
      </c>
    </row>
    <row r="9" spans="1:9" x14ac:dyDescent="0.25">
      <c r="A9" s="19">
        <v>1</v>
      </c>
      <c r="B9" s="20">
        <v>325366</v>
      </c>
      <c r="C9" s="21">
        <v>0.06</v>
      </c>
      <c r="D9" s="22">
        <v>165124</v>
      </c>
      <c r="E9" s="12">
        <v>145602</v>
      </c>
      <c r="F9" s="12">
        <f>E9-D9</f>
        <v>-19522</v>
      </c>
      <c r="G9" s="12"/>
      <c r="H9" s="12"/>
      <c r="I9" s="23"/>
    </row>
    <row r="10" spans="1:9" x14ac:dyDescent="0.25">
      <c r="A10" s="8">
        <v>8</v>
      </c>
      <c r="B10" s="9">
        <v>164490</v>
      </c>
      <c r="C10" s="10">
        <v>0.2</v>
      </c>
      <c r="D10" s="9">
        <v>253063</v>
      </c>
      <c r="E10" s="11">
        <v>220635</v>
      </c>
      <c r="F10" s="12">
        <f t="shared" ref="F10:F15" si="1">E10-D10</f>
        <v>-32428</v>
      </c>
      <c r="G10" s="11"/>
      <c r="H10" s="11"/>
      <c r="I10" s="13"/>
    </row>
    <row r="11" spans="1:9" x14ac:dyDescent="0.25">
      <c r="A11" s="8">
        <v>10</v>
      </c>
      <c r="B11" s="9">
        <v>560115</v>
      </c>
      <c r="C11" s="10">
        <v>0.3</v>
      </c>
      <c r="D11" s="9">
        <v>672178</v>
      </c>
      <c r="E11" s="11">
        <v>517389</v>
      </c>
      <c r="F11" s="12">
        <f t="shared" si="1"/>
        <v>-154789</v>
      </c>
      <c r="G11" s="11"/>
      <c r="H11" s="11"/>
      <c r="I11" s="13"/>
    </row>
    <row r="12" spans="1:9" x14ac:dyDescent="0.25">
      <c r="A12" s="8">
        <v>12</v>
      </c>
      <c r="B12" s="9">
        <v>916828</v>
      </c>
      <c r="C12" s="10">
        <v>1</v>
      </c>
      <c r="D12" s="9">
        <f>1277639+19359</f>
        <v>1296998</v>
      </c>
      <c r="E12" s="11">
        <f>819225+11763+1</f>
        <v>830989</v>
      </c>
      <c r="F12" s="12">
        <f t="shared" si="1"/>
        <v>-466009</v>
      </c>
      <c r="G12" s="11"/>
      <c r="H12" s="11"/>
      <c r="I12" s="13"/>
    </row>
    <row r="13" spans="1:9" x14ac:dyDescent="0.25">
      <c r="A13" s="8">
        <v>46</v>
      </c>
      <c r="B13" s="9">
        <v>329003</v>
      </c>
      <c r="C13" s="10">
        <v>0.3</v>
      </c>
      <c r="D13" s="9">
        <v>316831</v>
      </c>
      <c r="E13" s="11">
        <f>218130-2</f>
        <v>218128</v>
      </c>
      <c r="F13" s="12">
        <f t="shared" si="1"/>
        <v>-98703</v>
      </c>
      <c r="G13" s="11"/>
      <c r="H13" s="11"/>
      <c r="I13" s="13"/>
    </row>
    <row r="14" spans="1:9" x14ac:dyDescent="0.25">
      <c r="A14" s="8">
        <v>47</v>
      </c>
      <c r="B14" s="9">
        <v>8128329</v>
      </c>
      <c r="C14" s="10">
        <v>0.08</v>
      </c>
      <c r="D14" s="9">
        <v>5611676</v>
      </c>
      <c r="E14" s="11">
        <v>5012617</v>
      </c>
      <c r="F14" s="12">
        <f t="shared" si="1"/>
        <v>-599059</v>
      </c>
      <c r="G14" s="11"/>
      <c r="H14" s="11"/>
      <c r="I14" s="13"/>
    </row>
    <row r="15" spans="1:9" x14ac:dyDescent="0.25">
      <c r="A15" s="24">
        <v>50</v>
      </c>
      <c r="B15" s="25">
        <v>261450</v>
      </c>
      <c r="C15" s="26">
        <v>0.55000000000000004</v>
      </c>
      <c r="D15" s="25">
        <v>650622</v>
      </c>
      <c r="E15" s="27">
        <v>506825</v>
      </c>
      <c r="F15" s="12">
        <f t="shared" si="1"/>
        <v>-143797</v>
      </c>
      <c r="G15" s="27"/>
      <c r="H15" s="27"/>
      <c r="I15" s="28"/>
    </row>
    <row r="16" spans="1:9" x14ac:dyDescent="0.25">
      <c r="A16" s="14" t="s">
        <v>10</v>
      </c>
      <c r="B16" s="15">
        <f>SUM(B9:B15)</f>
        <v>10685581</v>
      </c>
      <c r="C16" s="16"/>
      <c r="D16" s="15">
        <f t="shared" ref="D16:F16" si="2">SUM(D9:D15)</f>
        <v>8966492</v>
      </c>
      <c r="E16" s="15">
        <f t="shared" si="2"/>
        <v>7452185</v>
      </c>
      <c r="F16" s="15">
        <f t="shared" si="2"/>
        <v>-1514307</v>
      </c>
      <c r="G16" s="38">
        <v>0.26500000000000001</v>
      </c>
      <c r="H16" s="17">
        <f>F16*G16</f>
        <v>-401291.35500000004</v>
      </c>
      <c r="I16" s="18">
        <f>H16/(1-G16)</f>
        <v>-545974.6326530613</v>
      </c>
    </row>
    <row r="18" spans="1:9" x14ac:dyDescent="0.25">
      <c r="A18" s="2">
        <v>2020</v>
      </c>
    </row>
    <row r="19" spans="1:9" ht="60" x14ac:dyDescent="0.25">
      <c r="A19" s="3" t="s">
        <v>1</v>
      </c>
      <c r="B19" s="4" t="s">
        <v>2</v>
      </c>
      <c r="C19" s="5" t="s">
        <v>3</v>
      </c>
      <c r="D19" s="5" t="s">
        <v>4</v>
      </c>
      <c r="E19" s="6" t="s">
        <v>5</v>
      </c>
      <c r="F19" s="6" t="s">
        <v>6</v>
      </c>
      <c r="G19" s="6" t="s">
        <v>7</v>
      </c>
      <c r="H19" s="6" t="s">
        <v>8</v>
      </c>
      <c r="I19" s="7" t="s">
        <v>9</v>
      </c>
    </row>
    <row r="20" spans="1:9" x14ac:dyDescent="0.25">
      <c r="A20" s="19">
        <v>1</v>
      </c>
      <c r="B20" s="20">
        <v>712198</v>
      </c>
      <c r="C20" s="21">
        <v>0.06</v>
      </c>
      <c r="D20" s="22">
        <v>209553</v>
      </c>
      <c r="E20" s="12">
        <v>167993</v>
      </c>
      <c r="F20" s="12">
        <f>E20-D20</f>
        <v>-41560</v>
      </c>
      <c r="G20" s="29"/>
      <c r="H20" s="30"/>
      <c r="I20" s="31"/>
    </row>
    <row r="21" spans="1:9" x14ac:dyDescent="0.25">
      <c r="A21" s="8">
        <v>8</v>
      </c>
      <c r="B21" s="9">
        <v>180473</v>
      </c>
      <c r="C21" s="10">
        <v>0.2</v>
      </c>
      <c r="D21" s="9">
        <v>240378</v>
      </c>
      <c r="E21" s="11">
        <v>210769</v>
      </c>
      <c r="F21" s="12">
        <f t="shared" ref="F21:F26" si="3">E21-D21</f>
        <v>-29609</v>
      </c>
      <c r="G21" s="32"/>
      <c r="H21" s="33"/>
      <c r="I21" s="34"/>
    </row>
    <row r="22" spans="1:9" x14ac:dyDescent="0.25">
      <c r="A22" s="8">
        <v>10</v>
      </c>
      <c r="B22" s="9">
        <v>52427</v>
      </c>
      <c r="C22" s="10">
        <v>0.3</v>
      </c>
      <c r="D22" s="9">
        <v>411300</v>
      </c>
      <c r="E22" s="11">
        <v>445623</v>
      </c>
      <c r="F22" s="12">
        <f t="shared" si="3"/>
        <v>34323</v>
      </c>
      <c r="G22" s="32"/>
      <c r="H22" s="33"/>
      <c r="I22" s="34"/>
    </row>
    <row r="23" spans="1:9" x14ac:dyDescent="0.25">
      <c r="A23" s="8">
        <v>12</v>
      </c>
      <c r="B23" s="9">
        <v>681336</v>
      </c>
      <c r="C23" s="10">
        <v>1</v>
      </c>
      <c r="D23" s="9">
        <v>681336</v>
      </c>
      <c r="E23" s="11">
        <f>799082+1</f>
        <v>799083</v>
      </c>
      <c r="F23" s="12">
        <f t="shared" si="3"/>
        <v>117747</v>
      </c>
      <c r="G23" s="32"/>
      <c r="H23" s="33"/>
      <c r="I23" s="34"/>
    </row>
    <row r="24" spans="1:9" x14ac:dyDescent="0.25">
      <c r="A24" s="8">
        <v>46</v>
      </c>
      <c r="B24" s="9">
        <v>398159</v>
      </c>
      <c r="C24" s="10">
        <v>0.3</v>
      </c>
      <c r="D24" s="9">
        <v>351603</v>
      </c>
      <c r="E24" s="11">
        <v>261765</v>
      </c>
      <c r="F24" s="12">
        <f t="shared" si="3"/>
        <v>-89838</v>
      </c>
      <c r="G24" s="32"/>
      <c r="H24" s="33"/>
      <c r="I24" s="34"/>
    </row>
    <row r="25" spans="1:9" x14ac:dyDescent="0.25">
      <c r="A25" s="8">
        <v>47</v>
      </c>
      <c r="B25" s="9">
        <v>10501608</v>
      </c>
      <c r="C25" s="10">
        <v>0.08</v>
      </c>
      <c r="D25" s="9">
        <v>6097517</v>
      </c>
      <c r="E25" s="11">
        <v>5356289</v>
      </c>
      <c r="F25" s="12">
        <f t="shared" si="3"/>
        <v>-741228</v>
      </c>
      <c r="G25" s="32"/>
      <c r="H25" s="33"/>
      <c r="I25" s="34"/>
    </row>
    <row r="26" spans="1:9" x14ac:dyDescent="0.25">
      <c r="A26" s="24">
        <v>50</v>
      </c>
      <c r="B26" s="25">
        <v>322048</v>
      </c>
      <c r="C26" s="26">
        <v>0.55000000000000004</v>
      </c>
      <c r="D26" s="25">
        <v>486571</v>
      </c>
      <c r="E26" s="27">
        <v>388533</v>
      </c>
      <c r="F26" s="12">
        <f t="shared" si="3"/>
        <v>-98038</v>
      </c>
      <c r="G26" s="35"/>
      <c r="H26" s="36"/>
      <c r="I26" s="37"/>
    </row>
    <row r="27" spans="1:9" x14ac:dyDescent="0.25">
      <c r="A27" s="14" t="s">
        <v>10</v>
      </c>
      <c r="B27" s="15">
        <f>SUM(B20:B26)</f>
        <v>12848249</v>
      </c>
      <c r="C27" s="16"/>
      <c r="D27" s="15">
        <f t="shared" ref="D27:F27" si="4">SUM(D20:D26)</f>
        <v>8478258</v>
      </c>
      <c r="E27" s="15">
        <f t="shared" si="4"/>
        <v>7630055</v>
      </c>
      <c r="F27" s="15">
        <f t="shared" si="4"/>
        <v>-848203</v>
      </c>
      <c r="G27" s="38">
        <v>0.26500000000000001</v>
      </c>
      <c r="H27" s="17">
        <f>F27*G27</f>
        <v>-224773.79500000001</v>
      </c>
      <c r="I27" s="18">
        <f>H27/(1-G27)</f>
        <v>-305814.68707482994</v>
      </c>
    </row>
    <row r="29" spans="1:9" x14ac:dyDescent="0.25">
      <c r="A29" s="2">
        <v>2021</v>
      </c>
    </row>
    <row r="30" spans="1:9" ht="60" x14ac:dyDescent="0.25">
      <c r="A30" s="3" t="s">
        <v>1</v>
      </c>
      <c r="B30" s="4" t="s">
        <v>2</v>
      </c>
      <c r="C30" s="5" t="s">
        <v>3</v>
      </c>
      <c r="D30" s="5" t="s">
        <v>4</v>
      </c>
      <c r="E30" s="6" t="s">
        <v>5</v>
      </c>
      <c r="F30" s="6" t="s">
        <v>6</v>
      </c>
      <c r="G30" s="6" t="s">
        <v>7</v>
      </c>
      <c r="H30" s="6" t="s">
        <v>8</v>
      </c>
      <c r="I30" s="7" t="s">
        <v>9</v>
      </c>
    </row>
    <row r="31" spans="1:9" x14ac:dyDescent="0.25">
      <c r="A31" s="19">
        <v>1</v>
      </c>
      <c r="B31" s="20">
        <v>211405</v>
      </c>
      <c r="C31" s="21">
        <v>0.06</v>
      </c>
      <c r="D31" s="22">
        <v>189507</v>
      </c>
      <c r="E31" s="12">
        <v>183910</v>
      </c>
      <c r="F31" s="12">
        <f>E31-D31</f>
        <v>-5597</v>
      </c>
      <c r="G31" s="29"/>
      <c r="H31" s="30"/>
      <c r="I31" s="31"/>
    </row>
    <row r="32" spans="1:9" x14ac:dyDescent="0.25">
      <c r="A32" s="8">
        <v>8</v>
      </c>
      <c r="B32" s="9">
        <v>117267</v>
      </c>
      <c r="C32" s="10">
        <v>0.2</v>
      </c>
      <c r="D32" s="9">
        <v>209435</v>
      </c>
      <c r="E32" s="11">
        <v>198389</v>
      </c>
      <c r="F32" s="12">
        <f t="shared" ref="F32:F37" si="5">E32-D32</f>
        <v>-11046</v>
      </c>
      <c r="G32" s="32"/>
      <c r="H32" s="33"/>
      <c r="I32" s="34"/>
    </row>
    <row r="33" spans="1:11" x14ac:dyDescent="0.25">
      <c r="A33" s="8">
        <v>10</v>
      </c>
      <c r="B33" s="9">
        <v>859453</v>
      </c>
      <c r="C33" s="10">
        <v>0.3</v>
      </c>
      <c r="D33" s="9">
        <v>644159</v>
      </c>
      <c r="E33" s="11">
        <v>438761</v>
      </c>
      <c r="F33" s="12">
        <f t="shared" si="5"/>
        <v>-205398</v>
      </c>
      <c r="G33" s="32"/>
      <c r="H33" s="33"/>
      <c r="I33" s="34"/>
    </row>
    <row r="34" spans="1:11" x14ac:dyDescent="0.25">
      <c r="A34" s="8">
        <v>12</v>
      </c>
      <c r="B34" s="9">
        <v>566345</v>
      </c>
      <c r="C34" s="10">
        <v>1</v>
      </c>
      <c r="D34" s="9">
        <v>566345</v>
      </c>
      <c r="E34" s="11">
        <f>623841+1</f>
        <v>623842</v>
      </c>
      <c r="F34" s="12">
        <f t="shared" si="5"/>
        <v>57497</v>
      </c>
      <c r="G34" s="32"/>
      <c r="H34" s="33"/>
      <c r="I34" s="34"/>
    </row>
    <row r="35" spans="1:11" x14ac:dyDescent="0.25">
      <c r="A35" s="8">
        <v>46</v>
      </c>
      <c r="B35" s="9">
        <v>104557</v>
      </c>
      <c r="C35" s="10">
        <v>0.3</v>
      </c>
      <c r="D35" s="9">
        <v>233449</v>
      </c>
      <c r="E35" s="11">
        <v>258643</v>
      </c>
      <c r="F35" s="12">
        <f t="shared" si="5"/>
        <v>25194</v>
      </c>
      <c r="G35" s="32"/>
      <c r="H35" s="33"/>
      <c r="I35" s="34"/>
    </row>
    <row r="36" spans="1:11" x14ac:dyDescent="0.25">
      <c r="A36" s="8">
        <v>47</v>
      </c>
      <c r="B36" s="9">
        <v>11751440</v>
      </c>
      <c r="C36" s="10">
        <v>0.08</v>
      </c>
      <c r="D36" s="9">
        <v>6599791</v>
      </c>
      <c r="E36" s="11">
        <v>5817630</v>
      </c>
      <c r="F36" s="12">
        <f t="shared" si="5"/>
        <v>-782161</v>
      </c>
      <c r="G36" s="32"/>
      <c r="H36" s="33"/>
      <c r="I36" s="34"/>
    </row>
    <row r="37" spans="1:11" x14ac:dyDescent="0.25">
      <c r="A37" s="24">
        <v>50</v>
      </c>
      <c r="B37" s="25">
        <v>283955</v>
      </c>
      <c r="C37" s="26">
        <v>0.55000000000000004</v>
      </c>
      <c r="D37" s="25">
        <v>364657</v>
      </c>
      <c r="E37" s="27">
        <v>341491</v>
      </c>
      <c r="F37" s="12">
        <f t="shared" si="5"/>
        <v>-23166</v>
      </c>
      <c r="G37" s="35"/>
      <c r="H37" s="36"/>
      <c r="I37" s="37"/>
    </row>
    <row r="38" spans="1:11" x14ac:dyDescent="0.25">
      <c r="A38" s="14" t="s">
        <v>10</v>
      </c>
      <c r="B38" s="15">
        <f>SUM(B31:B37)</f>
        <v>13894422</v>
      </c>
      <c r="C38" s="16"/>
      <c r="D38" s="15">
        <f t="shared" ref="D38:F38" si="6">SUM(D31:D37)</f>
        <v>8807343</v>
      </c>
      <c r="E38" s="15">
        <f t="shared" si="6"/>
        <v>7862666</v>
      </c>
      <c r="F38" s="15">
        <f t="shared" si="6"/>
        <v>-944677</v>
      </c>
      <c r="G38" s="38">
        <v>0.26500000000000001</v>
      </c>
      <c r="H38" s="17">
        <f>F38*G38</f>
        <v>-250339.405</v>
      </c>
      <c r="I38" s="18">
        <f>H38/(1-G38)</f>
        <v>-340597.82993197278</v>
      </c>
    </row>
    <row r="40" spans="1:11" x14ac:dyDescent="0.25">
      <c r="A40" s="2">
        <v>2022</v>
      </c>
    </row>
    <row r="41" spans="1:11" ht="60" x14ac:dyDescent="0.25">
      <c r="A41" s="3" t="s">
        <v>1</v>
      </c>
      <c r="B41" s="4" t="s">
        <v>11</v>
      </c>
      <c r="C41" s="5" t="s">
        <v>3</v>
      </c>
      <c r="D41" s="5" t="s">
        <v>4</v>
      </c>
      <c r="E41" s="6" t="s">
        <v>5</v>
      </c>
      <c r="F41" s="6" t="s">
        <v>6</v>
      </c>
      <c r="G41" s="6" t="s">
        <v>7</v>
      </c>
      <c r="H41" s="6" t="s">
        <v>8</v>
      </c>
      <c r="I41" s="7" t="s">
        <v>9</v>
      </c>
      <c r="K41" s="39" t="s">
        <v>12</v>
      </c>
    </row>
    <row r="42" spans="1:11" x14ac:dyDescent="0.25">
      <c r="A42" s="19">
        <v>1</v>
      </c>
      <c r="B42" s="20">
        <v>411875</v>
      </c>
      <c r="C42" s="21">
        <v>0.06</v>
      </c>
      <c r="D42" s="22">
        <v>210574</v>
      </c>
      <c r="E42" s="12">
        <v>189862</v>
      </c>
      <c r="F42" s="12">
        <f>E42-D42</f>
        <v>-20712</v>
      </c>
      <c r="G42" s="29"/>
      <c r="H42" s="30"/>
      <c r="I42" s="31"/>
    </row>
    <row r="43" spans="1:11" x14ac:dyDescent="0.25">
      <c r="A43" s="8">
        <v>8</v>
      </c>
      <c r="B43" s="9">
        <v>142973</v>
      </c>
      <c r="C43" s="10">
        <v>0.2</v>
      </c>
      <c r="D43" s="9">
        <v>298795</v>
      </c>
      <c r="E43" s="11">
        <v>184736</v>
      </c>
      <c r="F43" s="12">
        <f t="shared" ref="F43:F49" si="7">E43-D43</f>
        <v>-114059</v>
      </c>
      <c r="G43" s="32"/>
      <c r="H43" s="33"/>
      <c r="I43" s="34"/>
    </row>
    <row r="44" spans="1:11" x14ac:dyDescent="0.25">
      <c r="A44" s="8">
        <v>10</v>
      </c>
      <c r="B44" s="9">
        <v>855796</v>
      </c>
      <c r="C44" s="10">
        <v>0.3</v>
      </c>
      <c r="D44" s="9">
        <v>1180821</v>
      </c>
      <c r="E44" s="11">
        <v>553712</v>
      </c>
      <c r="F44" s="12">
        <f t="shared" si="7"/>
        <v>-627109</v>
      </c>
      <c r="G44" s="32"/>
      <c r="H44" s="33"/>
      <c r="I44" s="34"/>
    </row>
    <row r="45" spans="1:11" x14ac:dyDescent="0.25">
      <c r="A45" s="8">
        <v>12</v>
      </c>
      <c r="B45" s="9">
        <v>639246</v>
      </c>
      <c r="C45" s="10">
        <v>1</v>
      </c>
      <c r="D45" s="9">
        <v>639246</v>
      </c>
      <c r="E45" s="11">
        <v>602796</v>
      </c>
      <c r="F45" s="12">
        <f t="shared" si="7"/>
        <v>-36450</v>
      </c>
      <c r="G45" s="32"/>
      <c r="H45" s="33"/>
      <c r="I45" s="34"/>
    </row>
    <row r="46" spans="1:11" x14ac:dyDescent="0.25">
      <c r="A46" s="8">
        <v>43.2</v>
      </c>
      <c r="B46" s="9">
        <v>3358</v>
      </c>
      <c r="C46" s="10">
        <v>0.5</v>
      </c>
      <c r="D46" s="9">
        <v>4989</v>
      </c>
      <c r="E46" s="11">
        <v>2470</v>
      </c>
      <c r="F46" s="12">
        <f t="shared" si="7"/>
        <v>-2519</v>
      </c>
      <c r="G46" s="32"/>
      <c r="H46" s="33"/>
      <c r="I46" s="34"/>
    </row>
    <row r="47" spans="1:11" x14ac:dyDescent="0.25">
      <c r="A47" s="8">
        <v>46</v>
      </c>
      <c r="B47" s="9">
        <v>104557</v>
      </c>
      <c r="C47" s="10">
        <v>0.3</v>
      </c>
      <c r="D47" s="9">
        <v>333583</v>
      </c>
      <c r="E47" s="11">
        <v>224612</v>
      </c>
      <c r="F47" s="12">
        <f t="shared" si="7"/>
        <v>-108971</v>
      </c>
      <c r="G47" s="32"/>
      <c r="H47" s="33"/>
      <c r="I47" s="34"/>
    </row>
    <row r="48" spans="1:11" x14ac:dyDescent="0.25">
      <c r="A48" s="8">
        <v>47</v>
      </c>
      <c r="B48" s="9">
        <v>11307047</v>
      </c>
      <c r="C48" s="10">
        <v>0.08</v>
      </c>
      <c r="D48" s="9">
        <v>6958640</v>
      </c>
      <c r="E48" s="11">
        <v>6274470</v>
      </c>
      <c r="F48" s="12">
        <f t="shared" si="7"/>
        <v>-684170</v>
      </c>
      <c r="G48" s="32"/>
      <c r="H48" s="33"/>
      <c r="I48" s="34"/>
    </row>
    <row r="49" spans="1:11" x14ac:dyDescent="0.25">
      <c r="A49" s="24">
        <v>50</v>
      </c>
      <c r="B49" s="25">
        <v>241875</v>
      </c>
      <c r="C49" s="26">
        <v>0.55000000000000004</v>
      </c>
      <c r="D49" s="25">
        <v>327883</v>
      </c>
      <c r="E49" s="27">
        <v>298274</v>
      </c>
      <c r="F49" s="12">
        <f t="shared" si="7"/>
        <v>-29609</v>
      </c>
      <c r="G49" s="35"/>
      <c r="H49" s="36"/>
      <c r="I49" s="37"/>
    </row>
    <row r="50" spans="1:11" x14ac:dyDescent="0.25">
      <c r="A50" s="14" t="s">
        <v>10</v>
      </c>
      <c r="B50" s="15">
        <f>SUM(B42:B49)</f>
        <v>13706727</v>
      </c>
      <c r="C50" s="16"/>
      <c r="D50" s="15">
        <f t="shared" ref="D50:F50" si="8">SUM(D42:D49)</f>
        <v>9954531</v>
      </c>
      <c r="E50" s="15">
        <f t="shared" si="8"/>
        <v>8330932</v>
      </c>
      <c r="F50" s="15">
        <f t="shared" si="8"/>
        <v>-1623599</v>
      </c>
      <c r="G50" s="38">
        <v>0.26500000000000001</v>
      </c>
      <c r="H50" s="17">
        <f>F50*G50</f>
        <v>-430253.73500000004</v>
      </c>
      <c r="I50" s="18">
        <f>H50/(1-G50)</f>
        <v>-585379.23129251704</v>
      </c>
    </row>
    <row r="52" spans="1:11" x14ac:dyDescent="0.25">
      <c r="A52" s="2">
        <v>2023</v>
      </c>
    </row>
    <row r="53" spans="1:11" ht="60" x14ac:dyDescent="0.25">
      <c r="A53" s="3" t="s">
        <v>1</v>
      </c>
      <c r="B53" s="4" t="s">
        <v>11</v>
      </c>
      <c r="C53" s="5" t="s">
        <v>3</v>
      </c>
      <c r="D53" s="5" t="s">
        <v>4</v>
      </c>
      <c r="E53" s="6" t="s">
        <v>5</v>
      </c>
      <c r="F53" s="6" t="s">
        <v>6</v>
      </c>
      <c r="G53" s="6" t="s">
        <v>7</v>
      </c>
      <c r="H53" s="6" t="s">
        <v>8</v>
      </c>
      <c r="I53" s="7" t="s">
        <v>9</v>
      </c>
      <c r="K53" s="39" t="s">
        <v>12</v>
      </c>
    </row>
    <row r="54" spans="1:11" x14ac:dyDescent="0.25">
      <c r="A54" s="19">
        <v>1</v>
      </c>
      <c r="B54" s="20">
        <v>145993</v>
      </c>
      <c r="C54" s="21">
        <v>0.06</v>
      </c>
      <c r="D54" s="22">
        <v>198723</v>
      </c>
      <c r="E54" s="12">
        <v>195207</v>
      </c>
      <c r="F54" s="12">
        <f>E54-D54</f>
        <v>-3516</v>
      </c>
      <c r="G54" s="29"/>
      <c r="H54" s="30"/>
      <c r="I54" s="31"/>
    </row>
    <row r="55" spans="1:11" x14ac:dyDescent="0.25">
      <c r="A55" s="8">
        <v>8</v>
      </c>
      <c r="B55" s="9">
        <v>182751</v>
      </c>
      <c r="C55" s="10">
        <v>0.2</v>
      </c>
      <c r="D55" s="9">
        <v>179483</v>
      </c>
      <c r="E55" s="11">
        <v>180361</v>
      </c>
      <c r="F55" s="12">
        <f t="shared" ref="F55:F61" si="9">E55-D55</f>
        <v>878</v>
      </c>
      <c r="G55" s="32"/>
      <c r="H55" s="33"/>
      <c r="I55" s="34"/>
    </row>
    <row r="56" spans="1:11" x14ac:dyDescent="0.25">
      <c r="A56" s="8">
        <v>10</v>
      </c>
      <c r="B56" s="9">
        <v>1332119</v>
      </c>
      <c r="C56" s="10">
        <v>0.3</v>
      </c>
      <c r="D56" s="9">
        <v>1557837</v>
      </c>
      <c r="E56" s="11">
        <v>712327</v>
      </c>
      <c r="F56" s="12">
        <f t="shared" si="9"/>
        <v>-845510</v>
      </c>
      <c r="G56" s="32"/>
      <c r="H56" s="33"/>
      <c r="I56" s="34"/>
    </row>
    <row r="57" spans="1:11" x14ac:dyDescent="0.25">
      <c r="A57" s="8">
        <v>12</v>
      </c>
      <c r="B57" s="9">
        <f>167881+21322</f>
        <v>189203</v>
      </c>
      <c r="C57" s="10">
        <v>1</v>
      </c>
      <c r="D57" s="9">
        <f>167881+21322</f>
        <v>189203</v>
      </c>
      <c r="E57" s="11">
        <f>414225+1</f>
        <v>414226</v>
      </c>
      <c r="F57" s="12">
        <f t="shared" si="9"/>
        <v>225023</v>
      </c>
      <c r="G57" s="32"/>
      <c r="H57" s="33"/>
      <c r="I57" s="34"/>
    </row>
    <row r="58" spans="1:11" x14ac:dyDescent="0.25">
      <c r="A58" s="8">
        <v>43.2</v>
      </c>
      <c r="B58" s="9">
        <v>66479</v>
      </c>
      <c r="C58" s="10">
        <v>0.5</v>
      </c>
      <c r="D58" s="9">
        <v>67294</v>
      </c>
      <c r="E58" s="11">
        <v>18694</v>
      </c>
      <c r="F58" s="12">
        <f t="shared" si="9"/>
        <v>-48600</v>
      </c>
      <c r="G58" s="32"/>
      <c r="H58" s="33"/>
      <c r="I58" s="34"/>
    </row>
    <row r="59" spans="1:11" x14ac:dyDescent="0.25">
      <c r="A59" s="8">
        <v>46</v>
      </c>
      <c r="B59" s="9">
        <v>730116</v>
      </c>
      <c r="C59" s="10">
        <v>0.3</v>
      </c>
      <c r="D59" s="9">
        <v>431964</v>
      </c>
      <c r="E59" s="11">
        <v>294623</v>
      </c>
      <c r="F59" s="12">
        <f t="shared" si="9"/>
        <v>-137341</v>
      </c>
      <c r="G59" s="32"/>
      <c r="H59" s="33"/>
      <c r="I59" s="34"/>
    </row>
    <row r="60" spans="1:11" x14ac:dyDescent="0.25">
      <c r="A60" s="8">
        <v>47</v>
      </c>
      <c r="B60" s="9">
        <v>11570030</v>
      </c>
      <c r="C60" s="10">
        <v>0.08</v>
      </c>
      <c r="D60" s="9">
        <v>7338082</v>
      </c>
      <c r="E60" s="11">
        <v>6687584</v>
      </c>
      <c r="F60" s="12">
        <f t="shared" si="9"/>
        <v>-650498</v>
      </c>
      <c r="G60" s="32"/>
      <c r="H60" s="33"/>
      <c r="I60" s="34"/>
    </row>
    <row r="61" spans="1:11" x14ac:dyDescent="0.25">
      <c r="A61" s="24">
        <v>50</v>
      </c>
      <c r="B61" s="25">
        <v>220913</v>
      </c>
      <c r="C61" s="26">
        <v>0.55000000000000004</v>
      </c>
      <c r="D61" s="25">
        <v>220957</v>
      </c>
      <c r="E61" s="27">
        <v>261490</v>
      </c>
      <c r="F61" s="12">
        <f t="shared" si="9"/>
        <v>40533</v>
      </c>
      <c r="G61" s="35"/>
      <c r="H61" s="36"/>
      <c r="I61" s="37"/>
    </row>
    <row r="62" spans="1:11" x14ac:dyDescent="0.25">
      <c r="A62" s="14" t="s">
        <v>10</v>
      </c>
      <c r="B62" s="15">
        <f>SUM(B54:B61)</f>
        <v>14437604</v>
      </c>
      <c r="C62" s="16"/>
      <c r="D62" s="15">
        <f t="shared" ref="D62:F62" si="10">SUM(D54:D61)</f>
        <v>10183543</v>
      </c>
      <c r="E62" s="15">
        <f t="shared" si="10"/>
        <v>8764512</v>
      </c>
      <c r="F62" s="15">
        <f t="shared" si="10"/>
        <v>-1419031</v>
      </c>
      <c r="G62" s="38">
        <v>0.26500000000000001</v>
      </c>
      <c r="H62" s="17">
        <f>F62*G62</f>
        <v>-376043.21500000003</v>
      </c>
      <c r="I62" s="18">
        <f>H62/(1-G62)</f>
        <v>-511623.42176870751</v>
      </c>
    </row>
    <row r="64" spans="1:11" x14ac:dyDescent="0.25">
      <c r="A64" s="2">
        <v>2024</v>
      </c>
    </row>
    <row r="65" spans="1:11" ht="60" x14ac:dyDescent="0.25">
      <c r="A65" s="3" t="s">
        <v>1</v>
      </c>
      <c r="B65" s="4" t="s">
        <v>2</v>
      </c>
      <c r="C65" s="5" t="s">
        <v>3</v>
      </c>
      <c r="D65" s="5" t="s">
        <v>4</v>
      </c>
      <c r="E65" s="6" t="s">
        <v>5</v>
      </c>
      <c r="F65" s="6" t="s">
        <v>6</v>
      </c>
      <c r="G65" s="6" t="s">
        <v>7</v>
      </c>
      <c r="H65" s="6" t="s">
        <v>8</v>
      </c>
      <c r="I65" s="7" t="s">
        <v>9</v>
      </c>
      <c r="K65" s="39" t="s">
        <v>13</v>
      </c>
    </row>
    <row r="66" spans="1:11" x14ac:dyDescent="0.25">
      <c r="A66" s="19">
        <v>1</v>
      </c>
      <c r="B66" s="20">
        <v>421042</v>
      </c>
      <c r="C66" s="21">
        <v>0.06</v>
      </c>
      <c r="D66" s="22">
        <v>207682</v>
      </c>
      <c r="E66" s="12">
        <v>200505</v>
      </c>
      <c r="F66" s="12">
        <f>E66-D66</f>
        <v>-7177</v>
      </c>
      <c r="G66" s="29"/>
      <c r="H66" s="30"/>
      <c r="I66" s="31"/>
    </row>
    <row r="67" spans="1:11" x14ac:dyDescent="0.25">
      <c r="A67" s="8">
        <v>8</v>
      </c>
      <c r="B67" s="9">
        <v>202127</v>
      </c>
      <c r="C67" s="10">
        <v>0.2</v>
      </c>
      <c r="D67" s="9">
        <v>165736</v>
      </c>
      <c r="E67" s="11">
        <v>182776</v>
      </c>
      <c r="F67" s="12">
        <f t="shared" ref="F67:F73" si="11">E67-D67</f>
        <v>17040</v>
      </c>
      <c r="G67" s="32"/>
      <c r="H67" s="33"/>
      <c r="I67" s="34"/>
    </row>
    <row r="68" spans="1:11" x14ac:dyDescent="0.25">
      <c r="A68" s="8">
        <v>10</v>
      </c>
      <c r="B68" s="9">
        <v>1092849</v>
      </c>
      <c r="C68" s="10">
        <v>0.3</v>
      </c>
      <c r="D68" s="9">
        <v>443903</v>
      </c>
      <c r="E68" s="11">
        <v>840497</v>
      </c>
      <c r="F68" s="12">
        <f t="shared" si="11"/>
        <v>396594</v>
      </c>
      <c r="G68" s="32"/>
      <c r="H68" s="33"/>
      <c r="I68" s="34"/>
    </row>
    <row r="69" spans="1:11" x14ac:dyDescent="0.25">
      <c r="A69" s="8">
        <v>12</v>
      </c>
      <c r="B69" s="9">
        <v>288094</v>
      </c>
      <c r="C69" s="10">
        <v>1</v>
      </c>
      <c r="D69" s="9">
        <v>288094</v>
      </c>
      <c r="E69" s="11">
        <f>144047+1</f>
        <v>144048</v>
      </c>
      <c r="F69" s="12">
        <f t="shared" si="11"/>
        <v>-144046</v>
      </c>
      <c r="G69" s="32"/>
      <c r="H69" s="33"/>
      <c r="I69" s="34"/>
    </row>
    <row r="70" spans="1:11" x14ac:dyDescent="0.25">
      <c r="A70" s="8">
        <v>43.2</v>
      </c>
      <c r="B70" s="9">
        <v>0</v>
      </c>
      <c r="C70" s="10">
        <v>0.5</v>
      </c>
      <c r="D70" s="9">
        <v>408</v>
      </c>
      <c r="E70" s="11">
        <v>25967</v>
      </c>
      <c r="F70" s="12">
        <f t="shared" si="11"/>
        <v>25559</v>
      </c>
      <c r="G70" s="32"/>
      <c r="H70" s="33"/>
      <c r="I70" s="34"/>
    </row>
    <row r="71" spans="1:11" x14ac:dyDescent="0.25">
      <c r="A71" s="8">
        <v>46</v>
      </c>
      <c r="B71" s="9">
        <v>451084</v>
      </c>
      <c r="C71" s="10">
        <v>0.3</v>
      </c>
      <c r="D71" s="9">
        <v>328182</v>
      </c>
      <c r="E71" s="11">
        <v>383416</v>
      </c>
      <c r="F71" s="12">
        <f t="shared" si="11"/>
        <v>55234</v>
      </c>
      <c r="G71" s="32"/>
      <c r="H71" s="33"/>
      <c r="I71" s="34"/>
    </row>
    <row r="72" spans="1:11" x14ac:dyDescent="0.25">
      <c r="A72" s="8">
        <v>47</v>
      </c>
      <c r="B72" s="9">
        <v>14520521</v>
      </c>
      <c r="C72" s="10">
        <v>0.08</v>
      </c>
      <c r="D72" s="9">
        <v>7407074</v>
      </c>
      <c r="E72" s="11">
        <v>7196200</v>
      </c>
      <c r="F72" s="12">
        <f t="shared" si="11"/>
        <v>-210874</v>
      </c>
      <c r="G72" s="32"/>
      <c r="H72" s="33"/>
      <c r="I72" s="34"/>
    </row>
    <row r="73" spans="1:11" x14ac:dyDescent="0.25">
      <c r="A73" s="24">
        <v>50</v>
      </c>
      <c r="B73" s="25">
        <v>334230</v>
      </c>
      <c r="C73" s="26">
        <v>0.55000000000000004</v>
      </c>
      <c r="D73" s="25">
        <v>222506</v>
      </c>
      <c r="E73" s="27">
        <v>270335</v>
      </c>
      <c r="F73" s="12">
        <f t="shared" si="11"/>
        <v>47829</v>
      </c>
      <c r="G73" s="35"/>
      <c r="H73" s="36"/>
      <c r="I73" s="37"/>
    </row>
    <row r="74" spans="1:11" x14ac:dyDescent="0.25">
      <c r="A74" s="14" t="s">
        <v>10</v>
      </c>
      <c r="B74" s="15">
        <f>SUM(B66:B73)</f>
        <v>17309947</v>
      </c>
      <c r="C74" s="16"/>
      <c r="D74" s="15">
        <f>SUM(D66:D73)</f>
        <v>9063585</v>
      </c>
      <c r="E74" s="15">
        <f>SUM(E66:E73)</f>
        <v>9243744</v>
      </c>
      <c r="F74" s="15">
        <f>SUM(F66:F73)</f>
        <v>180159</v>
      </c>
      <c r="G74" s="38">
        <v>0.26500000000000001</v>
      </c>
      <c r="H74" s="17">
        <f>F74*G74</f>
        <v>47742.135000000002</v>
      </c>
      <c r="I74" s="18">
        <f>H74/(1-G74)</f>
        <v>64955.285714285717</v>
      </c>
    </row>
    <row r="76" spans="1:11" x14ac:dyDescent="0.25">
      <c r="A76" s="2">
        <v>2025</v>
      </c>
    </row>
    <row r="77" spans="1:11" ht="60" x14ac:dyDescent="0.25">
      <c r="A77" s="3" t="s">
        <v>1</v>
      </c>
      <c r="B77" s="4" t="s">
        <v>2</v>
      </c>
      <c r="C77" s="5" t="s">
        <v>3</v>
      </c>
      <c r="D77" s="5" t="s">
        <v>4</v>
      </c>
      <c r="E77" s="6" t="s">
        <v>5</v>
      </c>
      <c r="F77" s="6" t="s">
        <v>6</v>
      </c>
      <c r="G77" s="6" t="s">
        <v>7</v>
      </c>
      <c r="H77" s="6" t="s">
        <v>8</v>
      </c>
      <c r="I77" s="7" t="s">
        <v>9</v>
      </c>
      <c r="K77" s="39" t="s">
        <v>14</v>
      </c>
    </row>
    <row r="78" spans="1:11" x14ac:dyDescent="0.25">
      <c r="A78" s="19">
        <v>1</v>
      </c>
      <c r="B78" s="20">
        <v>989524</v>
      </c>
      <c r="C78" s="21">
        <v>0.06</v>
      </c>
      <c r="D78" s="22">
        <v>254593</v>
      </c>
      <c r="E78" s="12">
        <v>230792</v>
      </c>
      <c r="F78" s="12">
        <f>E78-D78</f>
        <v>-23801</v>
      </c>
      <c r="G78" s="29"/>
      <c r="H78" s="30"/>
      <c r="I78" s="31"/>
    </row>
    <row r="79" spans="1:11" x14ac:dyDescent="0.25">
      <c r="A79" s="8">
        <v>8</v>
      </c>
      <c r="B79" s="9">
        <f>10615+88326</f>
        <v>98941</v>
      </c>
      <c r="C79" s="10">
        <v>0.2</v>
      </c>
      <c r="D79" s="22">
        <v>152377</v>
      </c>
      <c r="E79" s="12">
        <v>176328</v>
      </c>
      <c r="F79" s="12">
        <f t="shared" ref="F79:F85" si="12">E79-D79</f>
        <v>23951</v>
      </c>
      <c r="G79" s="32"/>
      <c r="H79" s="33"/>
      <c r="I79" s="34"/>
    </row>
    <row r="80" spans="1:11" x14ac:dyDescent="0.25">
      <c r="A80" s="8">
        <v>10</v>
      </c>
      <c r="B80" s="9">
        <v>1447853</v>
      </c>
      <c r="C80" s="10">
        <v>0.3</v>
      </c>
      <c r="D80" s="22">
        <v>745088</v>
      </c>
      <c r="E80" s="12">
        <v>948476</v>
      </c>
      <c r="F80" s="12">
        <f t="shared" si="12"/>
        <v>203388</v>
      </c>
      <c r="G80" s="32"/>
      <c r="H80" s="33"/>
      <c r="I80" s="34"/>
    </row>
    <row r="81" spans="1:9" x14ac:dyDescent="0.25">
      <c r="A81" s="8">
        <v>12</v>
      </c>
      <c r="B81" s="9">
        <v>1043489</v>
      </c>
      <c r="C81" s="10">
        <v>1</v>
      </c>
      <c r="D81" s="22">
        <v>1043489</v>
      </c>
      <c r="E81" s="12">
        <f>665792+1</f>
        <v>665793</v>
      </c>
      <c r="F81" s="12">
        <f t="shared" si="12"/>
        <v>-377696</v>
      </c>
      <c r="G81" s="32"/>
      <c r="H81" s="33"/>
      <c r="I81" s="34"/>
    </row>
    <row r="82" spans="1:9" x14ac:dyDescent="0.25">
      <c r="A82" s="8">
        <v>43.2</v>
      </c>
      <c r="B82" s="9">
        <v>0</v>
      </c>
      <c r="C82" s="10">
        <v>0.5</v>
      </c>
      <c r="D82" s="22">
        <v>204</v>
      </c>
      <c r="E82" s="12">
        <v>12983</v>
      </c>
      <c r="F82" s="12">
        <f t="shared" si="12"/>
        <v>12779</v>
      </c>
      <c r="G82" s="32"/>
      <c r="H82" s="33"/>
      <c r="I82" s="34"/>
    </row>
    <row r="83" spans="1:9" x14ac:dyDescent="0.25">
      <c r="A83" s="8">
        <v>46</v>
      </c>
      <c r="B83" s="9">
        <v>389954</v>
      </c>
      <c r="C83" s="10">
        <v>0.3</v>
      </c>
      <c r="D83" s="22">
        <v>346714</v>
      </c>
      <c r="E83" s="12">
        <v>394547</v>
      </c>
      <c r="F83" s="12">
        <f t="shared" si="12"/>
        <v>47833</v>
      </c>
      <c r="G83" s="32"/>
      <c r="H83" s="33"/>
      <c r="I83" s="34"/>
    </row>
    <row r="84" spans="1:9" x14ac:dyDescent="0.25">
      <c r="A84" s="8">
        <v>47</v>
      </c>
      <c r="B84" s="9">
        <v>18633709</v>
      </c>
      <c r="C84" s="10">
        <v>0.08</v>
      </c>
      <c r="D84" s="22">
        <v>8270059</v>
      </c>
      <c r="E84" s="12">
        <v>7931075</v>
      </c>
      <c r="F84" s="12">
        <f t="shared" si="12"/>
        <v>-338984</v>
      </c>
      <c r="G84" s="32"/>
      <c r="H84" s="33"/>
      <c r="I84" s="34"/>
    </row>
    <row r="85" spans="1:9" x14ac:dyDescent="0.25">
      <c r="A85" s="24">
        <v>50</v>
      </c>
      <c r="B85" s="25">
        <v>290000</v>
      </c>
      <c r="C85" s="26">
        <v>0.55000000000000004</v>
      </c>
      <c r="D85" s="22">
        <v>259628</v>
      </c>
      <c r="E85" s="12">
        <v>293314</v>
      </c>
      <c r="F85" s="12">
        <f t="shared" si="12"/>
        <v>33686</v>
      </c>
      <c r="G85" s="35"/>
      <c r="H85" s="36"/>
      <c r="I85" s="37"/>
    </row>
    <row r="86" spans="1:9" x14ac:dyDescent="0.25">
      <c r="A86" s="14" t="s">
        <v>10</v>
      </c>
      <c r="B86" s="15">
        <f>SUM(B78:B85)</f>
        <v>22893470</v>
      </c>
      <c r="C86" s="16"/>
      <c r="D86" s="15">
        <f>SUM(D78:D85)</f>
        <v>11072152</v>
      </c>
      <c r="E86" s="15">
        <f>SUM(E78:E85)</f>
        <v>10653308</v>
      </c>
      <c r="F86" s="15">
        <f>SUM(F78:F85)</f>
        <v>-418844</v>
      </c>
      <c r="G86" s="38">
        <v>0.26500000000000001</v>
      </c>
      <c r="H86" s="17">
        <f>F86*G86</f>
        <v>-110993.66</v>
      </c>
      <c r="I86" s="18">
        <f>H86/(1-G86)</f>
        <v>-151011.78231292518</v>
      </c>
    </row>
    <row r="89" spans="1:9" x14ac:dyDescent="0.25">
      <c r="A89" s="3" t="s">
        <v>15</v>
      </c>
      <c r="B89" s="40" t="s">
        <v>16</v>
      </c>
    </row>
    <row r="90" spans="1:9" x14ac:dyDescent="0.25">
      <c r="A90" s="8">
        <v>2018</v>
      </c>
      <c r="B90" s="13">
        <f>I5</f>
        <v>-23573.102040816328</v>
      </c>
    </row>
    <row r="91" spans="1:9" x14ac:dyDescent="0.25">
      <c r="A91" s="8">
        <f t="shared" ref="A91:A95" si="13">A90+1</f>
        <v>2019</v>
      </c>
      <c r="B91" s="13">
        <f>I16</f>
        <v>-545974.6326530613</v>
      </c>
    </row>
    <row r="92" spans="1:9" x14ac:dyDescent="0.25">
      <c r="A92" s="8">
        <f t="shared" si="13"/>
        <v>2020</v>
      </c>
      <c r="B92" s="13">
        <f>I27</f>
        <v>-305814.68707482994</v>
      </c>
    </row>
    <row r="93" spans="1:9" x14ac:dyDescent="0.25">
      <c r="A93" s="8">
        <f t="shared" si="13"/>
        <v>2021</v>
      </c>
      <c r="B93" s="13">
        <f>I38</f>
        <v>-340597.82993197278</v>
      </c>
    </row>
    <row r="94" spans="1:9" x14ac:dyDescent="0.25">
      <c r="A94" s="8">
        <f t="shared" si="13"/>
        <v>2022</v>
      </c>
      <c r="B94" s="13">
        <f>I50</f>
        <v>-585379.23129251704</v>
      </c>
    </row>
    <row r="95" spans="1:9" x14ac:dyDescent="0.25">
      <c r="A95" s="8">
        <f t="shared" si="13"/>
        <v>2023</v>
      </c>
      <c r="B95" s="13">
        <f>I62</f>
        <v>-511623.42176870751</v>
      </c>
    </row>
    <row r="96" spans="1:9" x14ac:dyDescent="0.25">
      <c r="A96" s="8">
        <f>A95+1</f>
        <v>2024</v>
      </c>
      <c r="B96" s="13">
        <f>I74</f>
        <v>64955.285714285717</v>
      </c>
    </row>
    <row r="97" spans="1:2" x14ac:dyDescent="0.25">
      <c r="A97" s="8">
        <f>A96+1</f>
        <v>2025</v>
      </c>
      <c r="B97" s="13">
        <f>I86</f>
        <v>-151011.78231292518</v>
      </c>
    </row>
    <row r="98" spans="1:2" x14ac:dyDescent="0.25">
      <c r="A98" s="14" t="s">
        <v>10</v>
      </c>
      <c r="B98" s="18">
        <f>SUM(B90:B97)</f>
        <v>-2399019.4013605439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f86f0e4-a396-404b-9fd9-41c4cf25f9c0}" enabled="1" method="Standard" siteId="{198a3c7d-74ec-4699-ac61-64893df4bed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PILS 1592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 Martin</dc:creator>
  <cp:lastModifiedBy>Kary Martin</cp:lastModifiedBy>
  <dcterms:created xsi:type="dcterms:W3CDTF">2025-08-27T12:56:18Z</dcterms:created>
  <dcterms:modified xsi:type="dcterms:W3CDTF">2025-08-27T13:01:30Z</dcterms:modified>
</cp:coreProperties>
</file>