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D1C7019A-7765-40B7-B5DE-1B6AA846599C}" xr6:coauthVersionLast="47" xr6:coauthVersionMax="47" xr10:uidLastSave="{00000000-0000-0000-0000-000000000000}"/>
  <bookViews>
    <workbookView xWindow="28680" yWindow="-105" windowWidth="29040" windowHeight="157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 WN" sheetId="84" r:id="rId4"/>
    <sheet name="Rate Class Energy Model" sheetId="9" r:id="rId5"/>
    <sheet name="Rate Class Customer Model" sheetId="17" r:id="rId6"/>
    <sheet name="Rate Class Load Model" sheetId="18" r:id="rId7"/>
    <sheet name="Standby Forecast" sheetId="79" r:id="rId8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Model'!$A$1:$K$168</definedName>
    <definedName name="_xlnm.Print_Area" localSheetId="3">'Power Purchased Model WN'!$A$1:$K$168</definedName>
    <definedName name="_xlnm.Print_Area" localSheetId="5">'Rate Class Customer Model'!$A$1:$K$34</definedName>
    <definedName name="_xlnm.Print_Area" localSheetId="4">'Rate Class Energy Model'!#REF!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Model'!$A:$K,'Power Purchased Model'!$1:$2</definedName>
    <definedName name="_xlnm.Print_Titles" localSheetId="3">'Power Purchased Model WN'!$A:$K,'Power Purchased Model 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1" l="1"/>
  <c r="L5" i="11"/>
  <c r="K5" i="11"/>
  <c r="J5" i="11"/>
  <c r="I5" i="11"/>
  <c r="H5" i="11"/>
  <c r="G5" i="11"/>
  <c r="F5" i="11"/>
  <c r="E5" i="11"/>
  <c r="D5" i="11"/>
  <c r="C5" i="11"/>
  <c r="B5" i="11"/>
  <c r="E33" i="17"/>
  <c r="M153" i="84"/>
  <c r="M154" i="84"/>
  <c r="M155" i="84"/>
  <c r="M156" i="84"/>
  <c r="M157" i="84"/>
  <c r="M158" i="84"/>
  <c r="M159" i="84"/>
  <c r="M160" i="84"/>
  <c r="M161" i="84"/>
  <c r="M162" i="84"/>
  <c r="M163" i="84"/>
  <c r="M152" i="84"/>
  <c r="J165" i="72" l="1"/>
  <c r="R30" i="72" l="1"/>
  <c r="R28" i="72"/>
  <c r="R27" i="72"/>
  <c r="R26" i="72"/>
  <c r="I3" i="84" l="1"/>
  <c r="K12" i="9" l="1"/>
  <c r="K21" i="9" s="1"/>
  <c r="K27" i="9" s="1"/>
  <c r="K11" i="9"/>
  <c r="K10" i="9"/>
  <c r="K9" i="9"/>
  <c r="K8" i="9"/>
  <c r="K7" i="9"/>
  <c r="K6" i="9"/>
  <c r="K5" i="9"/>
  <c r="K4" i="9"/>
  <c r="B28" i="11" l="1"/>
  <c r="K3" i="9"/>
  <c r="C6" i="79"/>
  <c r="B6" i="79"/>
  <c r="H129" i="72" l="1"/>
  <c r="H141" i="72" l="1"/>
  <c r="H128" i="72"/>
  <c r="H127" i="72"/>
  <c r="H126" i="72"/>
  <c r="H125" i="72"/>
  <c r="H124" i="72"/>
  <c r="H123" i="72"/>
  <c r="H134" i="72"/>
  <c r="H133" i="72"/>
  <c r="H132" i="72"/>
  <c r="H131" i="72"/>
  <c r="H130" i="72"/>
  <c r="H140" i="72" l="1"/>
  <c r="H144" i="72"/>
  <c r="H146" i="72"/>
  <c r="H145" i="72"/>
  <c r="H136" i="72"/>
  <c r="H139" i="72"/>
  <c r="H137" i="72"/>
  <c r="H143" i="72"/>
  <c r="H135" i="72"/>
  <c r="H142" i="72"/>
  <c r="H138" i="72"/>
  <c r="I72" i="84"/>
  <c r="I60" i="84"/>
  <c r="J60" i="84" s="1"/>
  <c r="I47" i="84"/>
  <c r="I44" i="84"/>
  <c r="J44" i="84" s="1"/>
  <c r="M44" i="84" s="1"/>
  <c r="I40" i="84"/>
  <c r="J40" i="84" s="1"/>
  <c r="M40" i="84" s="1"/>
  <c r="I36" i="84"/>
  <c r="I28" i="84"/>
  <c r="I25" i="84"/>
  <c r="I24" i="84"/>
  <c r="I48" i="84"/>
  <c r="J48" i="84" s="1"/>
  <c r="I23" i="84"/>
  <c r="I22" i="84"/>
  <c r="I21" i="84"/>
  <c r="I20" i="84"/>
  <c r="I19" i="84"/>
  <c r="I17" i="84"/>
  <c r="I16" i="84"/>
  <c r="I15" i="84"/>
  <c r="J15" i="84" s="1"/>
  <c r="M15" i="84" s="1"/>
  <c r="I63" i="84"/>
  <c r="I14" i="84"/>
  <c r="I13" i="84"/>
  <c r="J13" i="84" s="1"/>
  <c r="I12" i="84"/>
  <c r="J12" i="84" s="1"/>
  <c r="I11" i="84"/>
  <c r="I10" i="84"/>
  <c r="I9" i="84"/>
  <c r="J9" i="84" s="1"/>
  <c r="K9" i="84" s="1"/>
  <c r="L9" i="84" s="1"/>
  <c r="I8" i="84"/>
  <c r="I7" i="84"/>
  <c r="I6" i="84"/>
  <c r="J6" i="84" s="1"/>
  <c r="M6" i="84" s="1"/>
  <c r="I5" i="84"/>
  <c r="J5" i="84" s="1"/>
  <c r="I4" i="84"/>
  <c r="I3" i="72"/>
  <c r="J21" i="84" l="1"/>
  <c r="K21" i="84" s="1"/>
  <c r="L21" i="84" s="1"/>
  <c r="J36" i="84"/>
  <c r="M36" i="84" s="1"/>
  <c r="J3" i="84"/>
  <c r="M3" i="84" s="1"/>
  <c r="J22" i="84"/>
  <c r="M22" i="84" s="1"/>
  <c r="J28" i="84"/>
  <c r="K28" i="84" s="1"/>
  <c r="L28" i="84" s="1"/>
  <c r="J16" i="84"/>
  <c r="M16" i="84" s="1"/>
  <c r="J4" i="84"/>
  <c r="M4" i="84" s="1"/>
  <c r="J14" i="84"/>
  <c r="K14" i="84" s="1"/>
  <c r="L14" i="84" s="1"/>
  <c r="J11" i="84"/>
  <c r="M11" i="84" s="1"/>
  <c r="J24" i="84"/>
  <c r="J63" i="84"/>
  <c r="K63" i="84" s="1"/>
  <c r="L63" i="84" s="1"/>
  <c r="J17" i="84"/>
  <c r="M17" i="84" s="1"/>
  <c r="J25" i="84"/>
  <c r="M25" i="84" s="1"/>
  <c r="J47" i="84"/>
  <c r="M47" i="84" s="1"/>
  <c r="J10" i="84"/>
  <c r="K10" i="84" s="1"/>
  <c r="L10" i="84" s="1"/>
  <c r="J20" i="84"/>
  <c r="M20" i="84" s="1"/>
  <c r="J72" i="84"/>
  <c r="K72" i="84" s="1"/>
  <c r="L72" i="84" s="1"/>
  <c r="K6" i="84"/>
  <c r="L6" i="84" s="1"/>
  <c r="J7" i="84"/>
  <c r="N7" i="84" s="1"/>
  <c r="O7" i="84" s="1"/>
  <c r="N22" i="84"/>
  <c r="O22" i="84" s="1"/>
  <c r="I59" i="84"/>
  <c r="J59" i="84" s="1"/>
  <c r="N60" i="84" s="1"/>
  <c r="O60" i="84" s="1"/>
  <c r="M21" i="84"/>
  <c r="K48" i="84"/>
  <c r="L48" i="84" s="1"/>
  <c r="M48" i="84"/>
  <c r="M13" i="84"/>
  <c r="K13" i="84"/>
  <c r="L13" i="84" s="1"/>
  <c r="N13" i="84"/>
  <c r="O13" i="84" s="1"/>
  <c r="I30" i="84"/>
  <c r="J30" i="84" s="1"/>
  <c r="M5" i="84"/>
  <c r="K5" i="84"/>
  <c r="L5" i="84" s="1"/>
  <c r="I38" i="84"/>
  <c r="J38" i="84" s="1"/>
  <c r="K12" i="84"/>
  <c r="L12" i="84" s="1"/>
  <c r="K15" i="84"/>
  <c r="L15" i="84" s="1"/>
  <c r="I55" i="84"/>
  <c r="J55" i="84" s="1"/>
  <c r="K36" i="84"/>
  <c r="L36" i="84" s="1"/>
  <c r="I43" i="84"/>
  <c r="J43" i="84" s="1"/>
  <c r="N44" i="84" s="1"/>
  <c r="O44" i="84" s="1"/>
  <c r="K44" i="84"/>
  <c r="L44" i="84" s="1"/>
  <c r="J8" i="84"/>
  <c r="K60" i="84"/>
  <c r="L60" i="84" s="1"/>
  <c r="M60" i="84"/>
  <c r="M12" i="84"/>
  <c r="K11" i="84"/>
  <c r="L11" i="84" s="1"/>
  <c r="J19" i="84"/>
  <c r="I32" i="84"/>
  <c r="J32" i="84" s="1"/>
  <c r="I39" i="84"/>
  <c r="J39" i="84" s="1"/>
  <c r="N40" i="84" s="1"/>
  <c r="O40" i="84" s="1"/>
  <c r="I56" i="84"/>
  <c r="J56" i="84" s="1"/>
  <c r="I35" i="84"/>
  <c r="J35" i="84" s="1"/>
  <c r="N36" i="84" s="1"/>
  <c r="O36" i="84" s="1"/>
  <c r="I26" i="84"/>
  <c r="J26" i="84" s="1"/>
  <c r="K24" i="84"/>
  <c r="L24" i="84" s="1"/>
  <c r="I18" i="84"/>
  <c r="J18" i="84" s="1"/>
  <c r="J23" i="84"/>
  <c r="N24" i="84" s="1"/>
  <c r="O24" i="84" s="1"/>
  <c r="I31" i="84"/>
  <c r="J31" i="84" s="1"/>
  <c r="K40" i="84"/>
  <c r="L40" i="84" s="1"/>
  <c r="M24" i="84"/>
  <c r="I27" i="84"/>
  <c r="J27" i="84" s="1"/>
  <c r="I52" i="84"/>
  <c r="J52" i="84" s="1"/>
  <c r="I51" i="84"/>
  <c r="J51" i="84" s="1"/>
  <c r="M9" i="84"/>
  <c r="N6" i="84"/>
  <c r="O6" i="84" s="1"/>
  <c r="I64" i="84"/>
  <c r="J64" i="84" s="1"/>
  <c r="M72" i="84" l="1"/>
  <c r="K22" i="84"/>
  <c r="L22" i="84" s="1"/>
  <c r="K3" i="84"/>
  <c r="L3" i="84" s="1"/>
  <c r="K17" i="84"/>
  <c r="L17" i="84" s="1"/>
  <c r="N4" i="84"/>
  <c r="O4" i="84" s="1"/>
  <c r="N12" i="84"/>
  <c r="O12" i="84" s="1"/>
  <c r="M63" i="84"/>
  <c r="N10" i="84"/>
  <c r="O10" i="84" s="1"/>
  <c r="N11" i="84"/>
  <c r="O11" i="84" s="1"/>
  <c r="K47" i="84"/>
  <c r="L47" i="84" s="1"/>
  <c r="K25" i="84"/>
  <c r="L25" i="84" s="1"/>
  <c r="N25" i="84"/>
  <c r="O25" i="84" s="1"/>
  <c r="N48" i="84"/>
  <c r="O48" i="84" s="1"/>
  <c r="M10" i="84"/>
  <c r="K20" i="84"/>
  <c r="L20" i="84" s="1"/>
  <c r="N17" i="84"/>
  <c r="O17" i="84" s="1"/>
  <c r="N15" i="84"/>
  <c r="O15" i="84" s="1"/>
  <c r="M28" i="84"/>
  <c r="K4" i="84"/>
  <c r="L4" i="84" s="1"/>
  <c r="N14" i="84"/>
  <c r="O14" i="84" s="1"/>
  <c r="N5" i="84"/>
  <c r="O5" i="84" s="1"/>
  <c r="K7" i="84"/>
  <c r="L7" i="84" s="1"/>
  <c r="N16" i="84"/>
  <c r="O16" i="84" s="1"/>
  <c r="M14" i="84"/>
  <c r="K16" i="84"/>
  <c r="L16" i="84" s="1"/>
  <c r="N21" i="84"/>
  <c r="O21" i="84" s="1"/>
  <c r="M7" i="84"/>
  <c r="I68" i="84"/>
  <c r="J68" i="84" s="1"/>
  <c r="M51" i="84"/>
  <c r="K51" i="84"/>
  <c r="L51" i="84" s="1"/>
  <c r="I33" i="84"/>
  <c r="J33" i="84" s="1"/>
  <c r="I42" i="84"/>
  <c r="J42" i="84" s="1"/>
  <c r="N43" i="84" s="1"/>
  <c r="O43" i="84" s="1"/>
  <c r="N18" i="84"/>
  <c r="O18" i="84" s="1"/>
  <c r="M18" i="84"/>
  <c r="K18" i="84"/>
  <c r="L18" i="84" s="1"/>
  <c r="M19" i="84"/>
  <c r="K19" i="84"/>
  <c r="L19" i="84" s="1"/>
  <c r="N19" i="84"/>
  <c r="O19" i="84" s="1"/>
  <c r="M43" i="84"/>
  <c r="K43" i="84"/>
  <c r="L43" i="84" s="1"/>
  <c r="K56" i="84"/>
  <c r="L56" i="84" s="1"/>
  <c r="N56" i="84"/>
  <c r="O56" i="84" s="1"/>
  <c r="M56" i="84"/>
  <c r="M8" i="84"/>
  <c r="N8" i="84"/>
  <c r="O8" i="84" s="1"/>
  <c r="K8" i="84"/>
  <c r="L8" i="84" s="1"/>
  <c r="I29" i="84"/>
  <c r="J29" i="84" s="1"/>
  <c r="N30" i="84" s="1"/>
  <c r="O30" i="84" s="1"/>
  <c r="I37" i="84"/>
  <c r="J37" i="84" s="1"/>
  <c r="N38" i="84" s="1"/>
  <c r="O38" i="84" s="1"/>
  <c r="K52" i="84"/>
  <c r="L52" i="84" s="1"/>
  <c r="N52" i="84"/>
  <c r="O52" i="84" s="1"/>
  <c r="M52" i="84"/>
  <c r="N20" i="84"/>
  <c r="O20" i="84" s="1"/>
  <c r="I76" i="84"/>
  <c r="J76" i="84" s="1"/>
  <c r="I34" i="84"/>
  <c r="J34" i="84" s="1"/>
  <c r="N35" i="84" s="1"/>
  <c r="O35" i="84" s="1"/>
  <c r="N26" i="84"/>
  <c r="O26" i="84" s="1"/>
  <c r="M26" i="84"/>
  <c r="K26" i="84"/>
  <c r="L26" i="84" s="1"/>
  <c r="I50" i="84"/>
  <c r="J50" i="84" s="1"/>
  <c r="N51" i="84" s="1"/>
  <c r="O51" i="84" s="1"/>
  <c r="I71" i="84"/>
  <c r="J71" i="84" s="1"/>
  <c r="I84" i="84"/>
  <c r="J84" i="84" s="1"/>
  <c r="K30" i="84"/>
  <c r="L30" i="84" s="1"/>
  <c r="M30" i="84"/>
  <c r="K64" i="84"/>
  <c r="L64" i="84" s="1"/>
  <c r="M64" i="84"/>
  <c r="N64" i="84"/>
  <c r="O64" i="84" s="1"/>
  <c r="M31" i="84"/>
  <c r="N31" i="84"/>
  <c r="O31" i="84" s="1"/>
  <c r="K31" i="84"/>
  <c r="L31" i="84" s="1"/>
  <c r="M35" i="84"/>
  <c r="K35" i="84"/>
  <c r="L35" i="84" s="1"/>
  <c r="M39" i="84"/>
  <c r="N39" i="84"/>
  <c r="O39" i="84" s="1"/>
  <c r="K39" i="84"/>
  <c r="L39" i="84" s="1"/>
  <c r="N9" i="84"/>
  <c r="O9" i="84" s="1"/>
  <c r="I67" i="84"/>
  <c r="J67" i="84" s="1"/>
  <c r="K38" i="84"/>
  <c r="L38" i="84" s="1"/>
  <c r="M38" i="84"/>
  <c r="M59" i="84"/>
  <c r="K59" i="84"/>
  <c r="L59" i="84" s="1"/>
  <c r="M27" i="84"/>
  <c r="K27" i="84"/>
  <c r="L27" i="84" s="1"/>
  <c r="N27" i="84"/>
  <c r="O27" i="84" s="1"/>
  <c r="M23" i="84"/>
  <c r="N23" i="84"/>
  <c r="O23" i="84" s="1"/>
  <c r="K23" i="84"/>
  <c r="L23" i="84" s="1"/>
  <c r="N28" i="84"/>
  <c r="O28" i="84" s="1"/>
  <c r="K32" i="84"/>
  <c r="L32" i="84" s="1"/>
  <c r="N32" i="84"/>
  <c r="O32" i="84" s="1"/>
  <c r="M32" i="84"/>
  <c r="I75" i="84"/>
  <c r="J75" i="84" s="1"/>
  <c r="M55" i="84"/>
  <c r="K55" i="84"/>
  <c r="L55" i="84" s="1"/>
  <c r="I79" i="84" l="1"/>
  <c r="J79" i="84" s="1"/>
  <c r="I54" i="84"/>
  <c r="J54" i="84" s="1"/>
  <c r="M67" i="84"/>
  <c r="K67" i="84"/>
  <c r="L67" i="84" s="1"/>
  <c r="I45" i="84"/>
  <c r="J45" i="84" s="1"/>
  <c r="I96" i="84"/>
  <c r="J96" i="84" s="1"/>
  <c r="N33" i="84"/>
  <c r="O33" i="84" s="1"/>
  <c r="M33" i="84"/>
  <c r="K33" i="84"/>
  <c r="L33" i="84" s="1"/>
  <c r="K84" i="84"/>
  <c r="L84" i="84" s="1"/>
  <c r="M84" i="84"/>
  <c r="I46" i="84"/>
  <c r="J46" i="84" s="1"/>
  <c r="I49" i="84"/>
  <c r="J49" i="84" s="1"/>
  <c r="I83" i="84"/>
  <c r="J83" i="84" s="1"/>
  <c r="N84" i="84" s="1"/>
  <c r="O84" i="84" s="1"/>
  <c r="N34" i="84"/>
  <c r="O34" i="84" s="1"/>
  <c r="K34" i="84"/>
  <c r="L34" i="84" s="1"/>
  <c r="M34" i="84"/>
  <c r="N37" i="84"/>
  <c r="O37" i="84" s="1"/>
  <c r="M37" i="84"/>
  <c r="K37" i="84"/>
  <c r="L37" i="84" s="1"/>
  <c r="I87" i="84"/>
  <c r="J87" i="84" s="1"/>
  <c r="M71" i="84"/>
  <c r="K71" i="84"/>
  <c r="L71" i="84" s="1"/>
  <c r="N72" i="84"/>
  <c r="O72" i="84" s="1"/>
  <c r="I88" i="84"/>
  <c r="J88" i="84" s="1"/>
  <c r="M75" i="84"/>
  <c r="K75" i="84"/>
  <c r="L75" i="84" s="1"/>
  <c r="M50" i="84"/>
  <c r="K50" i="84"/>
  <c r="L50" i="84" s="1"/>
  <c r="K76" i="84"/>
  <c r="L76" i="84" s="1"/>
  <c r="N76" i="84"/>
  <c r="O76" i="84" s="1"/>
  <c r="M76" i="84"/>
  <c r="I41" i="84"/>
  <c r="J41" i="84" s="1"/>
  <c r="N42" i="84" s="1"/>
  <c r="O42" i="84" s="1"/>
  <c r="I80" i="84"/>
  <c r="J80" i="84" s="1"/>
  <c r="I62" i="84"/>
  <c r="J62" i="84" s="1"/>
  <c r="N29" i="84"/>
  <c r="O29" i="84" s="1"/>
  <c r="M29" i="84"/>
  <c r="K29" i="84"/>
  <c r="L29" i="84" s="1"/>
  <c r="M42" i="84"/>
  <c r="K42" i="84"/>
  <c r="L42" i="84" s="1"/>
  <c r="K68" i="84"/>
  <c r="L68" i="84" s="1"/>
  <c r="N68" i="84"/>
  <c r="O68" i="84" s="1"/>
  <c r="M68" i="84"/>
  <c r="I61" i="84" l="1"/>
  <c r="J61" i="84" s="1"/>
  <c r="N62" i="84" s="1"/>
  <c r="O62" i="84" s="1"/>
  <c r="K88" i="84"/>
  <c r="L88" i="84" s="1"/>
  <c r="M88" i="84"/>
  <c r="N88" i="84"/>
  <c r="O88" i="84" s="1"/>
  <c r="M54" i="84"/>
  <c r="K54" i="84"/>
  <c r="L54" i="84" s="1"/>
  <c r="N55" i="84"/>
  <c r="O55" i="84" s="1"/>
  <c r="I66" i="84"/>
  <c r="J66" i="84" s="1"/>
  <c r="I92" i="84"/>
  <c r="J92" i="84" s="1"/>
  <c r="I58" i="84"/>
  <c r="J58" i="84" s="1"/>
  <c r="K96" i="84"/>
  <c r="L96" i="84" s="1"/>
  <c r="M96" i="84"/>
  <c r="I91" i="84"/>
  <c r="J91" i="84" s="1"/>
  <c r="I74" i="84"/>
  <c r="J74" i="84" s="1"/>
  <c r="N49" i="84"/>
  <c r="O49" i="84" s="1"/>
  <c r="M49" i="84"/>
  <c r="K49" i="84"/>
  <c r="L49" i="84" s="1"/>
  <c r="M62" i="84"/>
  <c r="K62" i="84"/>
  <c r="L62" i="84" s="1"/>
  <c r="N63" i="84"/>
  <c r="O63" i="84" s="1"/>
  <c r="N46" i="84"/>
  <c r="O46" i="84" s="1"/>
  <c r="M46" i="84"/>
  <c r="K46" i="84"/>
  <c r="L46" i="84" s="1"/>
  <c r="N47" i="84"/>
  <c r="O47" i="84" s="1"/>
  <c r="I108" i="84"/>
  <c r="J108" i="84" s="1"/>
  <c r="I120" i="84"/>
  <c r="J120" i="84" s="1"/>
  <c r="K80" i="84"/>
  <c r="L80" i="84" s="1"/>
  <c r="N80" i="84"/>
  <c r="O80" i="84" s="1"/>
  <c r="M80" i="84"/>
  <c r="N50" i="84"/>
  <c r="O50" i="84" s="1"/>
  <c r="I57" i="84"/>
  <c r="J57" i="84" s="1"/>
  <c r="M79" i="84"/>
  <c r="K79" i="84"/>
  <c r="L79" i="84" s="1"/>
  <c r="N41" i="84"/>
  <c r="O41" i="84" s="1"/>
  <c r="K41" i="84"/>
  <c r="L41" i="84" s="1"/>
  <c r="M41" i="84"/>
  <c r="I99" i="84"/>
  <c r="J99" i="84" s="1"/>
  <c r="I95" i="84"/>
  <c r="J95" i="84" s="1"/>
  <c r="N96" i="84" s="1"/>
  <c r="O96" i="84" s="1"/>
  <c r="I100" i="84"/>
  <c r="J100" i="84" s="1"/>
  <c r="I112" i="84"/>
  <c r="J112" i="84" s="1"/>
  <c r="I53" i="84"/>
  <c r="J53" i="84" s="1"/>
  <c r="N45" i="84"/>
  <c r="O45" i="84" s="1"/>
  <c r="K45" i="84"/>
  <c r="L45" i="84" s="1"/>
  <c r="M45" i="84"/>
  <c r="M87" i="84"/>
  <c r="K87" i="84"/>
  <c r="L87" i="84" s="1"/>
  <c r="M83" i="84"/>
  <c r="K83" i="84"/>
  <c r="L83" i="84" s="1"/>
  <c r="M74" i="84" l="1"/>
  <c r="K74" i="84"/>
  <c r="L74" i="84" s="1"/>
  <c r="N75" i="84"/>
  <c r="O75" i="84" s="1"/>
  <c r="K100" i="84"/>
  <c r="L100" i="84" s="1"/>
  <c r="N100" i="84"/>
  <c r="O100" i="84" s="1"/>
  <c r="M100" i="84"/>
  <c r="I103" i="84"/>
  <c r="J103" i="84" s="1"/>
  <c r="I115" i="84"/>
  <c r="J115" i="84" s="1"/>
  <c r="I107" i="84"/>
  <c r="J107" i="84" s="1"/>
  <c r="N108" i="84" s="1"/>
  <c r="O108" i="84" s="1"/>
  <c r="I119" i="84"/>
  <c r="J119" i="84" s="1"/>
  <c r="N120" i="84" s="1"/>
  <c r="O120" i="84" s="1"/>
  <c r="K120" i="84"/>
  <c r="L120" i="84" s="1"/>
  <c r="M120" i="84"/>
  <c r="M91" i="84"/>
  <c r="K91" i="84"/>
  <c r="L91" i="84" s="1"/>
  <c r="I78" i="84"/>
  <c r="J78" i="84" s="1"/>
  <c r="K92" i="84"/>
  <c r="L92" i="84" s="1"/>
  <c r="M92" i="84"/>
  <c r="N92" i="84"/>
  <c r="O92" i="84" s="1"/>
  <c r="M95" i="84"/>
  <c r="K95" i="84"/>
  <c r="L95" i="84" s="1"/>
  <c r="K108" i="84"/>
  <c r="L108" i="84" s="1"/>
  <c r="M108" i="84"/>
  <c r="M66" i="84"/>
  <c r="K66" i="84"/>
  <c r="L66" i="84" s="1"/>
  <c r="N67" i="84"/>
  <c r="O67" i="84" s="1"/>
  <c r="I73" i="84"/>
  <c r="J73" i="84" s="1"/>
  <c r="I104" i="84"/>
  <c r="J104" i="84" s="1"/>
  <c r="I116" i="84"/>
  <c r="J116" i="84" s="1"/>
  <c r="M99" i="84"/>
  <c r="K99" i="84"/>
  <c r="L99" i="84" s="1"/>
  <c r="M57" i="84"/>
  <c r="N57" i="84"/>
  <c r="O57" i="84" s="1"/>
  <c r="K57" i="84"/>
  <c r="L57" i="84" s="1"/>
  <c r="K112" i="84"/>
  <c r="L112" i="84" s="1"/>
  <c r="M112" i="84"/>
  <c r="I111" i="84"/>
  <c r="J111" i="84" s="1"/>
  <c r="D123" i="84"/>
  <c r="I123" i="84" s="1"/>
  <c r="I65" i="84"/>
  <c r="J65" i="84" s="1"/>
  <c r="I70" i="84"/>
  <c r="J70" i="84" s="1"/>
  <c r="I69" i="84"/>
  <c r="J69" i="84" s="1"/>
  <c r="M61" i="84"/>
  <c r="N61" i="84"/>
  <c r="O61" i="84" s="1"/>
  <c r="K61" i="84"/>
  <c r="L61" i="84" s="1"/>
  <c r="N53" i="84"/>
  <c r="O53" i="84" s="1"/>
  <c r="M53" i="84"/>
  <c r="K53" i="84"/>
  <c r="L53" i="84" s="1"/>
  <c r="I86" i="84"/>
  <c r="J86" i="84" s="1"/>
  <c r="M58" i="84"/>
  <c r="K58" i="84"/>
  <c r="L58" i="84" s="1"/>
  <c r="N58" i="84"/>
  <c r="O58" i="84" s="1"/>
  <c r="N59" i="84"/>
  <c r="O59" i="84" s="1"/>
  <c r="N54" i="84"/>
  <c r="O54" i="84" s="1"/>
  <c r="M111" i="84" l="1"/>
  <c r="K111" i="84"/>
  <c r="L111" i="84" s="1"/>
  <c r="I98" i="84"/>
  <c r="J98" i="84" s="1"/>
  <c r="I81" i="84"/>
  <c r="J81" i="84" s="1"/>
  <c r="M65" i="84"/>
  <c r="N65" i="84"/>
  <c r="O65" i="84" s="1"/>
  <c r="K65" i="84"/>
  <c r="L65" i="84" s="1"/>
  <c r="N112" i="84"/>
  <c r="O112" i="84" s="1"/>
  <c r="K104" i="84"/>
  <c r="L104" i="84" s="1"/>
  <c r="N104" i="84"/>
  <c r="O104" i="84" s="1"/>
  <c r="M104" i="84"/>
  <c r="M78" i="84"/>
  <c r="K78" i="84"/>
  <c r="L78" i="84" s="1"/>
  <c r="N79" i="84"/>
  <c r="O79" i="84" s="1"/>
  <c r="M103" i="84"/>
  <c r="K103" i="84"/>
  <c r="L103" i="84" s="1"/>
  <c r="N66" i="84"/>
  <c r="O66" i="84" s="1"/>
  <c r="M86" i="84"/>
  <c r="K86" i="84"/>
  <c r="L86" i="84" s="1"/>
  <c r="N87" i="84"/>
  <c r="O87" i="84" s="1"/>
  <c r="M69" i="84"/>
  <c r="N69" i="84"/>
  <c r="O69" i="84" s="1"/>
  <c r="K69" i="84"/>
  <c r="L69" i="84" s="1"/>
  <c r="M119" i="84"/>
  <c r="K119" i="84"/>
  <c r="L119" i="84" s="1"/>
  <c r="N70" i="84"/>
  <c r="O70" i="84" s="1"/>
  <c r="M70" i="84"/>
  <c r="K70" i="84"/>
  <c r="L70" i="84" s="1"/>
  <c r="N71" i="84"/>
  <c r="O71" i="84" s="1"/>
  <c r="I85" i="84"/>
  <c r="J85" i="84" s="1"/>
  <c r="N86" i="84" s="1"/>
  <c r="O86" i="84" s="1"/>
  <c r="I90" i="84"/>
  <c r="J90" i="84" s="1"/>
  <c r="M107" i="84"/>
  <c r="K107" i="84"/>
  <c r="L107" i="84" s="1"/>
  <c r="K116" i="84"/>
  <c r="L116" i="84" s="1"/>
  <c r="M116" i="84"/>
  <c r="N116" i="84"/>
  <c r="O116" i="84" s="1"/>
  <c r="I82" i="84"/>
  <c r="J82" i="84" s="1"/>
  <c r="I77" i="84"/>
  <c r="J77" i="84" s="1"/>
  <c r="N78" i="84" s="1"/>
  <c r="O78" i="84" s="1"/>
  <c r="M73" i="84"/>
  <c r="K73" i="84"/>
  <c r="L73" i="84" s="1"/>
  <c r="N73" i="84"/>
  <c r="O73" i="84" s="1"/>
  <c r="M115" i="84"/>
  <c r="K115" i="84"/>
  <c r="L115" i="84" s="1"/>
  <c r="N74" i="84"/>
  <c r="O74" i="84" s="1"/>
  <c r="I94" i="84" l="1"/>
  <c r="J94" i="84" s="1"/>
  <c r="N82" i="84"/>
  <c r="O82" i="84" s="1"/>
  <c r="M82" i="84"/>
  <c r="K82" i="84"/>
  <c r="L82" i="84" s="1"/>
  <c r="N83" i="84"/>
  <c r="O83" i="84" s="1"/>
  <c r="I93" i="84"/>
  <c r="J93" i="84" s="1"/>
  <c r="I97" i="84"/>
  <c r="J97" i="84" s="1"/>
  <c r="N98" i="84" s="1"/>
  <c r="O98" i="84" s="1"/>
  <c r="M85" i="84"/>
  <c r="K85" i="84"/>
  <c r="L85" i="84" s="1"/>
  <c r="N85" i="84"/>
  <c r="O85" i="84" s="1"/>
  <c r="M98" i="84"/>
  <c r="K98" i="84"/>
  <c r="L98" i="84" s="1"/>
  <c r="N99" i="84"/>
  <c r="O99" i="84" s="1"/>
  <c r="M90" i="84"/>
  <c r="K90" i="84"/>
  <c r="L90" i="84" s="1"/>
  <c r="N91" i="84"/>
  <c r="O91" i="84" s="1"/>
  <c r="I102" i="84"/>
  <c r="J102" i="84" s="1"/>
  <c r="I114" i="84"/>
  <c r="J114" i="84" s="1"/>
  <c r="M81" i="84"/>
  <c r="K81" i="84"/>
  <c r="L81" i="84" s="1"/>
  <c r="N81" i="84"/>
  <c r="O81" i="84" s="1"/>
  <c r="I89" i="84"/>
  <c r="J89" i="84" s="1"/>
  <c r="N90" i="84" s="1"/>
  <c r="O90" i="84" s="1"/>
  <c r="I122" i="84"/>
  <c r="J122" i="84" s="1"/>
  <c r="I110" i="84"/>
  <c r="J110" i="84" s="1"/>
  <c r="M77" i="84"/>
  <c r="N77" i="84"/>
  <c r="O77" i="84" s="1"/>
  <c r="K77" i="84"/>
  <c r="L77" i="84" s="1"/>
  <c r="M114" i="84" l="1"/>
  <c r="K114" i="84"/>
  <c r="L114" i="84" s="1"/>
  <c r="N115" i="84"/>
  <c r="O115" i="84" s="1"/>
  <c r="M110" i="84"/>
  <c r="K110" i="84"/>
  <c r="L110" i="84" s="1"/>
  <c r="N111" i="84"/>
  <c r="O111" i="84" s="1"/>
  <c r="M122" i="84"/>
  <c r="K122" i="84"/>
  <c r="L122" i="84" s="1"/>
  <c r="I101" i="84"/>
  <c r="J101" i="84" s="1"/>
  <c r="I113" i="84"/>
  <c r="J113" i="84" s="1"/>
  <c r="I109" i="84"/>
  <c r="J109" i="84" s="1"/>
  <c r="I121" i="84"/>
  <c r="J121" i="84" s="1"/>
  <c r="N94" i="84"/>
  <c r="O94" i="84" s="1"/>
  <c r="M94" i="84"/>
  <c r="K94" i="84"/>
  <c r="L94" i="84" s="1"/>
  <c r="N95" i="84"/>
  <c r="O95" i="84" s="1"/>
  <c r="I105" i="84"/>
  <c r="J105" i="84" s="1"/>
  <c r="I117" i="84"/>
  <c r="J117" i="84" s="1"/>
  <c r="M93" i="84"/>
  <c r="N93" i="84"/>
  <c r="O93" i="84" s="1"/>
  <c r="K93" i="84"/>
  <c r="L93" i="84" s="1"/>
  <c r="M102" i="84"/>
  <c r="K102" i="84"/>
  <c r="L102" i="84" s="1"/>
  <c r="N103" i="84"/>
  <c r="O103" i="84" s="1"/>
  <c r="M89" i="84"/>
  <c r="N89" i="84"/>
  <c r="O89" i="84" s="1"/>
  <c r="K89" i="84"/>
  <c r="L89" i="84" s="1"/>
  <c r="M97" i="84"/>
  <c r="N97" i="84"/>
  <c r="O97" i="84" s="1"/>
  <c r="K97" i="84"/>
  <c r="L97" i="84" s="1"/>
  <c r="I106" i="84"/>
  <c r="J106" i="84" s="1"/>
  <c r="I118" i="84"/>
  <c r="J118" i="84" s="1"/>
  <c r="M109" i="84" l="1"/>
  <c r="N109" i="84"/>
  <c r="O109" i="84" s="1"/>
  <c r="K109" i="84"/>
  <c r="L109" i="84" s="1"/>
  <c r="M113" i="84"/>
  <c r="N113" i="84"/>
  <c r="O113" i="84" s="1"/>
  <c r="K113" i="84"/>
  <c r="L113" i="84" s="1"/>
  <c r="N118" i="84"/>
  <c r="O118" i="84" s="1"/>
  <c r="M118" i="84"/>
  <c r="K118" i="84"/>
  <c r="L118" i="84" s="1"/>
  <c r="N119" i="84"/>
  <c r="O119" i="84" s="1"/>
  <c r="M105" i="84"/>
  <c r="K105" i="84"/>
  <c r="L105" i="84" s="1"/>
  <c r="N105" i="84"/>
  <c r="O105" i="84" s="1"/>
  <c r="M101" i="84"/>
  <c r="N101" i="84"/>
  <c r="O101" i="84" s="1"/>
  <c r="K101" i="84"/>
  <c r="L101" i="84" s="1"/>
  <c r="L123" i="84" s="1"/>
  <c r="M121" i="84"/>
  <c r="N121" i="84"/>
  <c r="O121" i="84" s="1"/>
  <c r="K121" i="84"/>
  <c r="L121" i="84" s="1"/>
  <c r="M117" i="84"/>
  <c r="N117" i="84"/>
  <c r="O117" i="84" s="1"/>
  <c r="K117" i="84"/>
  <c r="L117" i="84" s="1"/>
  <c r="N110" i="84"/>
  <c r="O110" i="84" s="1"/>
  <c r="N106" i="84"/>
  <c r="O106" i="84" s="1"/>
  <c r="M106" i="84"/>
  <c r="K106" i="84"/>
  <c r="L106" i="84" s="1"/>
  <c r="N107" i="84"/>
  <c r="O107" i="84" s="1"/>
  <c r="N102" i="84"/>
  <c r="O102" i="84" s="1"/>
  <c r="N122" i="84"/>
  <c r="O122" i="84" s="1"/>
  <c r="N114" i="84"/>
  <c r="O114" i="84" s="1"/>
  <c r="M123" i="84" l="1"/>
  <c r="O123" i="84"/>
  <c r="I152" i="84"/>
  <c r="N152" i="84" s="1"/>
  <c r="D133" i="84"/>
  <c r="D125" i="84"/>
  <c r="I133" i="84" l="1"/>
  <c r="I125" i="84"/>
  <c r="D137" i="84"/>
  <c r="I137" i="84" s="1"/>
  <c r="D129" i="84"/>
  <c r="I129" i="84" s="1"/>
  <c r="D145" i="84"/>
  <c r="I145" i="84" s="1"/>
  <c r="D141" i="84" l="1"/>
  <c r="I141" i="84" s="1"/>
  <c r="I4" i="72" l="1"/>
  <c r="I5" i="72"/>
  <c r="I6" i="72"/>
  <c r="I7" i="72"/>
  <c r="I8" i="72"/>
  <c r="I9" i="72"/>
  <c r="I10" i="72"/>
  <c r="I11" i="72"/>
  <c r="I12" i="72"/>
  <c r="I13" i="72"/>
  <c r="I14" i="72"/>
  <c r="D127" i="84" l="1"/>
  <c r="I127" i="84" s="1"/>
  <c r="D130" i="84" l="1"/>
  <c r="I130" i="84" s="1"/>
  <c r="D139" i="84"/>
  <c r="I139" i="84" s="1"/>
  <c r="D131" i="84"/>
  <c r="I131" i="84" s="1"/>
  <c r="D124" i="84"/>
  <c r="I124" i="84" s="1"/>
  <c r="D132" i="84"/>
  <c r="I132" i="84" s="1"/>
  <c r="D134" i="84" l="1"/>
  <c r="I134" i="84" s="1"/>
  <c r="D128" i="84"/>
  <c r="I128" i="84" s="1"/>
  <c r="D135" i="84"/>
  <c r="I135" i="84" s="1"/>
  <c r="D143" i="84"/>
  <c r="I143" i="84" s="1"/>
  <c r="D126" i="84"/>
  <c r="I126" i="84" s="1"/>
  <c r="D144" i="84"/>
  <c r="I144" i="84" s="1"/>
  <c r="D142" i="84"/>
  <c r="I142" i="84" s="1"/>
  <c r="D136" i="84"/>
  <c r="I136" i="84" s="1"/>
  <c r="I162" i="84" l="1"/>
  <c r="N162" i="84" s="1"/>
  <c r="D140" i="84"/>
  <c r="I140" i="84" s="1"/>
  <c r="D138" i="84"/>
  <c r="I138" i="84" s="1"/>
  <c r="D146" i="84"/>
  <c r="I146" i="84" s="1"/>
  <c r="B160" i="84" l="1"/>
  <c r="B161" i="84" l="1"/>
  <c r="C161" i="84" s="1"/>
  <c r="B153" i="84"/>
  <c r="B154" i="84"/>
  <c r="B159" i="84"/>
  <c r="B157" i="84"/>
  <c r="B155" i="84"/>
  <c r="B152" i="84"/>
  <c r="B158" i="84"/>
  <c r="B156" i="84"/>
  <c r="C156" i="84" l="1"/>
  <c r="C154" i="84"/>
  <c r="C158" i="84"/>
  <c r="C157" i="84"/>
  <c r="I153" i="84"/>
  <c r="N153" i="84" s="1"/>
  <c r="B165" i="84"/>
  <c r="C155" i="84"/>
  <c r="C159" i="84"/>
  <c r="C153" i="84"/>
  <c r="D153" i="84" s="1"/>
  <c r="C160" i="84"/>
  <c r="D157" i="84" l="1"/>
  <c r="D158" i="84"/>
  <c r="D155" i="84"/>
  <c r="D159" i="84"/>
  <c r="D154" i="84"/>
  <c r="D156" i="84"/>
  <c r="D160" i="84"/>
  <c r="D161" i="84"/>
  <c r="I154" i="84"/>
  <c r="N154" i="84" s="1"/>
  <c r="I155" i="84" l="1"/>
  <c r="N155" i="84" s="1"/>
  <c r="I156" i="84" l="1"/>
  <c r="N156" i="84" s="1"/>
  <c r="I157" i="84" l="1"/>
  <c r="N157" i="84" s="1"/>
  <c r="I158" i="84" l="1"/>
  <c r="N158" i="84" s="1"/>
  <c r="I159" i="84" l="1"/>
  <c r="N159" i="84" s="1"/>
  <c r="I160" i="84" l="1"/>
  <c r="N160" i="84" s="1"/>
  <c r="I161" i="84" l="1"/>
  <c r="N161" i="84" s="1"/>
  <c r="I163" i="84" l="1"/>
  <c r="N163" i="84" s="1"/>
  <c r="I150" i="84"/>
  <c r="I165" i="84"/>
  <c r="J165" i="84" s="1"/>
  <c r="I167" i="84" l="1"/>
  <c r="J167" i="84" s="1"/>
  <c r="K28" i="11" l="1"/>
  <c r="H12" i="9"/>
  <c r="J28" i="11"/>
  <c r="I28" i="11"/>
  <c r="H28" i="11"/>
  <c r="G28" i="11"/>
  <c r="F28" i="11"/>
  <c r="E28" i="11"/>
  <c r="D28" i="11"/>
  <c r="C28" i="11"/>
  <c r="D16" i="72" l="1"/>
  <c r="I16" i="72" s="1"/>
  <c r="D17" i="72"/>
  <c r="I17" i="72" s="1"/>
  <c r="D18" i="72"/>
  <c r="I18" i="72" s="1"/>
  <c r="D19" i="72"/>
  <c r="I19" i="72" s="1"/>
  <c r="D20" i="72"/>
  <c r="I20" i="72" s="1"/>
  <c r="D21" i="72"/>
  <c r="I21" i="72" s="1"/>
  <c r="D22" i="72"/>
  <c r="I22" i="72" s="1"/>
  <c r="D23" i="72"/>
  <c r="I23" i="72" s="1"/>
  <c r="D24" i="72"/>
  <c r="I24" i="72" s="1"/>
  <c r="D25" i="72"/>
  <c r="I25" i="72" s="1"/>
  <c r="D26" i="72"/>
  <c r="I26" i="72" s="1"/>
  <c r="D15" i="72"/>
  <c r="I15" i="72" s="1"/>
  <c r="D34" i="72" l="1"/>
  <c r="I34" i="72" s="1"/>
  <c r="D33" i="72"/>
  <c r="I33" i="72" s="1"/>
  <c r="D32" i="72"/>
  <c r="I32" i="72" s="1"/>
  <c r="D31" i="72"/>
  <c r="I31" i="72" s="1"/>
  <c r="D30" i="72"/>
  <c r="I30" i="72" s="1"/>
  <c r="D29" i="72"/>
  <c r="I29" i="72" s="1"/>
  <c r="D38" i="72"/>
  <c r="I38" i="72" s="1"/>
  <c r="D36" i="72"/>
  <c r="I36" i="72" s="1"/>
  <c r="D27" i="72"/>
  <c r="I27" i="72" s="1"/>
  <c r="D37" i="72"/>
  <c r="I37" i="72" s="1"/>
  <c r="D28" i="72"/>
  <c r="I28" i="72" s="1"/>
  <c r="D45" i="72"/>
  <c r="I45" i="72" s="1"/>
  <c r="D35" i="72"/>
  <c r="I35" i="72" s="1"/>
  <c r="F146" i="72"/>
  <c r="F145" i="72"/>
  <c r="F144" i="72"/>
  <c r="F143" i="72"/>
  <c r="F142" i="72"/>
  <c r="F141" i="72"/>
  <c r="F140" i="72"/>
  <c r="F139" i="72"/>
  <c r="F138" i="72"/>
  <c r="F137" i="72"/>
  <c r="F136" i="72"/>
  <c r="F135" i="72"/>
  <c r="F124" i="72"/>
  <c r="F125" i="72"/>
  <c r="F126" i="72"/>
  <c r="F127" i="72"/>
  <c r="F128" i="72"/>
  <c r="F129" i="72"/>
  <c r="F130" i="72"/>
  <c r="F131" i="72"/>
  <c r="F132" i="72"/>
  <c r="F133" i="72"/>
  <c r="F134" i="72"/>
  <c r="F123" i="72"/>
  <c r="E124" i="72"/>
  <c r="E137" i="72"/>
  <c r="E126" i="72"/>
  <c r="E127" i="72"/>
  <c r="E140" i="72"/>
  <c r="E129" i="72"/>
  <c r="E130" i="72"/>
  <c r="E131" i="72"/>
  <c r="E135" i="72"/>
  <c r="D41" i="72" l="1"/>
  <c r="I41" i="72" s="1"/>
  <c r="D42" i="72"/>
  <c r="I42" i="72" s="1"/>
  <c r="D39" i="72"/>
  <c r="I39" i="72" s="1"/>
  <c r="D49" i="72"/>
  <c r="I49" i="72" s="1"/>
  <c r="D43" i="72"/>
  <c r="I43" i="72" s="1"/>
  <c r="D44" i="72"/>
  <c r="I44" i="72" s="1"/>
  <c r="D48" i="72"/>
  <c r="I48" i="72" s="1"/>
  <c r="D40" i="72"/>
  <c r="I40" i="72" s="1"/>
  <c r="D50" i="72"/>
  <c r="I50" i="72" s="1"/>
  <c r="D46" i="72"/>
  <c r="I46" i="72" s="1"/>
  <c r="D47" i="72"/>
  <c r="I47" i="72" s="1"/>
  <c r="E146" i="72"/>
  <c r="E133" i="72"/>
  <c r="E144" i="72"/>
  <c r="D57" i="72"/>
  <c r="I57" i="72" s="1"/>
  <c r="E141" i="72"/>
  <c r="E143" i="72"/>
  <c r="E128" i="72"/>
  <c r="E145" i="72"/>
  <c r="E142" i="72"/>
  <c r="E139" i="72"/>
  <c r="E138" i="72"/>
  <c r="E125" i="72"/>
  <c r="E132" i="72"/>
  <c r="E136" i="72"/>
  <c r="E123" i="72"/>
  <c r="E134" i="72"/>
  <c r="M27" i="11"/>
  <c r="L27" i="11"/>
  <c r="D52" i="72" l="1"/>
  <c r="I52" i="72" s="1"/>
  <c r="D55" i="72"/>
  <c r="I55" i="72" s="1"/>
  <c r="D56" i="72"/>
  <c r="I56" i="72" s="1"/>
  <c r="D54" i="72"/>
  <c r="I54" i="72" s="1"/>
  <c r="D62" i="72"/>
  <c r="I62" i="72" s="1"/>
  <c r="D60" i="72"/>
  <c r="I60" i="72" s="1"/>
  <c r="D61" i="72"/>
  <c r="I61" i="72" s="1"/>
  <c r="D58" i="72"/>
  <c r="I58" i="72" s="1"/>
  <c r="D51" i="72"/>
  <c r="I51" i="72" s="1"/>
  <c r="D53" i="72"/>
  <c r="I53" i="72" s="1"/>
  <c r="D67" i="72"/>
  <c r="I67" i="72" s="1"/>
  <c r="D69" i="72"/>
  <c r="I69" i="72" s="1"/>
  <c r="D64" i="72"/>
  <c r="I64" i="72" s="1"/>
  <c r="D59" i="72"/>
  <c r="I59" i="72" s="1"/>
  <c r="H34" i="9"/>
  <c r="D68" i="72" l="1"/>
  <c r="I68" i="72" s="1"/>
  <c r="D66" i="72"/>
  <c r="I66" i="72" s="1"/>
  <c r="D63" i="72"/>
  <c r="I63" i="72" s="1"/>
  <c r="D72" i="72"/>
  <c r="I72" i="72" s="1"/>
  <c r="D70" i="72"/>
  <c r="I70" i="72" s="1"/>
  <c r="D73" i="72"/>
  <c r="I73" i="72" s="1"/>
  <c r="D65" i="72"/>
  <c r="I65" i="72" s="1"/>
  <c r="D74" i="72"/>
  <c r="I74" i="72" s="1"/>
  <c r="D80" i="72"/>
  <c r="I80" i="72" s="1"/>
  <c r="D76" i="72"/>
  <c r="I76" i="72" s="1"/>
  <c r="D78" i="72"/>
  <c r="I78" i="72" s="1"/>
  <c r="D81" i="72"/>
  <c r="I81" i="72" s="1"/>
  <c r="D71" i="72"/>
  <c r="I71" i="72" s="1"/>
  <c r="D79" i="72"/>
  <c r="I79" i="72" s="1"/>
  <c r="I152" i="72"/>
  <c r="C3" i="9" l="1"/>
  <c r="D86" i="72"/>
  <c r="I86" i="72" s="1"/>
  <c r="D85" i="72"/>
  <c r="I85" i="72" s="1"/>
  <c r="D84" i="72"/>
  <c r="I84" i="72" s="1"/>
  <c r="D82" i="72"/>
  <c r="I82" i="72" s="1"/>
  <c r="D77" i="72"/>
  <c r="I77" i="72" s="1"/>
  <c r="D75" i="72"/>
  <c r="I75" i="72" s="1"/>
  <c r="D83" i="72"/>
  <c r="I83" i="72" s="1"/>
  <c r="D93" i="72"/>
  <c r="I93" i="72" s="1"/>
  <c r="D90" i="72"/>
  <c r="I90" i="72" s="1"/>
  <c r="D88" i="72"/>
  <c r="I88" i="72" s="1"/>
  <c r="D91" i="72"/>
  <c r="I91" i="72" s="1"/>
  <c r="D92" i="72"/>
  <c r="I92" i="72" s="1"/>
  <c r="D94" i="72" l="1"/>
  <c r="I94" i="72" s="1"/>
  <c r="D96" i="72"/>
  <c r="I96" i="72" s="1"/>
  <c r="D97" i="72"/>
  <c r="I97" i="72" s="1"/>
  <c r="D87" i="72"/>
  <c r="I87" i="72" s="1"/>
  <c r="D89" i="72"/>
  <c r="I89" i="72" s="1"/>
  <c r="D98" i="72"/>
  <c r="I98" i="72" s="1"/>
  <c r="D100" i="72"/>
  <c r="I100" i="72" s="1"/>
  <c r="D102" i="72"/>
  <c r="I102" i="72" s="1"/>
  <c r="D105" i="72"/>
  <c r="I105" i="72" s="1"/>
  <c r="D104" i="72"/>
  <c r="I104" i="72" s="1"/>
  <c r="D103" i="72"/>
  <c r="I103" i="72" s="1"/>
  <c r="D95" i="72"/>
  <c r="I95" i="72" s="1"/>
  <c r="D99" i="72" l="1"/>
  <c r="I99" i="72" s="1"/>
  <c r="D110" i="72"/>
  <c r="I110" i="72" s="1"/>
  <c r="D101" i="72"/>
  <c r="I101" i="72" s="1"/>
  <c r="D109" i="72"/>
  <c r="I109" i="72" s="1"/>
  <c r="D108" i="72"/>
  <c r="I108" i="72" s="1"/>
  <c r="D106" i="72"/>
  <c r="I106" i="72" s="1"/>
  <c r="D115" i="72"/>
  <c r="I115" i="72" s="1"/>
  <c r="D116" i="72"/>
  <c r="I116" i="72" s="1"/>
  <c r="D117" i="72"/>
  <c r="I117" i="72" s="1"/>
  <c r="D114" i="72"/>
  <c r="I114" i="72" s="1"/>
  <c r="D107" i="72"/>
  <c r="I107" i="72" s="1"/>
  <c r="D112" i="72"/>
  <c r="I112" i="72" s="1"/>
  <c r="D113" i="72" l="1"/>
  <c r="I113" i="72" s="1"/>
  <c r="D118" i="72"/>
  <c r="I118" i="72" s="1"/>
  <c r="D121" i="72"/>
  <c r="I121" i="72" s="1"/>
  <c r="D120" i="72"/>
  <c r="I120" i="72" s="1"/>
  <c r="D122" i="72"/>
  <c r="I122" i="72" s="1"/>
  <c r="D111" i="72"/>
  <c r="I111" i="72" s="1"/>
  <c r="D119" i="72"/>
  <c r="I119" i="72" s="1"/>
  <c r="D126" i="72"/>
  <c r="I126" i="72" s="1"/>
  <c r="D129" i="72"/>
  <c r="I129" i="72" s="1"/>
  <c r="D128" i="72"/>
  <c r="I128" i="72" s="1"/>
  <c r="D125" i="72"/>
  <c r="I125" i="72" s="1"/>
  <c r="D124" i="72"/>
  <c r="I124" i="72" s="1"/>
  <c r="D127" i="72"/>
  <c r="I127" i="72" s="1"/>
  <c r="D134" i="72" l="1"/>
  <c r="I134" i="72" s="1"/>
  <c r="D123" i="72"/>
  <c r="I123" i="72" s="1"/>
  <c r="D132" i="72"/>
  <c r="I132" i="72" s="1"/>
  <c r="D133" i="72"/>
  <c r="I133" i="72" s="1"/>
  <c r="D130" i="72"/>
  <c r="I130" i="72" s="1"/>
  <c r="D136" i="72"/>
  <c r="I136" i="72" s="1"/>
  <c r="D137" i="72"/>
  <c r="I137" i="72" s="1"/>
  <c r="D140" i="72"/>
  <c r="I140" i="72" s="1"/>
  <c r="D141" i="72"/>
  <c r="I141" i="72" s="1"/>
  <c r="D138" i="72"/>
  <c r="I138" i="72" s="1"/>
  <c r="D139" i="72"/>
  <c r="I139" i="72" s="1"/>
  <c r="D131" i="72"/>
  <c r="I131" i="72" s="1"/>
  <c r="L3" i="9"/>
  <c r="D144" i="72" l="1"/>
  <c r="I144" i="72" s="1"/>
  <c r="D142" i="72"/>
  <c r="I142" i="72" s="1"/>
  <c r="D145" i="72"/>
  <c r="I145" i="72" s="1"/>
  <c r="D135" i="72"/>
  <c r="I135" i="72" s="1"/>
  <c r="D146" i="72"/>
  <c r="I146" i="72" s="1"/>
  <c r="D143" i="72"/>
  <c r="I143" i="72" s="1"/>
  <c r="W133" i="73"/>
  <c r="W134" i="73" s="1"/>
  <c r="W135" i="73" s="1"/>
  <c r="W136" i="73" s="1"/>
  <c r="W137" i="73" s="1"/>
  <c r="W138" i="73" s="1"/>
  <c r="W139" i="73" s="1"/>
  <c r="W140" i="73" s="1"/>
  <c r="W141" i="73" s="1"/>
  <c r="W142" i="73" s="1"/>
  <c r="W143" i="73" s="1"/>
  <c r="T133" i="73"/>
  <c r="T134" i="73" s="1"/>
  <c r="T135" i="73" s="1"/>
  <c r="T136" i="73" s="1"/>
  <c r="T137" i="73" s="1"/>
  <c r="T138" i="73" s="1"/>
  <c r="T139" i="73" s="1"/>
  <c r="T140" i="73" s="1"/>
  <c r="T141" i="73" s="1"/>
  <c r="T142" i="73" s="1"/>
  <c r="T143" i="73" s="1"/>
  <c r="Q133" i="73"/>
  <c r="Q134" i="73" s="1"/>
  <c r="Q135" i="73" s="1"/>
  <c r="Q136" i="73" s="1"/>
  <c r="Q137" i="73" s="1"/>
  <c r="Q138" i="73" s="1"/>
  <c r="Q139" i="73" s="1"/>
  <c r="Q140" i="73" s="1"/>
  <c r="Q141" i="73" s="1"/>
  <c r="Q142" i="73" s="1"/>
  <c r="Q143" i="73" s="1"/>
  <c r="O133" i="73"/>
  <c r="O134" i="73" s="1"/>
  <c r="O135" i="73" s="1"/>
  <c r="O136" i="73" s="1"/>
  <c r="O137" i="73" s="1"/>
  <c r="O138" i="73" s="1"/>
  <c r="O139" i="73" s="1"/>
  <c r="O140" i="73" s="1"/>
  <c r="O141" i="73" s="1"/>
  <c r="O142" i="73" s="1"/>
  <c r="O143" i="73" s="1"/>
  <c r="L133" i="73"/>
  <c r="L134" i="73" s="1"/>
  <c r="L135" i="73" s="1"/>
  <c r="L136" i="73" s="1"/>
  <c r="L137" i="73" s="1"/>
  <c r="L138" i="73" s="1"/>
  <c r="L139" i="73" s="1"/>
  <c r="L140" i="73" s="1"/>
  <c r="L141" i="73" s="1"/>
  <c r="L142" i="73" s="1"/>
  <c r="L143" i="73" s="1"/>
  <c r="I133" i="73"/>
  <c r="I134" i="73" s="1"/>
  <c r="I135" i="73" s="1"/>
  <c r="I136" i="73" s="1"/>
  <c r="I137" i="73" s="1"/>
  <c r="I138" i="73" s="1"/>
  <c r="I139" i="73" s="1"/>
  <c r="I140" i="73" s="1"/>
  <c r="I141" i="73" s="1"/>
  <c r="I142" i="73" s="1"/>
  <c r="I143" i="73" s="1"/>
  <c r="G133" i="73"/>
  <c r="G134" i="73" s="1"/>
  <c r="G135" i="73" s="1"/>
  <c r="G136" i="73" s="1"/>
  <c r="G137" i="73" s="1"/>
  <c r="G138" i="73" s="1"/>
  <c r="G139" i="73" s="1"/>
  <c r="G140" i="73" s="1"/>
  <c r="G141" i="73" s="1"/>
  <c r="G142" i="73" s="1"/>
  <c r="G143" i="73" s="1"/>
  <c r="W121" i="73"/>
  <c r="W122" i="73" s="1"/>
  <c r="W123" i="73" s="1"/>
  <c r="W124" i="73" s="1"/>
  <c r="W125" i="73" s="1"/>
  <c r="W126" i="73" s="1"/>
  <c r="W127" i="73" s="1"/>
  <c r="W128" i="73" s="1"/>
  <c r="W129" i="73" s="1"/>
  <c r="W130" i="73" s="1"/>
  <c r="W131" i="73" s="1"/>
  <c r="T121" i="73"/>
  <c r="T122" i="73" s="1"/>
  <c r="T123" i="73" s="1"/>
  <c r="T124" i="73" s="1"/>
  <c r="T125" i="73" s="1"/>
  <c r="T126" i="73" s="1"/>
  <c r="T127" i="73" s="1"/>
  <c r="T128" i="73" s="1"/>
  <c r="T129" i="73" s="1"/>
  <c r="T130" i="73" s="1"/>
  <c r="T131" i="73" s="1"/>
  <c r="Q121" i="73"/>
  <c r="Q122" i="73" s="1"/>
  <c r="Q123" i="73" s="1"/>
  <c r="Q124" i="73" s="1"/>
  <c r="Q125" i="73" s="1"/>
  <c r="Q126" i="73" s="1"/>
  <c r="Q127" i="73" s="1"/>
  <c r="Q128" i="73" s="1"/>
  <c r="Q129" i="73" s="1"/>
  <c r="Q130" i="73" s="1"/>
  <c r="Q131" i="73" s="1"/>
  <c r="O121" i="73"/>
  <c r="O122" i="73" s="1"/>
  <c r="O123" i="73" s="1"/>
  <c r="O124" i="73" s="1"/>
  <c r="O125" i="73" s="1"/>
  <c r="O126" i="73" s="1"/>
  <c r="O127" i="73" s="1"/>
  <c r="O128" i="73" s="1"/>
  <c r="O129" i="73" s="1"/>
  <c r="O130" i="73" s="1"/>
  <c r="O131" i="73" s="1"/>
  <c r="L121" i="73"/>
  <c r="L122" i="73" s="1"/>
  <c r="L123" i="73" s="1"/>
  <c r="L124" i="73" s="1"/>
  <c r="L125" i="73" s="1"/>
  <c r="L126" i="73" s="1"/>
  <c r="L127" i="73" s="1"/>
  <c r="L128" i="73" s="1"/>
  <c r="L129" i="73" s="1"/>
  <c r="L130" i="73" s="1"/>
  <c r="L131" i="73" s="1"/>
  <c r="I121" i="73"/>
  <c r="I122" i="73" s="1"/>
  <c r="I123" i="73" s="1"/>
  <c r="I124" i="73" s="1"/>
  <c r="I125" i="73" s="1"/>
  <c r="I126" i="73" s="1"/>
  <c r="I127" i="73" s="1"/>
  <c r="I128" i="73" s="1"/>
  <c r="I129" i="73" s="1"/>
  <c r="I130" i="73" s="1"/>
  <c r="I131" i="73" s="1"/>
  <c r="W109" i="73"/>
  <c r="W110" i="73" s="1"/>
  <c r="W111" i="73" s="1"/>
  <c r="W112" i="73" s="1"/>
  <c r="W113" i="73" s="1"/>
  <c r="W114" i="73" s="1"/>
  <c r="W115" i="73" s="1"/>
  <c r="W116" i="73" s="1"/>
  <c r="W117" i="73" s="1"/>
  <c r="W118" i="73" s="1"/>
  <c r="W119" i="73" s="1"/>
  <c r="T109" i="73"/>
  <c r="T110" i="73" s="1"/>
  <c r="T111" i="73" s="1"/>
  <c r="T112" i="73" s="1"/>
  <c r="T113" i="73" s="1"/>
  <c r="T114" i="73" s="1"/>
  <c r="T115" i="73" s="1"/>
  <c r="T116" i="73" s="1"/>
  <c r="T117" i="73" s="1"/>
  <c r="T118" i="73" s="1"/>
  <c r="T119" i="73" s="1"/>
  <c r="Q109" i="73"/>
  <c r="Q110" i="73" s="1"/>
  <c r="Q111" i="73" s="1"/>
  <c r="Q112" i="73" s="1"/>
  <c r="Q113" i="73" s="1"/>
  <c r="Q114" i="73" s="1"/>
  <c r="Q115" i="73" s="1"/>
  <c r="Q116" i="73" s="1"/>
  <c r="Q117" i="73" s="1"/>
  <c r="Q118" i="73" s="1"/>
  <c r="Q119" i="73" s="1"/>
  <c r="O109" i="73"/>
  <c r="O110" i="73" s="1"/>
  <c r="O111" i="73" s="1"/>
  <c r="O112" i="73" s="1"/>
  <c r="O113" i="73" s="1"/>
  <c r="O114" i="73" s="1"/>
  <c r="O115" i="73" s="1"/>
  <c r="O116" i="73" s="1"/>
  <c r="O117" i="73" s="1"/>
  <c r="O118" i="73" s="1"/>
  <c r="O119" i="73" s="1"/>
  <c r="L109" i="73"/>
  <c r="L110" i="73" s="1"/>
  <c r="L111" i="73" s="1"/>
  <c r="L112" i="73" s="1"/>
  <c r="L113" i="73" s="1"/>
  <c r="L114" i="73" s="1"/>
  <c r="L115" i="73" s="1"/>
  <c r="L116" i="73" s="1"/>
  <c r="L117" i="73" s="1"/>
  <c r="L118" i="73" s="1"/>
  <c r="L119" i="73" s="1"/>
  <c r="I109" i="73"/>
  <c r="I110" i="73" s="1"/>
  <c r="I111" i="73" s="1"/>
  <c r="I112" i="73" s="1"/>
  <c r="I113" i="73" s="1"/>
  <c r="I114" i="73" s="1"/>
  <c r="I115" i="73" s="1"/>
  <c r="I116" i="73" s="1"/>
  <c r="I117" i="73" s="1"/>
  <c r="I118" i="73" s="1"/>
  <c r="I119" i="73" s="1"/>
  <c r="W97" i="73"/>
  <c r="W98" i="73" s="1"/>
  <c r="W99" i="73" s="1"/>
  <c r="W100" i="73" s="1"/>
  <c r="W101" i="73" s="1"/>
  <c r="W102" i="73" s="1"/>
  <c r="W103" i="73" s="1"/>
  <c r="W104" i="73" s="1"/>
  <c r="W105" i="73" s="1"/>
  <c r="W106" i="73" s="1"/>
  <c r="W107" i="73" s="1"/>
  <c r="T97" i="73"/>
  <c r="T98" i="73" s="1"/>
  <c r="T99" i="73" s="1"/>
  <c r="T100" i="73" s="1"/>
  <c r="T101" i="73" s="1"/>
  <c r="T102" i="73" s="1"/>
  <c r="T103" i="73" s="1"/>
  <c r="T104" i="73" s="1"/>
  <c r="T105" i="73" s="1"/>
  <c r="T106" i="73" s="1"/>
  <c r="T107" i="73" s="1"/>
  <c r="Q97" i="73"/>
  <c r="Q98" i="73" s="1"/>
  <c r="Q99" i="73" s="1"/>
  <c r="Q100" i="73" s="1"/>
  <c r="Q101" i="73" s="1"/>
  <c r="Q102" i="73" s="1"/>
  <c r="Q103" i="73" s="1"/>
  <c r="Q104" i="73" s="1"/>
  <c r="Q105" i="73" s="1"/>
  <c r="Q106" i="73" s="1"/>
  <c r="Q107" i="73" s="1"/>
  <c r="O97" i="73"/>
  <c r="O98" i="73" s="1"/>
  <c r="O99" i="73" s="1"/>
  <c r="O100" i="73" s="1"/>
  <c r="O101" i="73" s="1"/>
  <c r="O102" i="73" s="1"/>
  <c r="O103" i="73" s="1"/>
  <c r="O104" i="73" s="1"/>
  <c r="O105" i="73" s="1"/>
  <c r="O106" i="73" s="1"/>
  <c r="O107" i="73" s="1"/>
  <c r="L97" i="73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I97" i="73"/>
  <c r="I98" i="73" s="1"/>
  <c r="I99" i="73" s="1"/>
  <c r="I100" i="73" s="1"/>
  <c r="I101" i="73" s="1"/>
  <c r="I102" i="73" s="1"/>
  <c r="I103" i="73" s="1"/>
  <c r="I104" i="73" s="1"/>
  <c r="I105" i="73" s="1"/>
  <c r="I106" i="73" s="1"/>
  <c r="I107" i="73" s="1"/>
  <c r="W85" i="73"/>
  <c r="W86" i="73" s="1"/>
  <c r="W87" i="73" s="1"/>
  <c r="W88" i="73" s="1"/>
  <c r="W89" i="73" s="1"/>
  <c r="W90" i="73" s="1"/>
  <c r="W91" i="73" s="1"/>
  <c r="W92" i="73" s="1"/>
  <c r="W93" i="73" s="1"/>
  <c r="W94" i="73" s="1"/>
  <c r="W95" i="73" s="1"/>
  <c r="T85" i="73"/>
  <c r="T86" i="73" s="1"/>
  <c r="T87" i="73" s="1"/>
  <c r="T88" i="73" s="1"/>
  <c r="T89" i="73" s="1"/>
  <c r="T90" i="73" s="1"/>
  <c r="T91" i="73" s="1"/>
  <c r="T92" i="73" s="1"/>
  <c r="T93" i="73" s="1"/>
  <c r="T94" i="73" s="1"/>
  <c r="T95" i="73" s="1"/>
  <c r="Q85" i="73"/>
  <c r="Q86" i="73" s="1"/>
  <c r="Q87" i="73" s="1"/>
  <c r="Q88" i="73" s="1"/>
  <c r="Q89" i="73" s="1"/>
  <c r="Q90" i="73" s="1"/>
  <c r="Q91" i="73" s="1"/>
  <c r="Q92" i="73" s="1"/>
  <c r="Q93" i="73" s="1"/>
  <c r="Q94" i="73" s="1"/>
  <c r="Q95" i="73" s="1"/>
  <c r="O85" i="73"/>
  <c r="O86" i="73" s="1"/>
  <c r="O87" i="73" s="1"/>
  <c r="O88" i="73" s="1"/>
  <c r="O89" i="73" s="1"/>
  <c r="O90" i="73" s="1"/>
  <c r="O91" i="73" s="1"/>
  <c r="O92" i="73" s="1"/>
  <c r="O93" i="73" s="1"/>
  <c r="O94" i="73" s="1"/>
  <c r="O95" i="73" s="1"/>
  <c r="L85" i="73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I85" i="73"/>
  <c r="I86" i="73" s="1"/>
  <c r="I87" i="73" s="1"/>
  <c r="I88" i="73" s="1"/>
  <c r="I89" i="73" s="1"/>
  <c r="I90" i="73" s="1"/>
  <c r="I91" i="73" s="1"/>
  <c r="I92" i="73" s="1"/>
  <c r="I93" i="73" s="1"/>
  <c r="I94" i="73" s="1"/>
  <c r="I95" i="73" s="1"/>
  <c r="W73" i="73"/>
  <c r="W74" i="73" s="1"/>
  <c r="W75" i="73" s="1"/>
  <c r="W76" i="73" s="1"/>
  <c r="W77" i="73" s="1"/>
  <c r="W78" i="73" s="1"/>
  <c r="W79" i="73" s="1"/>
  <c r="W80" i="73" s="1"/>
  <c r="W81" i="73" s="1"/>
  <c r="W82" i="73" s="1"/>
  <c r="W83" i="73" s="1"/>
  <c r="T73" i="73"/>
  <c r="T74" i="73" s="1"/>
  <c r="T75" i="73" s="1"/>
  <c r="T76" i="73" s="1"/>
  <c r="T77" i="73" s="1"/>
  <c r="T78" i="73" s="1"/>
  <c r="T79" i="73" s="1"/>
  <c r="T80" i="73" s="1"/>
  <c r="T81" i="73" s="1"/>
  <c r="T82" i="73" s="1"/>
  <c r="T83" i="73" s="1"/>
  <c r="Q73" i="73"/>
  <c r="Q74" i="73" s="1"/>
  <c r="Q75" i="73" s="1"/>
  <c r="Q76" i="73" s="1"/>
  <c r="Q77" i="73" s="1"/>
  <c r="Q78" i="73" s="1"/>
  <c r="Q79" i="73" s="1"/>
  <c r="Q80" i="73" s="1"/>
  <c r="Q81" i="73" s="1"/>
  <c r="Q82" i="73" s="1"/>
  <c r="Q83" i="73" s="1"/>
  <c r="O73" i="73"/>
  <c r="O74" i="73" s="1"/>
  <c r="O75" i="73" s="1"/>
  <c r="O76" i="73" s="1"/>
  <c r="O77" i="73" s="1"/>
  <c r="O78" i="73" s="1"/>
  <c r="O79" i="73" s="1"/>
  <c r="O80" i="73" s="1"/>
  <c r="O81" i="73" s="1"/>
  <c r="O82" i="73" s="1"/>
  <c r="O83" i="73" s="1"/>
  <c r="L73" i="73"/>
  <c r="L74" i="73" s="1"/>
  <c r="L75" i="73" s="1"/>
  <c r="L76" i="73" s="1"/>
  <c r="L77" i="73" s="1"/>
  <c r="L78" i="73" s="1"/>
  <c r="L79" i="73" s="1"/>
  <c r="L80" i="73" s="1"/>
  <c r="L81" i="73" s="1"/>
  <c r="L82" i="73" s="1"/>
  <c r="L83" i="73" s="1"/>
  <c r="I73" i="73"/>
  <c r="I74" i="73" s="1"/>
  <c r="I75" i="73" s="1"/>
  <c r="I76" i="73" s="1"/>
  <c r="I77" i="73" s="1"/>
  <c r="I78" i="73" s="1"/>
  <c r="I79" i="73" s="1"/>
  <c r="I80" i="73" s="1"/>
  <c r="I81" i="73" s="1"/>
  <c r="I82" i="73" s="1"/>
  <c r="I83" i="73" s="1"/>
  <c r="W61" i="73"/>
  <c r="W62" i="73" s="1"/>
  <c r="W63" i="73" s="1"/>
  <c r="W64" i="73" s="1"/>
  <c r="W65" i="73" s="1"/>
  <c r="W66" i="73" s="1"/>
  <c r="W67" i="73" s="1"/>
  <c r="W68" i="73" s="1"/>
  <c r="W69" i="73" s="1"/>
  <c r="W70" i="73" s="1"/>
  <c r="W71" i="73" s="1"/>
  <c r="T61" i="73"/>
  <c r="T62" i="73" s="1"/>
  <c r="T63" i="73" s="1"/>
  <c r="T64" i="73" s="1"/>
  <c r="T65" i="73" s="1"/>
  <c r="T66" i="73" s="1"/>
  <c r="T67" i="73" s="1"/>
  <c r="T68" i="73" s="1"/>
  <c r="T69" i="73" s="1"/>
  <c r="T70" i="73" s="1"/>
  <c r="T71" i="73" s="1"/>
  <c r="Q61" i="73"/>
  <c r="Q62" i="73" s="1"/>
  <c r="Q63" i="73" s="1"/>
  <c r="Q64" i="73" s="1"/>
  <c r="Q65" i="73" s="1"/>
  <c r="Q66" i="73" s="1"/>
  <c r="Q67" i="73" s="1"/>
  <c r="Q68" i="73" s="1"/>
  <c r="Q69" i="73" s="1"/>
  <c r="Q70" i="73" s="1"/>
  <c r="Q71" i="73" s="1"/>
  <c r="O61" i="73"/>
  <c r="O62" i="73" s="1"/>
  <c r="O63" i="73" s="1"/>
  <c r="O64" i="73" s="1"/>
  <c r="O65" i="73" s="1"/>
  <c r="O66" i="73" s="1"/>
  <c r="O67" i="73" s="1"/>
  <c r="O68" i="73" s="1"/>
  <c r="O69" i="73" s="1"/>
  <c r="O70" i="73" s="1"/>
  <c r="O71" i="73" s="1"/>
  <c r="L61" i="73"/>
  <c r="L62" i="73" s="1"/>
  <c r="L63" i="73" s="1"/>
  <c r="L64" i="73" s="1"/>
  <c r="L65" i="73" s="1"/>
  <c r="L66" i="73" s="1"/>
  <c r="L67" i="73" s="1"/>
  <c r="L68" i="73" s="1"/>
  <c r="L69" i="73" s="1"/>
  <c r="L70" i="73" s="1"/>
  <c r="L71" i="73" s="1"/>
  <c r="I61" i="73"/>
  <c r="I62" i="73" s="1"/>
  <c r="I63" i="73" s="1"/>
  <c r="I64" i="73" s="1"/>
  <c r="I65" i="73" s="1"/>
  <c r="I66" i="73" s="1"/>
  <c r="I67" i="73" s="1"/>
  <c r="I68" i="73" s="1"/>
  <c r="I69" i="73" s="1"/>
  <c r="I70" i="73" s="1"/>
  <c r="I71" i="73" s="1"/>
  <c r="W49" i="73"/>
  <c r="W50" i="73" s="1"/>
  <c r="W51" i="73" s="1"/>
  <c r="W52" i="73" s="1"/>
  <c r="W53" i="73" s="1"/>
  <c r="W54" i="73" s="1"/>
  <c r="W55" i="73" s="1"/>
  <c r="W56" i="73" s="1"/>
  <c r="W57" i="73" s="1"/>
  <c r="W58" i="73" s="1"/>
  <c r="W59" i="73" s="1"/>
  <c r="T49" i="73"/>
  <c r="T50" i="73" s="1"/>
  <c r="T51" i="73" s="1"/>
  <c r="T52" i="73" s="1"/>
  <c r="T53" i="73" s="1"/>
  <c r="T54" i="73" s="1"/>
  <c r="T55" i="73" s="1"/>
  <c r="T56" i="73" s="1"/>
  <c r="T57" i="73" s="1"/>
  <c r="T58" i="73" s="1"/>
  <c r="T59" i="73" s="1"/>
  <c r="Q49" i="73"/>
  <c r="Q50" i="73" s="1"/>
  <c r="Q51" i="73" s="1"/>
  <c r="Q52" i="73" s="1"/>
  <c r="Q53" i="73" s="1"/>
  <c r="Q54" i="73" s="1"/>
  <c r="Q55" i="73" s="1"/>
  <c r="Q56" i="73" s="1"/>
  <c r="Q57" i="73" s="1"/>
  <c r="Q58" i="73" s="1"/>
  <c r="Q59" i="73" s="1"/>
  <c r="O49" i="73"/>
  <c r="O50" i="73" s="1"/>
  <c r="O51" i="73" s="1"/>
  <c r="O52" i="73" s="1"/>
  <c r="O53" i="73" s="1"/>
  <c r="O54" i="73" s="1"/>
  <c r="O55" i="73" s="1"/>
  <c r="O56" i="73" s="1"/>
  <c r="O57" i="73" s="1"/>
  <c r="O58" i="73" s="1"/>
  <c r="O59" i="73" s="1"/>
  <c r="L49" i="73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G49" i="73"/>
  <c r="G50" i="73" s="1"/>
  <c r="G51" i="73" s="1"/>
  <c r="G52" i="73" s="1"/>
  <c r="G53" i="73" s="1"/>
  <c r="G54" i="73" s="1"/>
  <c r="G55" i="73" s="1"/>
  <c r="G56" i="73" s="1"/>
  <c r="G57" i="73" s="1"/>
  <c r="G58" i="73" s="1"/>
  <c r="G59" i="73" s="1"/>
  <c r="W37" i="73"/>
  <c r="W38" i="73" s="1"/>
  <c r="W39" i="73" s="1"/>
  <c r="W40" i="73" s="1"/>
  <c r="W41" i="73" s="1"/>
  <c r="W42" i="73" s="1"/>
  <c r="W43" i="73" s="1"/>
  <c r="W44" i="73" s="1"/>
  <c r="W45" i="73" s="1"/>
  <c r="W46" i="73" s="1"/>
  <c r="W47" i="73" s="1"/>
  <c r="T37" i="73"/>
  <c r="T38" i="73" s="1"/>
  <c r="T39" i="73" s="1"/>
  <c r="T40" i="73" s="1"/>
  <c r="T41" i="73" s="1"/>
  <c r="T42" i="73" s="1"/>
  <c r="T43" i="73" s="1"/>
  <c r="T44" i="73" s="1"/>
  <c r="T45" i="73" s="1"/>
  <c r="T46" i="73" s="1"/>
  <c r="T47" i="73" s="1"/>
  <c r="Q37" i="73"/>
  <c r="Q38" i="73" s="1"/>
  <c r="Q39" i="73" s="1"/>
  <c r="Q40" i="73" s="1"/>
  <c r="Q41" i="73" s="1"/>
  <c r="Q42" i="73" s="1"/>
  <c r="Q43" i="73" s="1"/>
  <c r="Q44" i="73" s="1"/>
  <c r="Q45" i="73" s="1"/>
  <c r="Q46" i="73" s="1"/>
  <c r="Q47" i="73" s="1"/>
  <c r="O37" i="73"/>
  <c r="O38" i="73" s="1"/>
  <c r="O39" i="73" s="1"/>
  <c r="O40" i="73" s="1"/>
  <c r="O41" i="73" s="1"/>
  <c r="O42" i="73" s="1"/>
  <c r="O43" i="73" s="1"/>
  <c r="O44" i="73" s="1"/>
  <c r="O45" i="73" s="1"/>
  <c r="O46" i="73" s="1"/>
  <c r="O47" i="73" s="1"/>
  <c r="L37" i="73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I37" i="73"/>
  <c r="I38" i="73" s="1"/>
  <c r="I39" i="73" s="1"/>
  <c r="I40" i="73" s="1"/>
  <c r="I41" i="73" s="1"/>
  <c r="I42" i="73" s="1"/>
  <c r="I43" i="73" s="1"/>
  <c r="I44" i="73" s="1"/>
  <c r="I45" i="73" s="1"/>
  <c r="I46" i="73" s="1"/>
  <c r="I47" i="73" s="1"/>
  <c r="W25" i="73"/>
  <c r="W26" i="73" s="1"/>
  <c r="W27" i="73" s="1"/>
  <c r="W28" i="73" s="1"/>
  <c r="W29" i="73" s="1"/>
  <c r="W30" i="73" s="1"/>
  <c r="W31" i="73" s="1"/>
  <c r="W32" i="73" s="1"/>
  <c r="W33" i="73" s="1"/>
  <c r="W34" i="73" s="1"/>
  <c r="W35" i="73" s="1"/>
  <c r="T25" i="73"/>
  <c r="T26" i="73" s="1"/>
  <c r="T27" i="73" s="1"/>
  <c r="T28" i="73" s="1"/>
  <c r="T29" i="73" s="1"/>
  <c r="T30" i="73" s="1"/>
  <c r="T31" i="73" s="1"/>
  <c r="T32" i="73" s="1"/>
  <c r="T33" i="73" s="1"/>
  <c r="T34" i="73" s="1"/>
  <c r="T35" i="73" s="1"/>
  <c r="Q25" i="73"/>
  <c r="Q26" i="73" s="1"/>
  <c r="Q27" i="73" s="1"/>
  <c r="Q28" i="73" s="1"/>
  <c r="Q29" i="73" s="1"/>
  <c r="Q30" i="73" s="1"/>
  <c r="Q31" i="73" s="1"/>
  <c r="Q32" i="73" s="1"/>
  <c r="Q33" i="73" s="1"/>
  <c r="Q34" i="73" s="1"/>
  <c r="Q35" i="73" s="1"/>
  <c r="O25" i="73"/>
  <c r="O26" i="73" s="1"/>
  <c r="O27" i="73" s="1"/>
  <c r="O28" i="73" s="1"/>
  <c r="O29" i="73" s="1"/>
  <c r="O30" i="73" s="1"/>
  <c r="O31" i="73" s="1"/>
  <c r="O32" i="73" s="1"/>
  <c r="O33" i="73" s="1"/>
  <c r="O34" i="73" s="1"/>
  <c r="O35" i="73" s="1"/>
  <c r="L25" i="73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I25" i="73"/>
  <c r="I26" i="73" s="1"/>
  <c r="I27" i="73" s="1"/>
  <c r="I28" i="73" s="1"/>
  <c r="I29" i="73" s="1"/>
  <c r="I30" i="73" s="1"/>
  <c r="I31" i="73" s="1"/>
  <c r="I32" i="73" s="1"/>
  <c r="I33" i="73" s="1"/>
  <c r="I34" i="73" s="1"/>
  <c r="I35" i="73" s="1"/>
  <c r="G85" i="73" l="1"/>
  <c r="G86" i="73" s="1"/>
  <c r="G87" i="73" s="1"/>
  <c r="G88" i="73" s="1"/>
  <c r="G89" i="73" s="1"/>
  <c r="G90" i="73" s="1"/>
  <c r="G91" i="73" s="1"/>
  <c r="G92" i="73" s="1"/>
  <c r="G93" i="73" s="1"/>
  <c r="G94" i="73" s="1"/>
  <c r="G95" i="73" s="1"/>
  <c r="G37" i="73"/>
  <c r="G38" i="73" s="1"/>
  <c r="G39" i="73" s="1"/>
  <c r="G40" i="73" s="1"/>
  <c r="G41" i="73" s="1"/>
  <c r="G42" i="73" s="1"/>
  <c r="G43" i="73" s="1"/>
  <c r="G44" i="73" s="1"/>
  <c r="G45" i="73" s="1"/>
  <c r="G46" i="73" s="1"/>
  <c r="G47" i="73" s="1"/>
  <c r="G25" i="73"/>
  <c r="G109" i="73"/>
  <c r="G110" i="73" s="1"/>
  <c r="G111" i="73" s="1"/>
  <c r="G112" i="73" s="1"/>
  <c r="G113" i="73" s="1"/>
  <c r="G114" i="73" s="1"/>
  <c r="G115" i="73" s="1"/>
  <c r="G116" i="73" s="1"/>
  <c r="G117" i="73" s="1"/>
  <c r="G118" i="73" s="1"/>
  <c r="G119" i="73" s="1"/>
  <c r="G97" i="73"/>
  <c r="G98" i="73" s="1"/>
  <c r="G99" i="73" s="1"/>
  <c r="G100" i="73" s="1"/>
  <c r="G101" i="73" s="1"/>
  <c r="G102" i="73" s="1"/>
  <c r="G103" i="73" s="1"/>
  <c r="G104" i="73" s="1"/>
  <c r="G105" i="73" s="1"/>
  <c r="G106" i="73" s="1"/>
  <c r="G107" i="73" s="1"/>
  <c r="G121" i="73"/>
  <c r="G122" i="73" s="1"/>
  <c r="G123" i="73" s="1"/>
  <c r="G124" i="73" s="1"/>
  <c r="G125" i="73" s="1"/>
  <c r="G126" i="73" s="1"/>
  <c r="G127" i="73" s="1"/>
  <c r="G128" i="73" s="1"/>
  <c r="G129" i="73" s="1"/>
  <c r="G130" i="73" s="1"/>
  <c r="G131" i="73" s="1"/>
  <c r="G61" i="73"/>
  <c r="G62" i="73" s="1"/>
  <c r="G63" i="73" s="1"/>
  <c r="G64" i="73" s="1"/>
  <c r="G65" i="73" s="1"/>
  <c r="G66" i="73" s="1"/>
  <c r="G67" i="73" s="1"/>
  <c r="G68" i="73" s="1"/>
  <c r="G69" i="73" s="1"/>
  <c r="G70" i="73" s="1"/>
  <c r="G71" i="73" s="1"/>
  <c r="I49" i="73"/>
  <c r="I50" i="73" s="1"/>
  <c r="I51" i="73" s="1"/>
  <c r="I52" i="73" s="1"/>
  <c r="I53" i="73" s="1"/>
  <c r="I54" i="73" s="1"/>
  <c r="I55" i="73" s="1"/>
  <c r="I56" i="73" s="1"/>
  <c r="I57" i="73" s="1"/>
  <c r="I58" i="73" s="1"/>
  <c r="I59" i="73" s="1"/>
  <c r="G73" i="73"/>
  <c r="G74" i="73" s="1"/>
  <c r="G75" i="73" s="1"/>
  <c r="G76" i="73" s="1"/>
  <c r="G77" i="73" s="1"/>
  <c r="G78" i="73" s="1"/>
  <c r="G79" i="73" s="1"/>
  <c r="G80" i="73" s="1"/>
  <c r="G81" i="73" s="1"/>
  <c r="G82" i="73" s="1"/>
  <c r="G83" i="73" s="1"/>
  <c r="G26" i="73" l="1"/>
  <c r="G27" i="73" s="1"/>
  <c r="G28" i="73" s="1"/>
  <c r="G29" i="73" s="1"/>
  <c r="G30" i="73" s="1"/>
  <c r="G31" i="73" s="1"/>
  <c r="G32" i="73" s="1"/>
  <c r="G33" i="73" s="1"/>
  <c r="G34" i="73" s="1"/>
  <c r="G35" i="73" s="1"/>
  <c r="B5" i="73"/>
  <c r="E6" i="73" l="1"/>
  <c r="E4" i="17" s="1"/>
  <c r="E7" i="73"/>
  <c r="E5" i="17" s="1"/>
  <c r="E8" i="73"/>
  <c r="E6" i="17" s="1"/>
  <c r="E9" i="73"/>
  <c r="E10" i="73"/>
  <c r="E8" i="17" s="1"/>
  <c r="E11" i="73"/>
  <c r="E9" i="17" s="1"/>
  <c r="E12" i="73"/>
  <c r="E13" i="73"/>
  <c r="E11" i="17" s="1"/>
  <c r="E14" i="73"/>
  <c r="E12" i="17" s="1"/>
  <c r="E5" i="73"/>
  <c r="M21" i="73"/>
  <c r="A26" i="11" s="1"/>
  <c r="E26" i="17" l="1"/>
  <c r="E3" i="17"/>
  <c r="E18" i="17" s="1"/>
  <c r="E10" i="17"/>
  <c r="I27" i="11" s="1"/>
  <c r="E7" i="17"/>
  <c r="E22" i="17" s="1"/>
  <c r="K27" i="11"/>
  <c r="K22" i="9"/>
  <c r="J27" i="11"/>
  <c r="H27" i="11"/>
  <c r="E23" i="17"/>
  <c r="G27" i="11"/>
  <c r="E20" i="17"/>
  <c r="E27" i="11"/>
  <c r="E19" i="17"/>
  <c r="D27" i="11"/>
  <c r="C27" i="11"/>
  <c r="A13" i="18"/>
  <c r="A12" i="18"/>
  <c r="A11" i="18"/>
  <c r="A10" i="18"/>
  <c r="A9" i="18"/>
  <c r="A8" i="18"/>
  <c r="A7" i="18"/>
  <c r="A6" i="18"/>
  <c r="A5" i="18"/>
  <c r="A4" i="18"/>
  <c r="A3" i="18"/>
  <c r="A2" i="18"/>
  <c r="A26" i="17"/>
  <c r="A25" i="17"/>
  <c r="A24" i="17"/>
  <c r="A23" i="17"/>
  <c r="A22" i="17"/>
  <c r="A21" i="17"/>
  <c r="A20" i="17"/>
  <c r="A19" i="17"/>
  <c r="A18" i="17"/>
  <c r="H2" i="17"/>
  <c r="G2" i="17"/>
  <c r="D1" i="18" s="1"/>
  <c r="F2" i="17"/>
  <c r="D2" i="17"/>
  <c r="B1" i="18" s="1"/>
  <c r="C2" i="17"/>
  <c r="B2" i="17"/>
  <c r="I34" i="9"/>
  <c r="A28" i="9"/>
  <c r="A32" i="9" s="1"/>
  <c r="A36" i="9" s="1"/>
  <c r="A40" i="9" s="1"/>
  <c r="A27" i="9"/>
  <c r="A31" i="9" s="1"/>
  <c r="A35" i="9" s="1"/>
  <c r="A39" i="9" s="1"/>
  <c r="N12" i="9"/>
  <c r="K42" i="11" s="1"/>
  <c r="M12" i="9"/>
  <c r="L12" i="9"/>
  <c r="J12" i="9"/>
  <c r="K23" i="11" s="1"/>
  <c r="I12" i="9"/>
  <c r="K19" i="11" s="1"/>
  <c r="N11" i="9"/>
  <c r="J42" i="11" s="1"/>
  <c r="M11" i="9"/>
  <c r="J37" i="11" s="1"/>
  <c r="L11" i="9"/>
  <c r="J11" i="9"/>
  <c r="J23" i="11" s="1"/>
  <c r="I11" i="9"/>
  <c r="J19" i="11" s="1"/>
  <c r="H11" i="9"/>
  <c r="J15" i="11" s="1"/>
  <c r="N10" i="9"/>
  <c r="I42" i="11" s="1"/>
  <c r="M10" i="9"/>
  <c r="I37" i="11" s="1"/>
  <c r="L10" i="9"/>
  <c r="J10" i="9"/>
  <c r="I23" i="11" s="1"/>
  <c r="I10" i="9"/>
  <c r="I19" i="11" s="1"/>
  <c r="H10" i="9"/>
  <c r="N9" i="9"/>
  <c r="H42" i="11" s="1"/>
  <c r="M9" i="9"/>
  <c r="H37" i="11" s="1"/>
  <c r="L9" i="9"/>
  <c r="J9" i="9"/>
  <c r="H23" i="11" s="1"/>
  <c r="I9" i="9"/>
  <c r="H19" i="11" s="1"/>
  <c r="H9" i="9"/>
  <c r="H15" i="11" s="1"/>
  <c r="N8" i="9"/>
  <c r="G42" i="11" s="1"/>
  <c r="M8" i="9"/>
  <c r="G37" i="11" s="1"/>
  <c r="L8" i="9"/>
  <c r="J8" i="9"/>
  <c r="G23" i="11" s="1"/>
  <c r="I8" i="9"/>
  <c r="G19" i="11" s="1"/>
  <c r="H8" i="9"/>
  <c r="G15" i="11" s="1"/>
  <c r="N7" i="9"/>
  <c r="F42" i="11" s="1"/>
  <c r="M7" i="9"/>
  <c r="F37" i="11" s="1"/>
  <c r="L7" i="9"/>
  <c r="J7" i="9"/>
  <c r="F23" i="11" s="1"/>
  <c r="I7" i="9"/>
  <c r="F19" i="11" s="1"/>
  <c r="H7" i="9"/>
  <c r="F15" i="11" s="1"/>
  <c r="N6" i="9"/>
  <c r="E42" i="11" s="1"/>
  <c r="M6" i="9"/>
  <c r="E37" i="11" s="1"/>
  <c r="L6" i="9"/>
  <c r="J6" i="9"/>
  <c r="E23" i="11" s="1"/>
  <c r="I6" i="9"/>
  <c r="E19" i="11" s="1"/>
  <c r="H6" i="9"/>
  <c r="E15" i="11" s="1"/>
  <c r="N5" i="9"/>
  <c r="D42" i="11" s="1"/>
  <c r="M5" i="9"/>
  <c r="D37" i="11" s="1"/>
  <c r="L5" i="9"/>
  <c r="J5" i="9"/>
  <c r="D23" i="11" s="1"/>
  <c r="I5" i="9"/>
  <c r="D19" i="11" s="1"/>
  <c r="H5" i="9"/>
  <c r="N4" i="9"/>
  <c r="C42" i="11" s="1"/>
  <c r="M4" i="9"/>
  <c r="C37" i="11" s="1"/>
  <c r="L4" i="9"/>
  <c r="J4" i="9"/>
  <c r="C23" i="11" s="1"/>
  <c r="I4" i="9"/>
  <c r="C19" i="11" s="1"/>
  <c r="H4" i="9"/>
  <c r="C15" i="11" s="1"/>
  <c r="N3" i="9"/>
  <c r="B42" i="11" s="1"/>
  <c r="M3" i="9"/>
  <c r="B37" i="11" s="1"/>
  <c r="J3" i="9"/>
  <c r="I3" i="9"/>
  <c r="B19" i="11" s="1"/>
  <c r="H3" i="9"/>
  <c r="B15" i="11" s="1"/>
  <c r="N2" i="9"/>
  <c r="E1" i="18" s="1"/>
  <c r="M2" i="9"/>
  <c r="A35" i="11" s="1"/>
  <c r="L2" i="9"/>
  <c r="J2" i="9"/>
  <c r="I2" i="9"/>
  <c r="A17" i="11" s="1"/>
  <c r="H2" i="9"/>
  <c r="A13" i="11" s="1"/>
  <c r="B122" i="72"/>
  <c r="B121" i="72"/>
  <c r="B120" i="72"/>
  <c r="B119" i="72"/>
  <c r="B118" i="72"/>
  <c r="B117" i="72"/>
  <c r="B116" i="72"/>
  <c r="B115" i="72"/>
  <c r="B114" i="72"/>
  <c r="B113" i="72"/>
  <c r="B112" i="72"/>
  <c r="B111" i="72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I153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A31" i="11"/>
  <c r="A21" i="11"/>
  <c r="U21" i="73"/>
  <c r="R21" i="73"/>
  <c r="P21" i="73"/>
  <c r="J21" i="73"/>
  <c r="H21" i="73"/>
  <c r="F21" i="73"/>
  <c r="H14" i="73"/>
  <c r="H12" i="17" s="1"/>
  <c r="G14" i="73"/>
  <c r="G12" i="17" s="1"/>
  <c r="F14" i="73"/>
  <c r="F12" i="17" s="1"/>
  <c r="D14" i="73"/>
  <c r="D12" i="17" s="1"/>
  <c r="C14" i="73"/>
  <c r="C12" i="17" s="1"/>
  <c r="B14" i="73"/>
  <c r="H13" i="73"/>
  <c r="H11" i="17" s="1"/>
  <c r="G13" i="73"/>
  <c r="G11" i="17" s="1"/>
  <c r="F13" i="73"/>
  <c r="F11" i="17" s="1"/>
  <c r="J32" i="11" s="1"/>
  <c r="D13" i="73"/>
  <c r="D11" i="17" s="1"/>
  <c r="C13" i="73"/>
  <c r="C11" i="17" s="1"/>
  <c r="B13" i="73"/>
  <c r="H12" i="73"/>
  <c r="H10" i="17" s="1"/>
  <c r="G12" i="73"/>
  <c r="G10" i="17" s="1"/>
  <c r="F12" i="73"/>
  <c r="F10" i="17" s="1"/>
  <c r="D12" i="73"/>
  <c r="D10" i="17" s="1"/>
  <c r="C12" i="73"/>
  <c r="C10" i="17" s="1"/>
  <c r="B12" i="73"/>
  <c r="H11" i="73"/>
  <c r="H9" i="17" s="1"/>
  <c r="G11" i="73"/>
  <c r="G9" i="17" s="1"/>
  <c r="F11" i="73"/>
  <c r="F9" i="17" s="1"/>
  <c r="D11" i="73"/>
  <c r="D9" i="17" s="1"/>
  <c r="C11" i="73"/>
  <c r="C9" i="17" s="1"/>
  <c r="B11" i="73"/>
  <c r="H10" i="73"/>
  <c r="H8" i="17" s="1"/>
  <c r="G10" i="73"/>
  <c r="G8" i="17" s="1"/>
  <c r="F10" i="73"/>
  <c r="F8" i="17" s="1"/>
  <c r="D10" i="73"/>
  <c r="D8" i="17" s="1"/>
  <c r="C10" i="73"/>
  <c r="C8" i="17" s="1"/>
  <c r="B10" i="73"/>
  <c r="H9" i="73"/>
  <c r="H7" i="17" s="1"/>
  <c r="G9" i="73"/>
  <c r="G7" i="17" s="1"/>
  <c r="F9" i="73"/>
  <c r="F7" i="17" s="1"/>
  <c r="D9" i="73"/>
  <c r="D7" i="17" s="1"/>
  <c r="C9" i="73"/>
  <c r="C7" i="17" s="1"/>
  <c r="B9" i="73"/>
  <c r="H8" i="73"/>
  <c r="H6" i="17" s="1"/>
  <c r="G8" i="73"/>
  <c r="G6" i="17" s="1"/>
  <c r="F8" i="73"/>
  <c r="F6" i="17" s="1"/>
  <c r="D8" i="73"/>
  <c r="D6" i="17" s="1"/>
  <c r="C8" i="73"/>
  <c r="C6" i="17" s="1"/>
  <c r="B8" i="73"/>
  <c r="H7" i="73"/>
  <c r="H5" i="17" s="1"/>
  <c r="D41" i="11" s="1"/>
  <c r="G7" i="73"/>
  <c r="G5" i="17" s="1"/>
  <c r="D36" i="11" s="1"/>
  <c r="F7" i="73"/>
  <c r="F5" i="17" s="1"/>
  <c r="D32" i="11" s="1"/>
  <c r="D7" i="73"/>
  <c r="D5" i="17" s="1"/>
  <c r="D22" i="11" s="1"/>
  <c r="C7" i="73"/>
  <c r="C5" i="17" s="1"/>
  <c r="D18" i="11" s="1"/>
  <c r="B7" i="73"/>
  <c r="H6" i="73"/>
  <c r="H4" i="17" s="1"/>
  <c r="G6" i="73"/>
  <c r="G4" i="17" s="1"/>
  <c r="F6" i="73"/>
  <c r="F4" i="17" s="1"/>
  <c r="D6" i="73"/>
  <c r="D4" i="17" s="1"/>
  <c r="C22" i="11" s="1"/>
  <c r="C6" i="73"/>
  <c r="C4" i="17" s="1"/>
  <c r="B6" i="73"/>
  <c r="H5" i="73"/>
  <c r="H3" i="17" s="1"/>
  <c r="G5" i="73"/>
  <c r="G3" i="17" s="1"/>
  <c r="F5" i="73"/>
  <c r="F3" i="17" s="1"/>
  <c r="D5" i="73"/>
  <c r="D3" i="17" s="1"/>
  <c r="C5" i="73"/>
  <c r="J67" i="11" l="1"/>
  <c r="C4" i="9"/>
  <c r="B23" i="11"/>
  <c r="G3" i="9"/>
  <c r="B10" i="11" s="1"/>
  <c r="B51" i="11" s="1"/>
  <c r="C3" i="17"/>
  <c r="E24" i="17"/>
  <c r="B4" i="17"/>
  <c r="C14" i="11" s="1"/>
  <c r="B3" i="17"/>
  <c r="B5" i="17"/>
  <c r="D14" i="11" s="1"/>
  <c r="D46" i="11" s="1"/>
  <c r="B7" i="17"/>
  <c r="I7" i="17" s="1"/>
  <c r="F50" i="11" s="1"/>
  <c r="B9" i="17"/>
  <c r="I9" i="17" s="1"/>
  <c r="H50" i="11" s="1"/>
  <c r="B11" i="17"/>
  <c r="I11" i="17" s="1"/>
  <c r="J50" i="11" s="1"/>
  <c r="B6" i="17"/>
  <c r="I6" i="17" s="1"/>
  <c r="E50" i="11" s="1"/>
  <c r="B12" i="17"/>
  <c r="B8" i="17"/>
  <c r="G14" i="11" s="1"/>
  <c r="B10" i="17"/>
  <c r="J3" i="72"/>
  <c r="E21" i="17"/>
  <c r="E25" i="17"/>
  <c r="J87" i="72"/>
  <c r="F27" i="11"/>
  <c r="B27" i="11"/>
  <c r="B8" i="18"/>
  <c r="B22" i="18" s="1"/>
  <c r="C8" i="18"/>
  <c r="A23" i="18"/>
  <c r="C9" i="18"/>
  <c r="C23" i="18" s="1"/>
  <c r="A17" i="18"/>
  <c r="C3" i="18"/>
  <c r="C17" i="18" s="1"/>
  <c r="A25" i="18"/>
  <c r="C11" i="18"/>
  <c r="C25" i="18" s="1"/>
  <c r="B11" i="18"/>
  <c r="B25" i="18" s="1"/>
  <c r="B10" i="18"/>
  <c r="B24" i="18" s="1"/>
  <c r="C10" i="18"/>
  <c r="B4" i="18"/>
  <c r="C4" i="18"/>
  <c r="E5" i="18"/>
  <c r="C5" i="18"/>
  <c r="B6" i="18"/>
  <c r="C6" i="18"/>
  <c r="A16" i="18"/>
  <c r="C2" i="18"/>
  <c r="C16" i="18" s="1"/>
  <c r="E7" i="18"/>
  <c r="C7" i="18"/>
  <c r="C21" i="18" s="1"/>
  <c r="J58" i="72"/>
  <c r="M58" i="72" s="1"/>
  <c r="J64" i="72"/>
  <c r="M64" i="72" s="1"/>
  <c r="A40" i="11"/>
  <c r="K37" i="11"/>
  <c r="M21" i="9"/>
  <c r="M22" i="9" s="1"/>
  <c r="M23" i="9" s="1"/>
  <c r="J70" i="72"/>
  <c r="K70" i="72" s="1"/>
  <c r="L70" i="72" s="1"/>
  <c r="J76" i="72"/>
  <c r="M76" i="72" s="1"/>
  <c r="B152" i="72"/>
  <c r="B161" i="72"/>
  <c r="K23" i="9"/>
  <c r="K28" i="9" s="1"/>
  <c r="H67" i="11"/>
  <c r="I156" i="72"/>
  <c r="I157" i="72"/>
  <c r="I154" i="72"/>
  <c r="J60" i="72"/>
  <c r="M60" i="72" s="1"/>
  <c r="J72" i="72"/>
  <c r="K72" i="72" s="1"/>
  <c r="L72" i="72" s="1"/>
  <c r="J78" i="72"/>
  <c r="K78" i="72" s="1"/>
  <c r="L78" i="72" s="1"/>
  <c r="J68" i="72"/>
  <c r="M68" i="72" s="1"/>
  <c r="J74" i="72"/>
  <c r="K74" i="72" s="1"/>
  <c r="L74" i="72" s="1"/>
  <c r="C33" i="11"/>
  <c r="C47" i="11" s="1"/>
  <c r="G33" i="11"/>
  <c r="G47" i="11" s="1"/>
  <c r="K33" i="11"/>
  <c r="B33" i="11"/>
  <c r="F33" i="11"/>
  <c r="F47" i="11" s="1"/>
  <c r="J33" i="11"/>
  <c r="J47" i="11" s="1"/>
  <c r="E33" i="11"/>
  <c r="E47" i="11" s="1"/>
  <c r="I33" i="11"/>
  <c r="D33" i="11"/>
  <c r="H33" i="11"/>
  <c r="H47" i="11" s="1"/>
  <c r="D6" i="18"/>
  <c r="D20" i="18" s="1"/>
  <c r="D8" i="18"/>
  <c r="E2" i="18"/>
  <c r="E16" i="18" s="1"/>
  <c r="B3" i="18"/>
  <c r="B17" i="18" s="1"/>
  <c r="C18" i="11"/>
  <c r="C18" i="17"/>
  <c r="D4" i="18"/>
  <c r="D10" i="18"/>
  <c r="D2" i="18"/>
  <c r="D16" i="18" s="1"/>
  <c r="A18" i="18"/>
  <c r="A20" i="18"/>
  <c r="E4" i="18"/>
  <c r="E6" i="18"/>
  <c r="E8" i="18"/>
  <c r="E10" i="18"/>
  <c r="A19" i="18"/>
  <c r="B5" i="18"/>
  <c r="B7" i="18"/>
  <c r="B9" i="18"/>
  <c r="B23" i="18" s="1"/>
  <c r="A21" i="18"/>
  <c r="D5" i="18"/>
  <c r="D7" i="18"/>
  <c r="D9" i="18"/>
  <c r="D11" i="18"/>
  <c r="A22" i="18"/>
  <c r="E9" i="18"/>
  <c r="E11" i="18"/>
  <c r="A24" i="18"/>
  <c r="D3" i="18"/>
  <c r="E3" i="18"/>
  <c r="B2" i="18"/>
  <c r="B16" i="18" s="1"/>
  <c r="K15" i="11"/>
  <c r="G12" i="9"/>
  <c r="K10" i="11" s="1"/>
  <c r="J56" i="72"/>
  <c r="M56" i="72" s="1"/>
  <c r="I158" i="72"/>
  <c r="J62" i="72"/>
  <c r="M62" i="72" s="1"/>
  <c r="J66" i="72"/>
  <c r="K66" i="72" s="1"/>
  <c r="L66" i="72" s="1"/>
  <c r="I155" i="72"/>
  <c r="J59" i="72"/>
  <c r="K59" i="72" s="1"/>
  <c r="L59" i="72" s="1"/>
  <c r="J67" i="72"/>
  <c r="K67" i="72" s="1"/>
  <c r="L67" i="72" s="1"/>
  <c r="J57" i="72"/>
  <c r="J61" i="72"/>
  <c r="K61" i="72" s="1"/>
  <c r="L61" i="72" s="1"/>
  <c r="J65" i="72"/>
  <c r="K65" i="72" s="1"/>
  <c r="L65" i="72" s="1"/>
  <c r="J69" i="72"/>
  <c r="K69" i="72" s="1"/>
  <c r="L69" i="72" s="1"/>
  <c r="J73" i="72"/>
  <c r="J77" i="72"/>
  <c r="K77" i="72" s="1"/>
  <c r="L77" i="72" s="1"/>
  <c r="J71" i="72"/>
  <c r="K71" i="72" s="1"/>
  <c r="L71" i="72" s="1"/>
  <c r="J75" i="72"/>
  <c r="M75" i="72" s="1"/>
  <c r="J6" i="72"/>
  <c r="J10" i="72"/>
  <c r="J14" i="72"/>
  <c r="M14" i="72" s="1"/>
  <c r="J18" i="72"/>
  <c r="K18" i="72" s="1"/>
  <c r="L18" i="72" s="1"/>
  <c r="J22" i="72"/>
  <c r="K22" i="72" s="1"/>
  <c r="L22" i="72" s="1"/>
  <c r="J26" i="72"/>
  <c r="M26" i="72" s="1"/>
  <c r="J30" i="72"/>
  <c r="K30" i="72" s="1"/>
  <c r="L30" i="72" s="1"/>
  <c r="J34" i="72"/>
  <c r="K34" i="72" s="1"/>
  <c r="L34" i="72" s="1"/>
  <c r="J38" i="72"/>
  <c r="M38" i="72" s="1"/>
  <c r="J42" i="72"/>
  <c r="J46" i="72"/>
  <c r="J50" i="72"/>
  <c r="K50" i="72" s="1"/>
  <c r="L50" i="72" s="1"/>
  <c r="J54" i="72"/>
  <c r="K54" i="72" s="1"/>
  <c r="L54" i="72" s="1"/>
  <c r="J81" i="72"/>
  <c r="K81" i="72" s="1"/>
  <c r="L81" i="72" s="1"/>
  <c r="J85" i="72"/>
  <c r="K85" i="72" s="1"/>
  <c r="L85" i="72" s="1"/>
  <c r="J7" i="72"/>
  <c r="K7" i="72" s="1"/>
  <c r="L7" i="72" s="1"/>
  <c r="J11" i="72"/>
  <c r="M11" i="72" s="1"/>
  <c r="J15" i="72"/>
  <c r="M15" i="72" s="1"/>
  <c r="J19" i="72"/>
  <c r="J23" i="72"/>
  <c r="K23" i="72" s="1"/>
  <c r="L23" i="72" s="1"/>
  <c r="J31" i="72"/>
  <c r="M31" i="72" s="1"/>
  <c r="J35" i="72"/>
  <c r="K35" i="72" s="1"/>
  <c r="L35" i="72" s="1"/>
  <c r="J39" i="72"/>
  <c r="M39" i="72" s="1"/>
  <c r="J43" i="72"/>
  <c r="K43" i="72" s="1"/>
  <c r="L43" i="72" s="1"/>
  <c r="J47" i="72"/>
  <c r="J51" i="72"/>
  <c r="K51" i="72" s="1"/>
  <c r="L51" i="72" s="1"/>
  <c r="J55" i="72"/>
  <c r="J82" i="72"/>
  <c r="J86" i="72"/>
  <c r="M86" i="72" s="1"/>
  <c r="J4" i="72"/>
  <c r="M4" i="72" s="1"/>
  <c r="J8" i="72"/>
  <c r="M8" i="72" s="1"/>
  <c r="J12" i="72"/>
  <c r="J16" i="72"/>
  <c r="M16" i="72" s="1"/>
  <c r="J20" i="72"/>
  <c r="K20" i="72" s="1"/>
  <c r="L20" i="72" s="1"/>
  <c r="J24" i="72"/>
  <c r="J28" i="72"/>
  <c r="M28" i="72" s="1"/>
  <c r="J32" i="72"/>
  <c r="M32" i="72" s="1"/>
  <c r="J36" i="72"/>
  <c r="M36" i="72" s="1"/>
  <c r="J40" i="72"/>
  <c r="K40" i="72" s="1"/>
  <c r="L40" i="72" s="1"/>
  <c r="J44" i="72"/>
  <c r="J48" i="72"/>
  <c r="J52" i="72"/>
  <c r="M52" i="72" s="1"/>
  <c r="J79" i="72"/>
  <c r="J83" i="72"/>
  <c r="M83" i="72" s="1"/>
  <c r="J5" i="72"/>
  <c r="M5" i="72" s="1"/>
  <c r="J9" i="72"/>
  <c r="M9" i="72" s="1"/>
  <c r="J13" i="72"/>
  <c r="M13" i="72" s="1"/>
  <c r="J17" i="72"/>
  <c r="J21" i="72"/>
  <c r="K21" i="72" s="1"/>
  <c r="L21" i="72" s="1"/>
  <c r="J25" i="72"/>
  <c r="M25" i="72" s="1"/>
  <c r="J29" i="72"/>
  <c r="M29" i="72" s="1"/>
  <c r="J33" i="72"/>
  <c r="K33" i="72" s="1"/>
  <c r="L33" i="72" s="1"/>
  <c r="J37" i="72"/>
  <c r="M37" i="72" s="1"/>
  <c r="J41" i="72"/>
  <c r="M41" i="72" s="1"/>
  <c r="J45" i="72"/>
  <c r="M45" i="72" s="1"/>
  <c r="J49" i="72"/>
  <c r="M49" i="72" s="1"/>
  <c r="J53" i="72"/>
  <c r="J80" i="72"/>
  <c r="M80" i="72" s="1"/>
  <c r="J84" i="72"/>
  <c r="B154" i="72"/>
  <c r="B160" i="72"/>
  <c r="B159" i="72"/>
  <c r="B155" i="72"/>
  <c r="J27" i="72"/>
  <c r="B156" i="72"/>
  <c r="B158" i="72"/>
  <c r="B153" i="72"/>
  <c r="B157" i="72"/>
  <c r="J63" i="72"/>
  <c r="C23" i="17"/>
  <c r="G5" i="9"/>
  <c r="G7" i="9"/>
  <c r="G8" i="9"/>
  <c r="G10" i="11" s="1"/>
  <c r="G9" i="9"/>
  <c r="H10" i="11" s="1"/>
  <c r="G10" i="9"/>
  <c r="I10" i="11" s="1"/>
  <c r="G11" i="9"/>
  <c r="J10" i="11" s="1"/>
  <c r="G4" i="9"/>
  <c r="G6" i="9"/>
  <c r="I15" i="11"/>
  <c r="D15" i="11"/>
  <c r="G22" i="11"/>
  <c r="D22" i="17"/>
  <c r="G23" i="17"/>
  <c r="H36" i="11"/>
  <c r="D26" i="17"/>
  <c r="K22" i="11"/>
  <c r="J21" i="9"/>
  <c r="J22" i="9" s="1"/>
  <c r="J23" i="9" s="1"/>
  <c r="F18" i="11"/>
  <c r="C21" i="17"/>
  <c r="G32" i="11"/>
  <c r="F22" i="17"/>
  <c r="H41" i="11"/>
  <c r="H23" i="17"/>
  <c r="J18" i="11"/>
  <c r="C25" i="17"/>
  <c r="L21" i="9"/>
  <c r="F26" i="17"/>
  <c r="K32" i="11"/>
  <c r="E18" i="11"/>
  <c r="C20" i="17"/>
  <c r="G41" i="11"/>
  <c r="H22" i="17"/>
  <c r="I18" i="11"/>
  <c r="C24" i="17"/>
  <c r="H26" i="17"/>
  <c r="N21" i="9"/>
  <c r="N22" i="9" s="1"/>
  <c r="N23" i="9" s="1"/>
  <c r="K41" i="11"/>
  <c r="G36" i="11"/>
  <c r="G22" i="17"/>
  <c r="F21" i="17"/>
  <c r="F32" i="11"/>
  <c r="D20" i="17"/>
  <c r="E22" i="11"/>
  <c r="F36" i="11"/>
  <c r="G21" i="17"/>
  <c r="G25" i="17"/>
  <c r="J36" i="11"/>
  <c r="D24" i="17"/>
  <c r="E14" i="11"/>
  <c r="E36" i="11"/>
  <c r="G20" i="17"/>
  <c r="D23" i="17"/>
  <c r="H22" i="11"/>
  <c r="G26" i="17"/>
  <c r="F22" i="11"/>
  <c r="D21" i="17"/>
  <c r="D25" i="17"/>
  <c r="J22" i="11"/>
  <c r="E32" i="11"/>
  <c r="F20" i="17"/>
  <c r="H21" i="17"/>
  <c r="F41" i="11"/>
  <c r="F24" i="17"/>
  <c r="I32" i="11"/>
  <c r="J41" i="11"/>
  <c r="H25" i="17"/>
  <c r="I36" i="11"/>
  <c r="G24" i="17"/>
  <c r="H20" i="17"/>
  <c r="E41" i="11"/>
  <c r="C22" i="17"/>
  <c r="G18" i="11"/>
  <c r="H32" i="11"/>
  <c r="F23" i="17"/>
  <c r="I41" i="11"/>
  <c r="H24" i="17"/>
  <c r="C26" i="17"/>
  <c r="I21" i="9"/>
  <c r="I22" i="9" s="1"/>
  <c r="I23" i="9" s="1"/>
  <c r="K18" i="11"/>
  <c r="I22" i="11"/>
  <c r="K36" i="11"/>
  <c r="H18" i="11"/>
  <c r="F25" i="17"/>
  <c r="G19" i="17"/>
  <c r="C36" i="11"/>
  <c r="H19" i="17"/>
  <c r="C41" i="11"/>
  <c r="C32" i="11"/>
  <c r="F19" i="17"/>
  <c r="D19" i="17"/>
  <c r="C19" i="17"/>
  <c r="B18" i="11"/>
  <c r="B22" i="11"/>
  <c r="D18" i="17"/>
  <c r="B32" i="11"/>
  <c r="F18" i="17"/>
  <c r="B36" i="11"/>
  <c r="G18" i="17"/>
  <c r="B41" i="11"/>
  <c r="H18" i="17"/>
  <c r="B9" i="9" l="1"/>
  <c r="B7" i="9"/>
  <c r="B6" i="9"/>
  <c r="B10" i="9"/>
  <c r="F10" i="9" s="1"/>
  <c r="B11" i="9"/>
  <c r="B8" i="9"/>
  <c r="B5" i="9"/>
  <c r="B12" i="9"/>
  <c r="B4" i="9"/>
  <c r="B3" i="9"/>
  <c r="F10" i="11"/>
  <c r="F51" i="11" s="1"/>
  <c r="F64" i="11" s="1"/>
  <c r="D10" i="11"/>
  <c r="D51" i="11" s="1"/>
  <c r="E10" i="11"/>
  <c r="C10" i="11"/>
  <c r="C51" i="11" s="1"/>
  <c r="C64" i="11" s="1"/>
  <c r="C8" i="9"/>
  <c r="C7" i="9"/>
  <c r="C9" i="9"/>
  <c r="C5" i="9"/>
  <c r="K51" i="11"/>
  <c r="J51" i="11"/>
  <c r="J64" i="11" s="1"/>
  <c r="I51" i="11"/>
  <c r="H51" i="11"/>
  <c r="H64" i="11" s="1"/>
  <c r="G51" i="11"/>
  <c r="G64" i="11" s="1"/>
  <c r="I3" i="17"/>
  <c r="B50" i="11" s="1"/>
  <c r="B24" i="17"/>
  <c r="I12" i="17"/>
  <c r="K50" i="11" s="1"/>
  <c r="H21" i="9"/>
  <c r="C19" i="18"/>
  <c r="C18" i="18"/>
  <c r="C24" i="18"/>
  <c r="C27" i="18" s="1"/>
  <c r="C20" i="18"/>
  <c r="C22" i="18"/>
  <c r="F14" i="11"/>
  <c r="F46" i="11" s="1"/>
  <c r="F63" i="11" s="1"/>
  <c r="H24" i="11"/>
  <c r="I8" i="17"/>
  <c r="G50" i="11" s="1"/>
  <c r="H14" i="11"/>
  <c r="H46" i="11" s="1"/>
  <c r="H63" i="11" s="1"/>
  <c r="J14" i="11"/>
  <c r="J46" i="11" s="1"/>
  <c r="J63" i="11" s="1"/>
  <c r="B26" i="17"/>
  <c r="K14" i="11"/>
  <c r="G69" i="11"/>
  <c r="B14" i="11"/>
  <c r="B46" i="11" s="1"/>
  <c r="I14" i="11"/>
  <c r="I46" i="11" s="1"/>
  <c r="B23" i="17"/>
  <c r="B22" i="17"/>
  <c r="B21" i="17"/>
  <c r="J24" i="11"/>
  <c r="I10" i="17"/>
  <c r="I50" i="11" s="1"/>
  <c r="I4" i="17"/>
  <c r="C50" i="11" s="1"/>
  <c r="B25" i="17"/>
  <c r="B19" i="17"/>
  <c r="B18" i="17"/>
  <c r="B20" i="17"/>
  <c r="I5" i="17"/>
  <c r="D50" i="11" s="1"/>
  <c r="D63" i="11" s="1"/>
  <c r="K3" i="72"/>
  <c r="L3" i="72" s="1"/>
  <c r="M3" i="72"/>
  <c r="K24" i="11"/>
  <c r="F69" i="11"/>
  <c r="D24" i="11"/>
  <c r="B18" i="18"/>
  <c r="H69" i="11"/>
  <c r="K47" i="11"/>
  <c r="K69" i="11" s="1"/>
  <c r="I24" i="11"/>
  <c r="G24" i="11"/>
  <c r="B21" i="18"/>
  <c r="B47" i="11"/>
  <c r="B64" i="11" s="1"/>
  <c r="F24" i="11"/>
  <c r="B20" i="18"/>
  <c r="E24" i="11"/>
  <c r="B19" i="18"/>
  <c r="K58" i="72"/>
  <c r="L58" i="72" s="1"/>
  <c r="F11" i="9"/>
  <c r="D4" i="9"/>
  <c r="E4" i="9" s="1"/>
  <c r="C6" i="9"/>
  <c r="F5" i="9"/>
  <c r="F3" i="9"/>
  <c r="F43" i="11"/>
  <c r="E20" i="18"/>
  <c r="H38" i="11"/>
  <c r="D22" i="18"/>
  <c r="D43" i="11"/>
  <c r="E18" i="18"/>
  <c r="K38" i="11"/>
  <c r="D25" i="18"/>
  <c r="H29" i="11"/>
  <c r="K43" i="11"/>
  <c r="E25" i="18"/>
  <c r="I38" i="11"/>
  <c r="D23" i="18"/>
  <c r="J38" i="11"/>
  <c r="D24" i="18"/>
  <c r="E29" i="11"/>
  <c r="K29" i="11"/>
  <c r="B29" i="11"/>
  <c r="L22" i="9"/>
  <c r="L23" i="9" s="1"/>
  <c r="C43" i="11"/>
  <c r="E17" i="18"/>
  <c r="G38" i="11"/>
  <c r="D21" i="18"/>
  <c r="J43" i="11"/>
  <c r="E24" i="18"/>
  <c r="D38" i="11"/>
  <c r="D18" i="18"/>
  <c r="G29" i="11"/>
  <c r="E43" i="11"/>
  <c r="E19" i="18"/>
  <c r="C38" i="11"/>
  <c r="D17" i="18"/>
  <c r="E38" i="11"/>
  <c r="D19" i="18"/>
  <c r="H43" i="11"/>
  <c r="E22" i="18"/>
  <c r="G43" i="11"/>
  <c r="E21" i="18"/>
  <c r="C29" i="11"/>
  <c r="D29" i="11"/>
  <c r="I29" i="11"/>
  <c r="C24" i="11"/>
  <c r="I43" i="11"/>
  <c r="E23" i="18"/>
  <c r="B43" i="11"/>
  <c r="F29" i="11"/>
  <c r="J29" i="11"/>
  <c r="K35" i="9"/>
  <c r="K36" i="9"/>
  <c r="K64" i="72"/>
  <c r="L64" i="72" s="1"/>
  <c r="B165" i="72"/>
  <c r="C153" i="72"/>
  <c r="D153" i="72" s="1"/>
  <c r="C46" i="11"/>
  <c r="B24" i="11"/>
  <c r="C156" i="72"/>
  <c r="M70" i="72"/>
  <c r="C157" i="72"/>
  <c r="K76" i="72"/>
  <c r="L76" i="72" s="1"/>
  <c r="C158" i="72"/>
  <c r="C159" i="72"/>
  <c r="C160" i="72"/>
  <c r="C161" i="72"/>
  <c r="D4" i="11"/>
  <c r="C154" i="72"/>
  <c r="C155" i="72"/>
  <c r="K60" i="72"/>
  <c r="L60" i="72" s="1"/>
  <c r="I67" i="11"/>
  <c r="I47" i="11"/>
  <c r="I69" i="11" s="1"/>
  <c r="G46" i="11"/>
  <c r="F6" i="18"/>
  <c r="K67" i="11"/>
  <c r="E46" i="11"/>
  <c r="E63" i="11" s="1"/>
  <c r="D47" i="11"/>
  <c r="E69" i="11" s="1"/>
  <c r="N73" i="72"/>
  <c r="O73" i="72" s="1"/>
  <c r="M72" i="72"/>
  <c r="N79" i="72"/>
  <c r="O79" i="72" s="1"/>
  <c r="N75" i="72"/>
  <c r="O75" i="72" s="1"/>
  <c r="K62" i="72"/>
  <c r="L62" i="72" s="1"/>
  <c r="N12" i="72"/>
  <c r="O12" i="72" s="1"/>
  <c r="N57" i="72"/>
  <c r="O57" i="72" s="1"/>
  <c r="M81" i="72"/>
  <c r="M74" i="72"/>
  <c r="K86" i="72"/>
  <c r="L86" i="72" s="1"/>
  <c r="M78" i="72"/>
  <c r="K68" i="72"/>
  <c r="L68" i="72" s="1"/>
  <c r="K83" i="72"/>
  <c r="L83" i="72" s="1"/>
  <c r="N76" i="72"/>
  <c r="O76" i="72" s="1"/>
  <c r="K31" i="72"/>
  <c r="L31" i="72" s="1"/>
  <c r="N59" i="72"/>
  <c r="O59" i="72" s="1"/>
  <c r="N28" i="72"/>
  <c r="O28" i="72" s="1"/>
  <c r="N24" i="72"/>
  <c r="O24" i="72" s="1"/>
  <c r="K41" i="72"/>
  <c r="L41" i="72" s="1"/>
  <c r="N58" i="72"/>
  <c r="O58" i="72" s="1"/>
  <c r="K75" i="72"/>
  <c r="L75" i="72" s="1"/>
  <c r="K57" i="72"/>
  <c r="L57" i="72" s="1"/>
  <c r="K28" i="72"/>
  <c r="L28" i="72" s="1"/>
  <c r="M57" i="72"/>
  <c r="K56" i="72"/>
  <c r="L56" i="72" s="1"/>
  <c r="K26" i="72"/>
  <c r="L26" i="72" s="1"/>
  <c r="N20" i="72"/>
  <c r="O20" i="72" s="1"/>
  <c r="F38" i="11"/>
  <c r="B38" i="11"/>
  <c r="F8" i="18"/>
  <c r="F3" i="18"/>
  <c r="F2" i="18"/>
  <c r="B52" i="11" s="1"/>
  <c r="F11" i="18"/>
  <c r="F4" i="18"/>
  <c r="F5" i="18"/>
  <c r="F9" i="18"/>
  <c r="F7" i="18"/>
  <c r="F10" i="18"/>
  <c r="N62" i="72"/>
  <c r="O62" i="72" s="1"/>
  <c r="N31" i="72"/>
  <c r="O31" i="72" s="1"/>
  <c r="M61" i="72"/>
  <c r="N61" i="72"/>
  <c r="O61" i="72" s="1"/>
  <c r="N86" i="72"/>
  <c r="O86" i="72" s="1"/>
  <c r="K79" i="72"/>
  <c r="L79" i="72" s="1"/>
  <c r="N32" i="72"/>
  <c r="O32" i="72" s="1"/>
  <c r="K5" i="72"/>
  <c r="L5" i="72" s="1"/>
  <c r="N44" i="72"/>
  <c r="O44" i="72" s="1"/>
  <c r="N19" i="72"/>
  <c r="O19" i="72" s="1"/>
  <c r="N60" i="72"/>
  <c r="O60" i="72" s="1"/>
  <c r="N53" i="72"/>
  <c r="O53" i="72" s="1"/>
  <c r="M59" i="72"/>
  <c r="K45" i="72"/>
  <c r="L45" i="72" s="1"/>
  <c r="K37" i="72"/>
  <c r="L37" i="72" s="1"/>
  <c r="K52" i="72"/>
  <c r="L52" i="72" s="1"/>
  <c r="K32" i="72"/>
  <c r="L32" i="72" s="1"/>
  <c r="M30" i="72"/>
  <c r="N38" i="72"/>
  <c r="O38" i="72" s="1"/>
  <c r="M67" i="72"/>
  <c r="N72" i="72"/>
  <c r="O72" i="72" s="1"/>
  <c r="N68" i="72"/>
  <c r="O68" i="72" s="1"/>
  <c r="N67" i="72"/>
  <c r="O67" i="72" s="1"/>
  <c r="N83" i="72"/>
  <c r="O83" i="72" s="1"/>
  <c r="N9" i="72"/>
  <c r="O9" i="72" s="1"/>
  <c r="M35" i="72"/>
  <c r="M85" i="72"/>
  <c r="N85" i="72"/>
  <c r="O85" i="72" s="1"/>
  <c r="N43" i="72"/>
  <c r="O43" i="72" s="1"/>
  <c r="N10" i="72"/>
  <c r="O10" i="72" s="1"/>
  <c r="N23" i="72"/>
  <c r="O23" i="72" s="1"/>
  <c r="M77" i="72"/>
  <c r="M69" i="72"/>
  <c r="N17" i="72"/>
  <c r="O17" i="72" s="1"/>
  <c r="N6" i="72"/>
  <c r="O6" i="72" s="1"/>
  <c r="M10" i="72"/>
  <c r="N77" i="72"/>
  <c r="O77" i="72" s="1"/>
  <c r="N51" i="72"/>
  <c r="O51" i="72" s="1"/>
  <c r="K80" i="72"/>
  <c r="L80" i="72" s="1"/>
  <c r="M66" i="72"/>
  <c r="N47" i="72"/>
  <c r="O47" i="72" s="1"/>
  <c r="N66" i="72"/>
  <c r="O66" i="72" s="1"/>
  <c r="N84" i="72"/>
  <c r="O84" i="72" s="1"/>
  <c r="N55" i="72"/>
  <c r="O55" i="72" s="1"/>
  <c r="K38" i="72"/>
  <c r="L38" i="72" s="1"/>
  <c r="K49" i="72"/>
  <c r="L49" i="72" s="1"/>
  <c r="N7" i="72"/>
  <c r="O7" i="72" s="1"/>
  <c r="N42" i="72"/>
  <c r="O42" i="72" s="1"/>
  <c r="K12" i="72"/>
  <c r="L12" i="72" s="1"/>
  <c r="M43" i="72"/>
  <c r="M40" i="72"/>
  <c r="K17" i="72"/>
  <c r="L17" i="72" s="1"/>
  <c r="N69" i="72"/>
  <c r="O69" i="72" s="1"/>
  <c r="N11" i="72"/>
  <c r="O11" i="72" s="1"/>
  <c r="M17" i="72"/>
  <c r="K42" i="72"/>
  <c r="L42" i="72" s="1"/>
  <c r="N30" i="72"/>
  <c r="O30" i="72" s="1"/>
  <c r="M12" i="72"/>
  <c r="N40" i="72"/>
  <c r="O40" i="72" s="1"/>
  <c r="K11" i="72"/>
  <c r="L11" i="72" s="1"/>
  <c r="K6" i="72"/>
  <c r="L6" i="72" s="1"/>
  <c r="M65" i="72"/>
  <c r="N41" i="72"/>
  <c r="O41" i="72" s="1"/>
  <c r="N74" i="72"/>
  <c r="O74" i="72" s="1"/>
  <c r="M6" i="72"/>
  <c r="K73" i="72"/>
  <c r="L73" i="72" s="1"/>
  <c r="N65" i="72"/>
  <c r="O65" i="72" s="1"/>
  <c r="N5" i="72"/>
  <c r="O5" i="72" s="1"/>
  <c r="M73" i="72"/>
  <c r="N8" i="72"/>
  <c r="O8" i="72" s="1"/>
  <c r="N50" i="72"/>
  <c r="O50" i="72" s="1"/>
  <c r="M42" i="72"/>
  <c r="K13" i="72"/>
  <c r="L13" i="72" s="1"/>
  <c r="N36" i="72"/>
  <c r="O36" i="72" s="1"/>
  <c r="M7" i="72"/>
  <c r="K10" i="72"/>
  <c r="L10" i="72" s="1"/>
  <c r="N48" i="72"/>
  <c r="O48" i="72" s="1"/>
  <c r="N46" i="72"/>
  <c r="O46" i="72" s="1"/>
  <c r="N21" i="72"/>
  <c r="O21" i="72" s="1"/>
  <c r="N49" i="72"/>
  <c r="O49" i="72" s="1"/>
  <c r="K15" i="72"/>
  <c r="L15" i="72" s="1"/>
  <c r="M19" i="72"/>
  <c r="K46" i="72"/>
  <c r="L46" i="72" s="1"/>
  <c r="M21" i="72"/>
  <c r="K53" i="72"/>
  <c r="L53" i="72" s="1"/>
  <c r="K19" i="72"/>
  <c r="L19" i="72" s="1"/>
  <c r="K14" i="72"/>
  <c r="L14" i="72" s="1"/>
  <c r="N15" i="72"/>
  <c r="O15" i="72" s="1"/>
  <c r="M18" i="72"/>
  <c r="N52" i="72"/>
  <c r="O52" i="72" s="1"/>
  <c r="M71" i="72"/>
  <c r="M53" i="72"/>
  <c r="N29" i="72"/>
  <c r="O29" i="72" s="1"/>
  <c r="M46" i="72"/>
  <c r="K16" i="72"/>
  <c r="L16" i="72" s="1"/>
  <c r="N70" i="72"/>
  <c r="O70" i="72" s="1"/>
  <c r="M47" i="72"/>
  <c r="M44" i="72"/>
  <c r="N71" i="72"/>
  <c r="O71" i="72" s="1"/>
  <c r="M55" i="72"/>
  <c r="K47" i="72"/>
  <c r="L47" i="72" s="1"/>
  <c r="K29" i="72"/>
  <c r="L29" i="72" s="1"/>
  <c r="N78" i="72"/>
  <c r="O78" i="72" s="1"/>
  <c r="N37" i="72"/>
  <c r="O37" i="72" s="1"/>
  <c r="M50" i="72"/>
  <c r="K39" i="72"/>
  <c r="L39" i="72" s="1"/>
  <c r="N16" i="72"/>
  <c r="O16" i="72" s="1"/>
  <c r="K48" i="72"/>
  <c r="L48" i="72" s="1"/>
  <c r="K8" i="72"/>
  <c r="L8" i="72" s="1"/>
  <c r="K9" i="72"/>
  <c r="L9" i="72" s="1"/>
  <c r="N56" i="72"/>
  <c r="O56" i="72" s="1"/>
  <c r="N18" i="72"/>
  <c r="O18" i="72" s="1"/>
  <c r="M20" i="72"/>
  <c r="N13" i="72"/>
  <c r="O13" i="72" s="1"/>
  <c r="K44" i="72"/>
  <c r="L44" i="72" s="1"/>
  <c r="K4" i="72"/>
  <c r="L4" i="72" s="1"/>
  <c r="K55" i="72"/>
  <c r="L55" i="72" s="1"/>
  <c r="N81" i="72"/>
  <c r="O81" i="72" s="1"/>
  <c r="N39" i="72"/>
  <c r="O39" i="72" s="1"/>
  <c r="M48" i="72"/>
  <c r="M51" i="72"/>
  <c r="K84" i="72"/>
  <c r="L84" i="72" s="1"/>
  <c r="N54" i="72"/>
  <c r="O54" i="72" s="1"/>
  <c r="N80" i="72"/>
  <c r="O80" i="72" s="1"/>
  <c r="M33" i="72"/>
  <c r="M82" i="72"/>
  <c r="M22" i="72"/>
  <c r="N35" i="72"/>
  <c r="O35" i="72" s="1"/>
  <c r="N22" i="72"/>
  <c r="O22" i="72" s="1"/>
  <c r="N34" i="72"/>
  <c r="O34" i="72" s="1"/>
  <c r="M23" i="72"/>
  <c r="N82" i="72"/>
  <c r="O82" i="72" s="1"/>
  <c r="M84" i="72"/>
  <c r="K25" i="72"/>
  <c r="L25" i="72" s="1"/>
  <c r="M79" i="72"/>
  <c r="K24" i="72"/>
  <c r="L24" i="72" s="1"/>
  <c r="N25" i="72"/>
  <c r="O25" i="72" s="1"/>
  <c r="K82" i="72"/>
  <c r="L82" i="72" s="1"/>
  <c r="M54" i="72"/>
  <c r="N45" i="72"/>
  <c r="O45" i="72" s="1"/>
  <c r="N14" i="72"/>
  <c r="O14" i="72" s="1"/>
  <c r="M24" i="72"/>
  <c r="M34" i="72"/>
  <c r="N33" i="72"/>
  <c r="O33" i="72" s="1"/>
  <c r="K36" i="72"/>
  <c r="L36" i="72" s="1"/>
  <c r="N26" i="72"/>
  <c r="O26" i="72" s="1"/>
  <c r="N4" i="72"/>
  <c r="O4" i="72" s="1"/>
  <c r="J4" i="11"/>
  <c r="I4" i="11"/>
  <c r="K4" i="11"/>
  <c r="C4" i="11"/>
  <c r="H4" i="11"/>
  <c r="F4" i="11"/>
  <c r="N87" i="72"/>
  <c r="O87" i="72" s="1"/>
  <c r="K87" i="72"/>
  <c r="L87" i="72" s="1"/>
  <c r="M87" i="72"/>
  <c r="N27" i="72"/>
  <c r="O27" i="72" s="1"/>
  <c r="K27" i="72"/>
  <c r="L27" i="72" s="1"/>
  <c r="M27" i="72"/>
  <c r="N63" i="72"/>
  <c r="O63" i="72" s="1"/>
  <c r="M63" i="72"/>
  <c r="K63" i="72"/>
  <c r="L63" i="72" s="1"/>
  <c r="B4" i="11"/>
  <c r="N64" i="72"/>
  <c r="O64" i="72" s="1"/>
  <c r="G4" i="11"/>
  <c r="E4" i="11"/>
  <c r="H33" i="17"/>
  <c r="H31" i="17" s="1"/>
  <c r="G33" i="17"/>
  <c r="G31" i="17" s="1"/>
  <c r="F33" i="17"/>
  <c r="F31" i="17" s="1"/>
  <c r="D33" i="17"/>
  <c r="D31" i="17" s="1"/>
  <c r="C33" i="17"/>
  <c r="C31" i="17" s="1"/>
  <c r="E51" i="11" l="1"/>
  <c r="E64" i="11" s="1"/>
  <c r="C69" i="11"/>
  <c r="C29" i="18"/>
  <c r="F5" i="79" s="1"/>
  <c r="K46" i="11"/>
  <c r="K63" i="11" s="1"/>
  <c r="G63" i="11"/>
  <c r="H22" i="9"/>
  <c r="B33" i="17"/>
  <c r="B31" i="17" s="1"/>
  <c r="I63" i="11"/>
  <c r="B29" i="18"/>
  <c r="E3" i="79" s="1"/>
  <c r="C63" i="11"/>
  <c r="H48" i="11"/>
  <c r="K48" i="11"/>
  <c r="J88" i="72"/>
  <c r="J89" i="72"/>
  <c r="J69" i="11"/>
  <c r="C48" i="11"/>
  <c r="I48" i="11"/>
  <c r="D64" i="11"/>
  <c r="D69" i="11"/>
  <c r="D48" i="11"/>
  <c r="J48" i="11"/>
  <c r="C6" i="11"/>
  <c r="F6" i="11"/>
  <c r="E6" i="11"/>
  <c r="H6" i="11"/>
  <c r="G6" i="11"/>
  <c r="D6" i="11"/>
  <c r="B63" i="11"/>
  <c r="D8" i="9"/>
  <c r="E8" i="9" s="1"/>
  <c r="D160" i="72"/>
  <c r="D7" i="9"/>
  <c r="E7" i="9" s="1"/>
  <c r="E48" i="11"/>
  <c r="G48" i="11"/>
  <c r="H13" i="17"/>
  <c r="L41" i="11" s="1"/>
  <c r="D52" i="11"/>
  <c r="G13" i="17"/>
  <c r="L36" i="11" s="1"/>
  <c r="J52" i="11"/>
  <c r="F13" i="17"/>
  <c r="L32" i="11" s="1"/>
  <c r="F48" i="11"/>
  <c r="F52" i="11"/>
  <c r="C52" i="11"/>
  <c r="C13" i="17"/>
  <c r="L18" i="11" s="1"/>
  <c r="I52" i="11"/>
  <c r="K52" i="11"/>
  <c r="G52" i="11"/>
  <c r="H52" i="11"/>
  <c r="E52" i="11"/>
  <c r="D5" i="9"/>
  <c r="E5" i="9" s="1"/>
  <c r="D9" i="9"/>
  <c r="E9" i="9" s="1"/>
  <c r="B48" i="11"/>
  <c r="B65" i="11" s="1"/>
  <c r="D159" i="72"/>
  <c r="D154" i="72"/>
  <c r="D161" i="72"/>
  <c r="D155" i="72"/>
  <c r="D157" i="72"/>
  <c r="K64" i="11"/>
  <c r="D158" i="72"/>
  <c r="D156" i="72"/>
  <c r="D6" i="9"/>
  <c r="E6" i="9" s="1"/>
  <c r="D29" i="18"/>
  <c r="D27" i="18" s="1"/>
  <c r="E29" i="18"/>
  <c r="E27" i="18" s="1"/>
  <c r="D13" i="17"/>
  <c r="L22" i="11" s="1"/>
  <c r="B6" i="11"/>
  <c r="D3" i="9"/>
  <c r="E3" i="9" s="1"/>
  <c r="F12" i="9"/>
  <c r="F4" i="9"/>
  <c r="F6" i="9"/>
  <c r="F9" i="9"/>
  <c r="I64" i="11"/>
  <c r="F3" i="79" l="1"/>
  <c r="F4" i="79"/>
  <c r="B27" i="18"/>
  <c r="E4" i="79"/>
  <c r="E5" i="79"/>
  <c r="B13" i="17"/>
  <c r="B14" i="17" s="1"/>
  <c r="E70" i="11"/>
  <c r="I70" i="11"/>
  <c r="F70" i="11"/>
  <c r="C70" i="11"/>
  <c r="G70" i="11"/>
  <c r="J70" i="11"/>
  <c r="D70" i="11"/>
  <c r="K70" i="11"/>
  <c r="H70" i="11"/>
  <c r="F7" i="9"/>
  <c r="H23" i="9"/>
  <c r="H65" i="11"/>
  <c r="J65" i="11"/>
  <c r="G65" i="11"/>
  <c r="N27" i="9"/>
  <c r="N35" i="9" s="1"/>
  <c r="I65" i="11"/>
  <c r="K65" i="11"/>
  <c r="M27" i="9"/>
  <c r="M35" i="9" s="1"/>
  <c r="L27" i="9"/>
  <c r="L35" i="9" s="1"/>
  <c r="D65" i="11"/>
  <c r="C65" i="11"/>
  <c r="E65" i="11"/>
  <c r="F8" i="9"/>
  <c r="F65" i="11"/>
  <c r="I27" i="9"/>
  <c r="I35" i="9" s="1"/>
  <c r="C14" i="17"/>
  <c r="H14" i="17"/>
  <c r="M89" i="72"/>
  <c r="N89" i="72"/>
  <c r="O89" i="72" s="1"/>
  <c r="K89" i="72"/>
  <c r="L89" i="72" s="1"/>
  <c r="J90" i="72"/>
  <c r="M88" i="72"/>
  <c r="N88" i="72"/>
  <c r="O88" i="72" s="1"/>
  <c r="K88" i="72"/>
  <c r="L88" i="72" s="1"/>
  <c r="G14" i="17"/>
  <c r="F14" i="17"/>
  <c r="J27" i="9"/>
  <c r="D14" i="17"/>
  <c r="F6" i="79" l="1"/>
  <c r="L14" i="11"/>
  <c r="L46" i="11" s="1"/>
  <c r="H28" i="9"/>
  <c r="E6" i="79"/>
  <c r="M36" i="11"/>
  <c r="N28" i="9"/>
  <c r="N36" i="9" s="1"/>
  <c r="I28" i="9"/>
  <c r="I36" i="9" s="1"/>
  <c r="M22" i="11"/>
  <c r="F16" i="9"/>
  <c r="H27" i="9"/>
  <c r="I13" i="17"/>
  <c r="L50" i="11" s="1"/>
  <c r="L63" i="11" s="1"/>
  <c r="M18" i="11"/>
  <c r="M41" i="11"/>
  <c r="K90" i="72"/>
  <c r="L90" i="72" s="1"/>
  <c r="N90" i="72"/>
  <c r="O90" i="72" s="1"/>
  <c r="M90" i="72"/>
  <c r="M28" i="9"/>
  <c r="M36" i="9" s="1"/>
  <c r="M32" i="11"/>
  <c r="L28" i="9"/>
  <c r="L36" i="9" s="1"/>
  <c r="J35" i="9"/>
  <c r="J28" i="9"/>
  <c r="M14" i="11" l="1"/>
  <c r="M46" i="11" s="1"/>
  <c r="I14" i="17"/>
  <c r="H36" i="9"/>
  <c r="H35" i="9"/>
  <c r="O35" i="9" s="1"/>
  <c r="G27" i="9"/>
  <c r="J91" i="72"/>
  <c r="J92" i="72"/>
  <c r="J36" i="9"/>
  <c r="G28" i="9" l="1"/>
  <c r="O36" i="9"/>
  <c r="M50" i="11"/>
  <c r="M63" i="11" s="1"/>
  <c r="M92" i="72"/>
  <c r="N92" i="72"/>
  <c r="O92" i="72" s="1"/>
  <c r="K92" i="72"/>
  <c r="L92" i="72" s="1"/>
  <c r="M91" i="72"/>
  <c r="K91" i="72"/>
  <c r="L91" i="72" s="1"/>
  <c r="N91" i="72"/>
  <c r="O91" i="72" s="1"/>
  <c r="J93" i="72" l="1"/>
  <c r="J94" i="72"/>
  <c r="M94" i="72" l="1"/>
  <c r="N94" i="72"/>
  <c r="O94" i="72" s="1"/>
  <c r="K94" i="72"/>
  <c r="L94" i="72" s="1"/>
  <c r="K93" i="72"/>
  <c r="L93" i="72" s="1"/>
  <c r="M93" i="72"/>
  <c r="N93" i="72"/>
  <c r="O93" i="72" s="1"/>
  <c r="J95" i="72" l="1"/>
  <c r="J96" i="72"/>
  <c r="K96" i="72" l="1"/>
  <c r="L96" i="72" s="1"/>
  <c r="M96" i="72"/>
  <c r="N96" i="72"/>
  <c r="O96" i="72" s="1"/>
  <c r="J97" i="72"/>
  <c r="K95" i="72"/>
  <c r="L95" i="72" s="1"/>
  <c r="N95" i="72"/>
  <c r="O95" i="72" s="1"/>
  <c r="M95" i="72"/>
  <c r="K97" i="72" l="1"/>
  <c r="L97" i="72" s="1"/>
  <c r="M97" i="72"/>
  <c r="N97" i="72"/>
  <c r="O97" i="72" s="1"/>
  <c r="J98" i="72" l="1"/>
  <c r="I159" i="72"/>
  <c r="C10" i="9" l="1"/>
  <c r="D10" i="9" s="1"/>
  <c r="E10" i="9" s="1"/>
  <c r="K98" i="72"/>
  <c r="L98" i="72" s="1"/>
  <c r="M98" i="72"/>
  <c r="N98" i="72"/>
  <c r="O98" i="72" s="1"/>
  <c r="J99" i="72"/>
  <c r="J100" i="72"/>
  <c r="M100" i="72" l="1"/>
  <c r="K100" i="72"/>
  <c r="L100" i="72" s="1"/>
  <c r="N100" i="72"/>
  <c r="O100" i="72" s="1"/>
  <c r="N99" i="72"/>
  <c r="O99" i="72" s="1"/>
  <c r="K99" i="72"/>
  <c r="L99" i="72" s="1"/>
  <c r="M99" i="72"/>
  <c r="I6" i="11"/>
  <c r="J101" i="72" l="1"/>
  <c r="J102" i="72"/>
  <c r="M101" i="72" l="1"/>
  <c r="N101" i="72"/>
  <c r="O101" i="72" s="1"/>
  <c r="K101" i="72"/>
  <c r="L101" i="72" s="1"/>
  <c r="M102" i="72"/>
  <c r="K102" i="72"/>
  <c r="L102" i="72" s="1"/>
  <c r="N102" i="72"/>
  <c r="O102" i="72" s="1"/>
  <c r="J103" i="72" l="1"/>
  <c r="J104" i="72"/>
  <c r="K104" i="72" l="1"/>
  <c r="L104" i="72" s="1"/>
  <c r="M104" i="72"/>
  <c r="N104" i="72"/>
  <c r="O104" i="72" s="1"/>
  <c r="N103" i="72"/>
  <c r="O103" i="72" s="1"/>
  <c r="K103" i="72"/>
  <c r="L103" i="72" s="1"/>
  <c r="M103" i="72"/>
  <c r="J105" i="72"/>
  <c r="M105" i="72" l="1"/>
  <c r="K105" i="72"/>
  <c r="L105" i="72" s="1"/>
  <c r="N105" i="72"/>
  <c r="O105" i="72" s="1"/>
  <c r="J106" i="72"/>
  <c r="K106" i="72" l="1"/>
  <c r="L106" i="72" s="1"/>
  <c r="N106" i="72"/>
  <c r="O106" i="72" s="1"/>
  <c r="M106" i="72"/>
  <c r="J107" i="72"/>
  <c r="M107" i="72" l="1"/>
  <c r="N107" i="72"/>
  <c r="O107" i="72" s="1"/>
  <c r="K107" i="72"/>
  <c r="L107" i="72" s="1"/>
  <c r="J108" i="72"/>
  <c r="M108" i="72" l="1"/>
  <c r="K108" i="72"/>
  <c r="L108" i="72" s="1"/>
  <c r="N108" i="72"/>
  <c r="O108" i="72" s="1"/>
  <c r="J109" i="72"/>
  <c r="M109" i="72" l="1"/>
  <c r="K109" i="72"/>
  <c r="L109" i="72" s="1"/>
  <c r="N109" i="72"/>
  <c r="O109" i="72" s="1"/>
  <c r="J110" i="72" l="1"/>
  <c r="I160" i="72"/>
  <c r="J112" i="72" l="1"/>
  <c r="J111" i="72"/>
  <c r="C11" i="9"/>
  <c r="D11" i="9" s="1"/>
  <c r="E11" i="9" s="1"/>
  <c r="M110" i="72"/>
  <c r="N110" i="72"/>
  <c r="O110" i="72" s="1"/>
  <c r="K110" i="72"/>
  <c r="L110" i="72" s="1"/>
  <c r="J6" i="11" l="1"/>
  <c r="K111" i="72"/>
  <c r="L111" i="72" s="1"/>
  <c r="N111" i="72"/>
  <c r="O111" i="72" s="1"/>
  <c r="M111" i="72"/>
  <c r="K112" i="72"/>
  <c r="L112" i="72" s="1"/>
  <c r="M112" i="72"/>
  <c r="N112" i="72"/>
  <c r="O112" i="72" s="1"/>
  <c r="J113" i="72" l="1"/>
  <c r="J114" i="72"/>
  <c r="J115" i="72" l="1"/>
  <c r="N114" i="72"/>
  <c r="O114" i="72" s="1"/>
  <c r="M114" i="72"/>
  <c r="K114" i="72"/>
  <c r="L114" i="72" s="1"/>
  <c r="K113" i="72"/>
  <c r="L113" i="72" s="1"/>
  <c r="N113" i="72"/>
  <c r="O113" i="72" s="1"/>
  <c r="M113" i="72"/>
  <c r="M115" i="72" l="1"/>
  <c r="N115" i="72"/>
  <c r="O115" i="72" s="1"/>
  <c r="K115" i="72"/>
  <c r="L115" i="72" s="1"/>
  <c r="J116" i="72" l="1"/>
  <c r="J117" i="72"/>
  <c r="M117" i="72" l="1"/>
  <c r="K117" i="72"/>
  <c r="L117" i="72" s="1"/>
  <c r="N117" i="72"/>
  <c r="O117" i="72" s="1"/>
  <c r="J118" i="72"/>
  <c r="N116" i="72"/>
  <c r="O116" i="72" s="1"/>
  <c r="M116" i="72"/>
  <c r="K116" i="72"/>
  <c r="L116" i="72" s="1"/>
  <c r="M118" i="72" l="1"/>
  <c r="N118" i="72"/>
  <c r="O118" i="72" s="1"/>
  <c r="K118" i="72"/>
  <c r="L118" i="72" s="1"/>
  <c r="J119" i="72"/>
  <c r="M119" i="72" l="1"/>
  <c r="K119" i="72"/>
  <c r="L119" i="72" s="1"/>
  <c r="N119" i="72"/>
  <c r="O119" i="72" s="1"/>
  <c r="J120" i="72"/>
  <c r="M120" i="72" l="1"/>
  <c r="K120" i="72"/>
  <c r="L120" i="72" s="1"/>
  <c r="N120" i="72"/>
  <c r="O120" i="72" s="1"/>
  <c r="J121" i="72"/>
  <c r="K121" i="72" l="1"/>
  <c r="L121" i="72" s="1"/>
  <c r="N121" i="72"/>
  <c r="O121" i="72" s="1"/>
  <c r="M121" i="72"/>
  <c r="J122" i="72" l="1"/>
  <c r="I161" i="72"/>
  <c r="C12" i="9" l="1"/>
  <c r="D12" i="9" s="1"/>
  <c r="E12" i="9" s="1"/>
  <c r="I165" i="72"/>
  <c r="M122" i="72"/>
  <c r="M123" i="72" s="1"/>
  <c r="N122" i="72"/>
  <c r="O122" i="72" s="1"/>
  <c r="O123" i="72" s="1"/>
  <c r="K122" i="72"/>
  <c r="L122" i="72" s="1"/>
  <c r="L123" i="72" s="1"/>
  <c r="K6" i="11" l="1"/>
  <c r="I162" i="72" l="1"/>
  <c r="C13" i="9" l="1"/>
  <c r="C18" i="9" l="1"/>
  <c r="G13" i="9"/>
  <c r="G35" i="9" s="1"/>
  <c r="H39" i="9" s="1"/>
  <c r="H31" i="9" s="1"/>
  <c r="G18" i="9" l="1"/>
  <c r="I39" i="9"/>
  <c r="I31" i="9" s="1"/>
  <c r="N39" i="9"/>
  <c r="N31" i="9" s="1"/>
  <c r="M39" i="9"/>
  <c r="M31" i="9" s="1"/>
  <c r="K39" i="9"/>
  <c r="K31" i="9" s="1"/>
  <c r="J39" i="9"/>
  <c r="J31" i="9" s="1"/>
  <c r="L39" i="9"/>
  <c r="L31" i="9" s="1"/>
  <c r="L19" i="11" l="1"/>
  <c r="L37" i="11"/>
  <c r="L42" i="11"/>
  <c r="G39" i="9"/>
  <c r="L15" i="11"/>
  <c r="L33" i="11"/>
  <c r="E12" i="18" l="1"/>
  <c r="L43" i="11" s="1"/>
  <c r="D12" i="18"/>
  <c r="L38" i="11" s="1"/>
  <c r="L51" i="11" l="1"/>
  <c r="G31" i="9"/>
  <c r="L10" i="11" s="1"/>
  <c r="L28" i="11"/>
  <c r="C12" i="18"/>
  <c r="L29" i="11" s="1"/>
  <c r="L23" i="11" l="1"/>
  <c r="O31" i="9"/>
  <c r="B12" i="18"/>
  <c r="L24" i="11" l="1"/>
  <c r="F12" i="18"/>
  <c r="L67" i="11"/>
  <c r="L47" i="11"/>
  <c r="L48" i="11" l="1"/>
  <c r="L70" i="11" s="1"/>
  <c r="L64" i="11"/>
  <c r="L69" i="11"/>
  <c r="H54" i="11"/>
  <c r="L52" i="11"/>
  <c r="L65" i="11" l="1"/>
  <c r="I163" i="72"/>
  <c r="I150" i="72"/>
  <c r="C14" i="9" l="1"/>
  <c r="I167" i="72"/>
  <c r="J167" i="72" s="1"/>
  <c r="C19" i="9" l="1"/>
  <c r="G14" i="9"/>
  <c r="G36" i="9" l="1"/>
  <c r="G19" i="9"/>
  <c r="M40" i="9" l="1"/>
  <c r="M32" i="9" s="1"/>
  <c r="N40" i="9"/>
  <c r="N32" i="9" s="1"/>
  <c r="I40" i="9"/>
  <c r="I32" i="9" s="1"/>
  <c r="J40" i="9"/>
  <c r="J32" i="9" s="1"/>
  <c r="K40" i="9"/>
  <c r="H40" i="9"/>
  <c r="H32" i="9" s="1"/>
  <c r="L40" i="9"/>
  <c r="L32" i="9" s="1"/>
  <c r="K32" i="9" l="1"/>
  <c r="M28" i="11" s="1"/>
  <c r="G40" i="9"/>
  <c r="M19" i="11"/>
  <c r="E13" i="18"/>
  <c r="M42" i="11"/>
  <c r="M37" i="11"/>
  <c r="D13" i="18"/>
  <c r="M38" i="11" l="1"/>
  <c r="M43" i="11"/>
  <c r="M15" i="11"/>
  <c r="M33" i="11"/>
  <c r="M51" i="11" l="1"/>
  <c r="M23" i="11"/>
  <c r="B13" i="18"/>
  <c r="M24" i="11" l="1"/>
  <c r="C13" i="18"/>
  <c r="G32" i="9"/>
  <c r="M10" i="11" s="1"/>
  <c r="O32" i="9"/>
  <c r="M29" i="11" l="1"/>
  <c r="P32" i="9"/>
  <c r="F13" i="18"/>
  <c r="M47" i="11"/>
  <c r="M67" i="11"/>
  <c r="M48" i="11" l="1"/>
  <c r="M64" i="11"/>
  <c r="M69" i="11"/>
  <c r="H55" i="11"/>
  <c r="M52" i="11"/>
  <c r="M70" i="11" l="1"/>
  <c r="M6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1" authorId="0" shapeId="0" xr:uid="{036AF65D-96F1-4F80-B268-8DEB5B6F9F4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historical includes embedded distributor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931C438-DCCA-46EB-950B-1FB4EE7479D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variables details per 20241206 New_Model2 file from Mahek.  Forecast tab</t>
        </r>
      </text>
    </comment>
    <comment ref="D2" authorId="0" shapeId="0" xr:uid="{B486DDD2-7D4E-4F8A-BE79-C91BA151256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variables details per 20241206 New_Model2 file from Mahek.  Forecast tab</t>
        </r>
      </text>
    </comment>
    <comment ref="H2" authorId="0" shapeId="0" xr:uid="{1BA22600-26A5-44D1-A46F-40D0E58AA7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 Sales of goods manufactured unadjusted.  Stats Can Table 16-10-0048-01.  Growth assumption for 2025/26 is 0.6%/1.2% based on FAO report (references GDP)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3A5EC137-DAF7-4298-A404-0BB54303F61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Hardcoded rather than formula as not anticipating additional large use customers at this time</t>
        </r>
      </text>
    </comment>
    <comment ref="E31" authorId="0" shapeId="0" xr:uid="{DDFE13C7-3EFE-4305-9BBD-F4328EF23CC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Utilis email Jun 26/25: the value in cell E33 should be set to 1.0 since that is what is assumed for LU customer numbers in 2025 and 2026</t>
        </r>
      </text>
    </comment>
  </commentList>
</comments>
</file>

<file path=xl/sharedStrings.xml><?xml version="1.0" encoding="utf-8"?>
<sst xmlns="http://schemas.openxmlformats.org/spreadsheetml/2006/main" count="354" uniqueCount="133">
  <si>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</si>
  <si>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</si>
  <si>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</si>
  <si>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</si>
  <si>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</si>
  <si>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</si>
  <si>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</si>
  <si>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</si>
  <si>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</si>
  <si>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</si>
  <si>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</si>
  <si>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</si>
  <si>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</si>
  <si>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</si>
  <si>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</si>
  <si>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</si>
  <si>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</si>
  <si>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</si>
  <si>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</si>
  <si>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</si>
  <si>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</si>
  <si>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</si>
  <si>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</si>
  <si>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</si>
  <si>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</si>
  <si>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</si>
  <si>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</si>
  <si>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</si>
  <si>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</si>
  <si>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</si>
  <si>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</si>
  <si>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</si>
  <si>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</si>
  <si>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</si>
  <si>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</si>
  <si>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</si>
  <si>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</si>
  <si>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</si>
  <si>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</si>
  <si>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</si>
  <si>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</si>
  <si>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</si>
  <si>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</si>
  <si>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</si>
  <si>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</si>
  <si>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</si>
  <si>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>Power Purchased</t>
  </si>
  <si>
    <t>MAPE</t>
  </si>
  <si>
    <t>Average Number of Customer/Connections</t>
  </si>
  <si>
    <t xml:space="preserve">Total Billed </t>
  </si>
  <si>
    <t>Input data</t>
  </si>
  <si>
    <t>Residential</t>
  </si>
  <si>
    <t>Coefficient-If negative, it's reducing, if +ve, it's adding</t>
  </si>
  <si>
    <t>R Square of 90% is OK</t>
  </si>
  <si>
    <t>Adjusted R Square takes into consideration the number of variables</t>
  </si>
  <si>
    <t>ANOVA is not really used</t>
  </si>
  <si>
    <t>Tstat indicates how relevant a variable is.Should be greater than absolute value of 2, if less than 2 it is not statistically significant so don’t use it</t>
  </si>
  <si>
    <t>Year</t>
  </si>
  <si>
    <t>Check - must be zero</t>
  </si>
  <si>
    <t>Last 10 years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</si>
  <si>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</si>
  <si>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</si>
  <si>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</si>
  <si>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</si>
  <si>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</si>
  <si>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</si>
  <si>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</si>
  <si>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</si>
  <si>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</si>
  <si>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</si>
  <si>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</si>
  <si>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</si>
  <si>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</si>
  <si>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</si>
  <si>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</si>
  <si>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</si>
  <si>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</si>
  <si>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</si>
  <si>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</si>
  <si>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</si>
  <si>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</si>
  <si>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</si>
  <si>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</si>
  <si>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</si>
  <si>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Average Customer / Connection Count</t>
  </si>
  <si>
    <t>Month</t>
  </si>
  <si>
    <t>Weather Normal</t>
  </si>
  <si>
    <t>2015 Actual</t>
  </si>
  <si>
    <t>Sentinel Lighting</t>
  </si>
  <si>
    <t>Street Lighting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</si>
  <si>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</si>
  <si>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</si>
  <si>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</si>
  <si>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</si>
  <si>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</si>
  <si>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</si>
  <si>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</si>
  <si>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2023 Actual</t>
  </si>
  <si>
    <t>Weather Normalization Factor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</si>
  <si>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</si>
  <si>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</si>
  <si>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</si>
  <si>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</si>
  <si>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</si>
  <si>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</si>
  <si>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Entegrus Powerlines Weather Normal Load Forecast for 2026 Rate Application</t>
  </si>
  <si>
    <t>2025 Bridge</t>
  </si>
  <si>
    <t>2026 Test</t>
  </si>
  <si>
    <t>2024 Actual</t>
  </si>
  <si>
    <t>2016 Actual</t>
  </si>
  <si>
    <t>2017 Actual</t>
  </si>
  <si>
    <t>2018 Actual</t>
  </si>
  <si>
    <t>2019 Actual</t>
  </si>
  <si>
    <t>2020 Actual</t>
  </si>
  <si>
    <t>Large Use</t>
  </si>
  <si>
    <t>COVID Flag</t>
  </si>
  <si>
    <t>HDD</t>
  </si>
  <si>
    <t>CDD</t>
  </si>
  <si>
    <t>Days in Month</t>
  </si>
  <si>
    <t>Spring/Fall Flag</t>
  </si>
  <si>
    <t>AVG</t>
  </si>
  <si>
    <t>Standby Demand (kW)</t>
  </si>
  <si>
    <t xml:space="preserve">GS&gt;50 </t>
  </si>
  <si>
    <t>Non-Weather Normalized</t>
  </si>
  <si>
    <t>Weather Corrected &amp; Adjusted Forecast</t>
  </si>
  <si>
    <t>MFG</t>
  </si>
  <si>
    <t>2025 Growth</t>
  </si>
  <si>
    <t>2026 Growth</t>
  </si>
  <si>
    <t>Sum of Squared Residuals</t>
  </si>
  <si>
    <t>Durbin-Watson Calculation</t>
  </si>
  <si>
    <t>Conversion of Standby kW to kWh for demand allocators:</t>
  </si>
  <si>
    <t>Mean Absolute Percentage Error (MAPE)</t>
  </si>
  <si>
    <t>Sum of Squared Difference of 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</si>
</sst>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_);\(#,##0.0\)"/>
    <numFmt numFmtId="181" formatCode="#,##0.0;\-#,##0.0"/>
    <numFmt numFmtId="182" formatCode="_(* #,##0.000_);_(* \(#,##0.000\);_(* &quot;-&quot;??_);_(@_)"/>
  </numFmts>
  <fonts count="9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57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16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4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2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6" fillId="10" borderId="10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0" fontId="47" fillId="11" borderId="13" applyNumberFormat="0" applyAlignment="0" applyProtection="0"/>
    <xf numFmtId="166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3" fillId="9" borderId="10" applyNumberFormat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0" fontId="56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54" borderId="0" applyNumberFormat="0" applyBorder="0" applyAlignment="0" applyProtection="0"/>
    <xf numFmtId="0" fontId="60" fillId="55" borderId="0" applyNumberFormat="0" applyBorder="0" applyAlignment="0" applyProtection="0"/>
    <xf numFmtId="0" fontId="60" fillId="56" borderId="0" applyNumberFormat="0" applyBorder="0" applyAlignment="0" applyProtection="0"/>
    <xf numFmtId="0" fontId="60" fillId="57" borderId="0" applyNumberFormat="0" applyBorder="0" applyAlignment="0" applyProtection="0"/>
    <xf numFmtId="0" fontId="62" fillId="59" borderId="17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71" fillId="61" borderId="0" applyNumberFormat="0" applyBorder="0" applyAlignment="0" applyProtection="0"/>
    <xf numFmtId="0" fontId="73" fillId="0" borderId="0" applyNumberFormat="0" applyFill="0" applyBorder="0" applyAlignment="0" applyProtection="0"/>
    <xf numFmtId="0" fontId="74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72" fillId="59" borderId="24" applyNumberFormat="0" applyAlignment="0" applyProtection="0"/>
    <xf numFmtId="0" fontId="63" fillId="60" borderId="18" applyNumberFormat="0" applyAlignment="0" applyProtection="0"/>
    <xf numFmtId="0" fontId="69" fillId="46" borderId="17" applyNumberFormat="0" applyAlignment="0" applyProtection="0"/>
    <xf numFmtId="0" fontId="11" fillId="62" borderId="23" applyNumberFormat="0" applyFont="0" applyAlignment="0" applyProtection="0"/>
    <xf numFmtId="0" fontId="65" fillId="43" borderId="0" applyNumberFormat="0" applyBorder="0" applyAlignment="0" applyProtection="0"/>
    <xf numFmtId="0" fontId="61" fillId="42" borderId="0" applyNumberFormat="0" applyBorder="0" applyAlignment="0" applyProtection="0"/>
    <xf numFmtId="0" fontId="68" fillId="0" borderId="21" applyNumberFormat="0" applyFill="0" applyAlignment="0" applyProtection="0"/>
    <xf numFmtId="0" fontId="67" fillId="0" borderId="20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0" fillId="58" borderId="0" applyNumberFormat="0" applyBorder="0" applyAlignment="0" applyProtection="0"/>
    <xf numFmtId="0" fontId="60" fillId="52" borderId="0" applyNumberFormat="0" applyBorder="0" applyAlignment="0" applyProtection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0" fillId="0" borderId="22" applyNumberFormat="0" applyFill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8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9" fillId="46" borderId="17" applyNumberFormat="0" applyAlignment="0" applyProtection="0"/>
    <xf numFmtId="0" fontId="69" fillId="46" borderId="17" applyNumberFormat="0" applyAlignment="0" applyProtection="0"/>
    <xf numFmtId="0" fontId="69" fillId="46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9" fillId="46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" fillId="0" borderId="0"/>
    <xf numFmtId="165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8" fillId="0" borderId="0" applyNumberFormat="0" applyFill="0" applyBorder="0" applyAlignment="0" applyProtection="0"/>
    <xf numFmtId="0" fontId="76" fillId="0" borderId="0"/>
    <xf numFmtId="0" fontId="5" fillId="0" borderId="0"/>
    <xf numFmtId="0" fontId="78" fillId="0" borderId="0"/>
    <xf numFmtId="179" fontId="80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4" fillId="0" borderId="0"/>
    <xf numFmtId="0" fontId="4" fillId="0" borderId="0"/>
    <xf numFmtId="0" fontId="11" fillId="0" borderId="0"/>
    <xf numFmtId="0" fontId="11" fillId="0" borderId="0"/>
    <xf numFmtId="0" fontId="74" fillId="0" borderId="50" applyNumberFormat="0" applyFill="0" applyAlignment="0" applyProtection="0"/>
    <xf numFmtId="0" fontId="62" fillId="59" borderId="42" applyNumberFormat="0" applyAlignment="0" applyProtection="0"/>
    <xf numFmtId="0" fontId="72" fillId="59" borderId="49" applyNumberFormat="0" applyAlignment="0" applyProtection="0"/>
    <xf numFmtId="0" fontId="69" fillId="46" borderId="47" applyNumberFormat="0" applyAlignment="0" applyProtection="0"/>
    <xf numFmtId="0" fontId="62" fillId="59" borderId="47" applyNumberFormat="0" applyAlignment="0" applyProtection="0"/>
    <xf numFmtId="0" fontId="69" fillId="46" borderId="42" applyNumberFormat="0" applyAlignment="0" applyProtection="0"/>
    <xf numFmtId="0" fontId="11" fillId="62" borderId="43" applyNumberFormat="0" applyFont="0" applyAlignment="0" applyProtection="0"/>
    <xf numFmtId="0" fontId="72" fillId="59" borderId="44" applyNumberFormat="0" applyAlignment="0" applyProtection="0"/>
    <xf numFmtId="0" fontId="74" fillId="0" borderId="45" applyNumberFormat="0" applyFill="0" applyAlignment="0" applyProtection="0"/>
    <xf numFmtId="0" fontId="11" fillId="0" borderId="0"/>
    <xf numFmtId="0" fontId="3" fillId="0" borderId="0"/>
    <xf numFmtId="0" fontId="69" fillId="46" borderId="47" applyNumberFormat="0" applyAlignment="0" applyProtection="0"/>
    <xf numFmtId="0" fontId="11" fillId="62" borderId="48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9" fillId="46" borderId="47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0" fontId="17" fillId="38" borderId="46" applyNumberFormat="0" applyBorder="0" applyAlignment="0" applyProtection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2" borderId="43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9" fillId="46" borderId="47" applyNumberFormat="0" applyAlignment="0" applyProtection="0"/>
    <xf numFmtId="10" fontId="17" fillId="38" borderId="41" applyNumberFormat="0" applyBorder="0" applyAlignment="0" applyProtection="0"/>
    <xf numFmtId="0" fontId="11" fillId="0" borderId="0"/>
    <xf numFmtId="0" fontId="69" fillId="46" borderId="47" applyNumberFormat="0" applyAlignment="0" applyProtection="0"/>
    <xf numFmtId="0" fontId="11" fillId="62" borderId="48" applyNumberFormat="0" applyFont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7" fillId="40" borderId="1" xfId="1524" applyFont="1" applyFill="1" applyBorder="1" applyAlignment="1">
      <alignment horizontal="center" vertical="center" wrapText="1"/>
    </xf>
    <xf numFmtId="0" fontId="79" fillId="0" borderId="0" xfId="1526" applyFont="1" applyAlignment="1">
      <alignment horizontal="left" vertical="center"/>
    </xf>
    <xf numFmtId="0" fontId="77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0" xfId="1526" applyFont="1" applyBorder="1" applyAlignment="1">
      <alignment horizontal="center"/>
    </xf>
    <xf numFmtId="1" fontId="11" fillId="0" borderId="31" xfId="1526" applyNumberFormat="1" applyFont="1" applyBorder="1" applyAlignment="1">
      <alignment horizontal="center"/>
    </xf>
    <xf numFmtId="0" fontId="11" fillId="0" borderId="32" xfId="1526" applyFont="1" applyBorder="1" applyAlignment="1">
      <alignment horizontal="left"/>
    </xf>
    <xf numFmtId="2" fontId="18" fillId="0" borderId="31" xfId="1526" applyNumberFormat="1" applyFont="1" applyBorder="1" applyAlignment="1">
      <alignment horizontal="center"/>
    </xf>
    <xf numFmtId="0" fontId="11" fillId="0" borderId="30" xfId="1526" applyFont="1" applyBorder="1" applyAlignment="1">
      <alignment horizontal="left"/>
    </xf>
    <xf numFmtId="0" fontId="11" fillId="0" borderId="33" xfId="1526" applyFont="1" applyBorder="1" applyAlignment="1">
      <alignment horizontal="center"/>
    </xf>
    <xf numFmtId="2" fontId="18" fillId="0" borderId="34" xfId="1526" applyNumberFormat="1" applyFont="1" applyBorder="1" applyAlignment="1">
      <alignment horizontal="center"/>
    </xf>
    <xf numFmtId="0" fontId="11" fillId="0" borderId="31" xfId="1526" applyFont="1" applyBorder="1" applyAlignment="1">
      <alignment horizontal="center"/>
    </xf>
    <xf numFmtId="2" fontId="18" fillId="0" borderId="30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5" xfId="1526" applyNumberFormat="1" applyFont="1" applyBorder="1" applyAlignment="1">
      <alignment horizontal="center"/>
    </xf>
    <xf numFmtId="0" fontId="11" fillId="0" borderId="31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4" borderId="36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37" xfId="1526" applyNumberFormat="1" applyFont="1" applyFill="1" applyBorder="1" applyAlignment="1">
      <alignment horizontal="center"/>
    </xf>
    <xf numFmtId="1" fontId="11" fillId="64" borderId="36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5" borderId="36" xfId="1527" applyNumberFormat="1" applyFont="1" applyFill="1" applyBorder="1" applyAlignment="1">
      <alignment horizontal="center"/>
    </xf>
    <xf numFmtId="1" fontId="11" fillId="65" borderId="5" xfId="1527" applyNumberFormat="1" applyFont="1" applyFill="1" applyBorder="1" applyAlignment="1">
      <alignment horizontal="center"/>
    </xf>
    <xf numFmtId="1" fontId="11" fillId="65" borderId="37" xfId="1526" applyNumberFormat="1" applyFont="1" applyFill="1" applyBorder="1" applyAlignment="1">
      <alignment horizontal="center"/>
    </xf>
    <xf numFmtId="1" fontId="11" fillId="65" borderId="36" xfId="1526" applyNumberFormat="1" applyFont="1" applyFill="1" applyBorder="1" applyAlignment="1">
      <alignment horizontal="center"/>
    </xf>
    <xf numFmtId="1" fontId="11" fillId="65" borderId="1" xfId="1526" applyNumberFormat="1" applyFont="1" applyFill="1" applyBorder="1" applyAlignment="1">
      <alignment horizontal="center"/>
    </xf>
    <xf numFmtId="1" fontId="11" fillId="65" borderId="4" xfId="1526" applyNumberFormat="1" applyFont="1" applyFill="1" applyBorder="1" applyAlignment="1">
      <alignment horizontal="center"/>
    </xf>
    <xf numFmtId="1" fontId="11" fillId="65" borderId="26" xfId="1527" applyNumberFormat="1" applyFont="1" applyFill="1" applyBorder="1" applyAlignment="1">
      <alignment horizontal="center"/>
    </xf>
    <xf numFmtId="1" fontId="11" fillId="65" borderId="27" xfId="1526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2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2" fillId="0" borderId="0" xfId="0" applyFont="1"/>
    <xf numFmtId="0" fontId="77" fillId="67" borderId="6" xfId="1524" applyFont="1" applyFill="1" applyBorder="1" applyAlignment="1">
      <alignment horizontal="center" vertical="center" wrapText="1"/>
    </xf>
    <xf numFmtId="1" fontId="11" fillId="63" borderId="1" xfId="736" applyNumberFormat="1" applyFont="1" applyFill="1" applyBorder="1" applyAlignment="1">
      <alignment horizontal="center"/>
    </xf>
    <xf numFmtId="0" fontId="14" fillId="68" borderId="1" xfId="736" applyFont="1" applyFill="1" applyBorder="1" applyAlignment="1">
      <alignment horizontal="center"/>
    </xf>
    <xf numFmtId="0" fontId="77" fillId="40" borderId="6" xfId="1524" applyFont="1" applyFill="1" applyBorder="1" applyAlignment="1">
      <alignment horizontal="center" vertical="center" wrapText="1"/>
    </xf>
    <xf numFmtId="0" fontId="77" fillId="67" borderId="30" xfId="1524" applyFont="1" applyFill="1" applyBorder="1" applyAlignment="1">
      <alignment horizontal="center" vertical="center" wrapText="1"/>
    </xf>
    <xf numFmtId="1" fontId="77" fillId="67" borderId="31" xfId="1524" applyNumberFormat="1" applyFont="1" applyFill="1" applyBorder="1" applyAlignment="1">
      <alignment horizontal="center" vertical="center" wrapText="1"/>
    </xf>
    <xf numFmtId="0" fontId="77" fillId="67" borderId="26" xfId="1524" applyFont="1" applyFill="1" applyBorder="1" applyAlignment="1">
      <alignment horizontal="center" vertical="center" wrapText="1"/>
    </xf>
    <xf numFmtId="1" fontId="77" fillId="67" borderId="27" xfId="1524" applyNumberFormat="1" applyFont="1" applyFill="1" applyBorder="1" applyAlignment="1">
      <alignment horizontal="center" vertical="center" wrapText="1"/>
    </xf>
    <xf numFmtId="0" fontId="77" fillId="67" borderId="28" xfId="1524" applyFont="1" applyFill="1" applyBorder="1" applyAlignment="1">
      <alignment horizontal="center" vertical="center" wrapText="1"/>
    </xf>
    <xf numFmtId="0" fontId="77" fillId="67" borderId="27" xfId="1524" applyFont="1" applyFill="1" applyBorder="1" applyAlignment="1">
      <alignment horizontal="center" vertical="center" wrapText="1"/>
    </xf>
    <xf numFmtId="0" fontId="77" fillId="67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3" fontId="0" fillId="69" borderId="0" xfId="0" applyNumberFormat="1" applyFill="1" applyAlignment="1">
      <alignment horizontal="center"/>
    </xf>
    <xf numFmtId="3" fontId="12" fillId="6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3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37" fontId="11" fillId="0" borderId="4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18" fillId="0" borderId="0" xfId="736" applyFont="1"/>
    <xf numFmtId="180" fontId="12" fillId="0" borderId="1" xfId="0" applyNumberFormat="1" applyFont="1" applyBorder="1" applyAlignment="1">
      <alignment horizontal="center"/>
    </xf>
    <xf numFmtId="37" fontId="11" fillId="4" borderId="41" xfId="0" applyNumberFormat="1" applyFont="1" applyFill="1" applyBorder="1" applyAlignment="1">
      <alignment horizontal="center"/>
    </xf>
    <xf numFmtId="3" fontId="0" fillId="70" borderId="1" xfId="0" applyNumberFormat="1" applyFill="1" applyBorder="1" applyAlignment="1">
      <alignment horizontal="center"/>
    </xf>
    <xf numFmtId="3" fontId="14" fillId="0" borderId="0" xfId="0" applyNumberFormat="1" applyFont="1" applyAlignment="1">
      <alignment horizontal="left"/>
    </xf>
    <xf numFmtId="10" fontId="0" fillId="0" borderId="0" xfId="2" applyNumberFormat="1" applyFont="1" applyAlignment="1">
      <alignment horizontal="center"/>
    </xf>
    <xf numFmtId="37" fontId="11" fillId="0" borderId="0" xfId="736" applyNumberFormat="1" applyFont="1"/>
    <xf numFmtId="0" fontId="2" fillId="0" borderId="0" xfId="1654"/>
    <xf numFmtId="0" fontId="87" fillId="0" borderId="0" xfId="1654" applyFont="1" applyAlignment="1">
      <alignment horizontal="left"/>
    </xf>
    <xf numFmtId="0" fontId="88" fillId="71" borderId="51" xfId="1654" applyFont="1" applyFill="1" applyBorder="1" applyAlignment="1">
      <alignment horizontal="center" vertical="center" wrapText="1"/>
    </xf>
    <xf numFmtId="0" fontId="88" fillId="71" borderId="52" xfId="1654" applyFont="1" applyFill="1" applyBorder="1" applyAlignment="1">
      <alignment horizontal="center" vertical="center" wrapText="1"/>
    </xf>
    <xf numFmtId="0" fontId="2" fillId="0" borderId="54" xfId="1654" applyBorder="1" applyAlignment="1">
      <alignment horizontal="center"/>
    </xf>
    <xf numFmtId="172" fontId="0" fillId="0" borderId="55" xfId="1655" applyNumberFormat="1" applyFont="1" applyBorder="1" applyAlignment="1">
      <alignment horizontal="center"/>
    </xf>
    <xf numFmtId="172" fontId="0" fillId="0" borderId="56" xfId="1655" applyNumberFormat="1" applyFont="1" applyBorder="1" applyAlignment="1">
      <alignment horizontal="center"/>
    </xf>
    <xf numFmtId="0" fontId="88" fillId="71" borderId="57" xfId="1654" applyFont="1" applyFill="1" applyBorder="1" applyAlignment="1">
      <alignment horizontal="center"/>
    </xf>
    <xf numFmtId="172" fontId="88" fillId="71" borderId="52" xfId="1655" applyNumberFormat="1" applyFont="1" applyFill="1" applyBorder="1" applyAlignment="1">
      <alignment horizontal="center"/>
    </xf>
    <xf numFmtId="0" fontId="2" fillId="0" borderId="0" xfId="1654" applyAlignment="1">
      <alignment horizontal="center"/>
    </xf>
    <xf numFmtId="0" fontId="14" fillId="0" borderId="0" xfId="0" applyFont="1" applyAlignment="1">
      <alignment horizontal="center" vertical="center" wrapText="1"/>
    </xf>
    <xf numFmtId="172" fontId="11" fillId="0" borderId="0" xfId="1" applyNumberFormat="1" applyFont="1"/>
    <xf numFmtId="9" fontId="0" fillId="3" borderId="0" xfId="0" applyNumberFormat="1" applyFill="1" applyAlignment="1">
      <alignment horizontal="center"/>
    </xf>
    <xf numFmtId="167" fontId="0" fillId="72" borderId="0" xfId="2" applyNumberFormat="1" applyFont="1" applyFill="1"/>
    <xf numFmtId="167" fontId="0" fillId="0" borderId="0" xfId="2" applyNumberFormat="1" applyFont="1"/>
    <xf numFmtId="171" fontId="11" fillId="0" borderId="1" xfId="0" applyNumberFormat="1" applyFont="1" applyBorder="1" applyAlignment="1">
      <alignment horizontal="center"/>
    </xf>
    <xf numFmtId="171" fontId="89" fillId="0" borderId="1" xfId="0" applyNumberFormat="1" applyFont="1" applyBorder="1" applyAlignment="1">
      <alignment horizontal="center"/>
    </xf>
    <xf numFmtId="0" fontId="13" fillId="0" borderId="58" xfId="0" applyFont="1" applyBorder="1" applyAlignment="1">
      <alignment horizontal="center" vertical="center" wrapText="1"/>
    </xf>
    <xf numFmtId="37" fontId="11" fillId="0" borderId="58" xfId="0" applyNumberFormat="1" applyFont="1" applyBorder="1" applyAlignment="1">
      <alignment horizontal="center"/>
    </xf>
    <xf numFmtId="181" fontId="11" fillId="0" borderId="58" xfId="0" applyNumberFormat="1" applyFont="1" applyBorder="1" applyAlignment="1">
      <alignment horizontal="center"/>
    </xf>
    <xf numFmtId="3" fontId="11" fillId="0" borderId="0" xfId="736" applyNumberFormat="1" applyFont="1"/>
    <xf numFmtId="167" fontId="11" fillId="0" borderId="0" xfId="2" applyNumberFormat="1" applyFont="1"/>
    <xf numFmtId="10" fontId="11" fillId="0" borderId="0" xfId="2" applyNumberFormat="1" applyFont="1"/>
    <xf numFmtId="1" fontId="11" fillId="65" borderId="28" xfId="1527" applyNumberFormat="1" applyFont="1" applyFill="1" applyBorder="1" applyAlignment="1">
      <alignment horizontal="center"/>
    </xf>
    <xf numFmtId="1" fontId="11" fillId="65" borderId="26" xfId="1526" applyNumberFormat="1" applyFont="1" applyFill="1" applyBorder="1" applyAlignment="1">
      <alignment horizontal="center"/>
    </xf>
    <xf numFmtId="1" fontId="11" fillId="65" borderId="29" xfId="1526" applyNumberFormat="1" applyFont="1" applyFill="1" applyBorder="1" applyAlignment="1">
      <alignment horizontal="center"/>
    </xf>
    <xf numFmtId="1" fontId="11" fillId="65" borderId="38" xfId="1526" applyNumberFormat="1" applyFont="1" applyFill="1" applyBorder="1" applyAlignment="1">
      <alignment horizontal="center"/>
    </xf>
    <xf numFmtId="167" fontId="0" fillId="0" borderId="0" xfId="0" applyNumberFormat="1"/>
    <xf numFmtId="1" fontId="11" fillId="0" borderId="58" xfId="2" applyNumberFormat="1" applyFont="1" applyBorder="1" applyAlignment="1">
      <alignment horizontal="center"/>
    </xf>
    <xf numFmtId="167" fontId="11" fillId="0" borderId="0" xfId="0" applyNumberFormat="1" applyFont="1" applyAlignment="1">
      <alignment horizontal="center"/>
    </xf>
    <xf numFmtId="37" fontId="11" fillId="4" borderId="58" xfId="0" applyNumberFormat="1" applyFont="1" applyFill="1" applyBorder="1" applyAlignment="1">
      <alignment horizontal="center"/>
    </xf>
    <xf numFmtId="167" fontId="0" fillId="4" borderId="0" xfId="2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43" fontId="2" fillId="0" borderId="0" xfId="1654" applyNumberFormat="1"/>
    <xf numFmtId="0" fontId="11" fillId="0" borderId="0" xfId="0" applyFont="1" applyAlignment="1">
      <alignment horizontal="right"/>
    </xf>
    <xf numFmtId="172" fontId="2" fillId="0" borderId="0" xfId="1654" applyNumberFormat="1"/>
    <xf numFmtId="0" fontId="90" fillId="0" borderId="0" xfId="1654" applyFont="1"/>
    <xf numFmtId="0" fontId="0" fillId="0" borderId="2" xfId="0" applyBorder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Continuous"/>
    </xf>
    <xf numFmtId="172" fontId="0" fillId="0" borderId="0" xfId="1" applyNumberFormat="1" applyFont="1"/>
    <xf numFmtId="172" fontId="0" fillId="0" borderId="2" xfId="1" applyNumberFormat="1" applyFont="1" applyBorder="1"/>
    <xf numFmtId="170" fontId="0" fillId="73" borderId="0" xfId="0" applyNumberFormat="1" applyFill="1" applyAlignment="1">
      <alignment horizontal="center"/>
    </xf>
    <xf numFmtId="182" fontId="0" fillId="0" borderId="2" xfId="1" applyNumberFormat="1" applyFont="1" applyBorder="1"/>
    <xf numFmtId="0" fontId="83" fillId="66" borderId="53" xfId="1524" applyFont="1" applyFill="1" applyBorder="1" applyAlignment="1">
      <alignment horizontal="center" vertical="center"/>
    </xf>
    <xf numFmtId="0" fontId="83" fillId="66" borderId="0" xfId="1524" applyFont="1" applyFill="1" applyAlignment="1">
      <alignment horizontal="center" vertical="center"/>
    </xf>
    <xf numFmtId="0" fontId="83" fillId="66" borderId="53" xfId="1524" applyFont="1" applyFill="1" applyBorder="1" applyAlignment="1">
      <alignment horizontal="center" vertical="center" wrapText="1"/>
    </xf>
    <xf numFmtId="0" fontId="83" fillId="66" borderId="0" xfId="1524" applyFont="1" applyFill="1" applyAlignment="1">
      <alignment horizontal="center" vertical="center" wrapText="1"/>
    </xf>
    <xf numFmtId="0" fontId="83" fillId="66" borderId="1" xfId="1524" applyFont="1" applyFill="1" applyBorder="1" applyAlignment="1">
      <alignment horizontal="center" vertical="center" wrapText="1"/>
    </xf>
    <xf numFmtId="0" fontId="83" fillId="66" borderId="51" xfId="1524" applyFont="1" applyFill="1" applyBorder="1" applyAlignment="1">
      <alignment horizontal="center" vertical="center" wrapText="1"/>
    </xf>
    <xf numFmtId="0" fontId="83" fillId="66" borderId="52" xfId="1524" applyFont="1" applyFill="1" applyBorder="1" applyAlignment="1">
      <alignment horizontal="center" vertical="center" wrapText="1"/>
    </xf>
    <xf numFmtId="0" fontId="77" fillId="67" borderId="40" xfId="1524" applyFont="1" applyFill="1" applyBorder="1" applyAlignment="1">
      <alignment horizontal="center" vertical="center" wrapText="1"/>
    </xf>
    <xf numFmtId="0" fontId="77" fillId="67" borderId="35" xfId="1524" applyFont="1" applyFill="1" applyBorder="1" applyAlignment="1">
      <alignment horizontal="center" vertical="center" wrapText="1"/>
    </xf>
    <xf numFmtId="0" fontId="77" fillId="67" borderId="39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</cellXfs>
  <cellStyles count="1657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12" xfId="1655" xr:uid="{E26F9B59-C36A-42BF-A5F0-FE86BC082EFA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4" xr:uid="{187E4ED3-96C3-458D-9BC8-1C81CE0182D4}"/>
    <cellStyle name="Normal 57" xfId="1656" xr:uid="{215ABBCB-4A06-46A7-90D3-E0D5F1983758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AI168"/>
  <sheetViews>
    <sheetView showGridLines="0" zoomScale="80" zoomScaleNormal="80" workbookViewId="0">
      <selection activeCell="B18" sqref="B18"/>
    </sheetView>
  </sheetViews>
  <sheetFormatPr defaultRowHeight="12.75" x14ac:dyDescent="0.2"/>
  <cols>
    <col min="1" max="3" width="14.5703125" style="53" customWidth="1"/>
    <col min="4" max="6" width="14.5703125" style="56" customWidth="1"/>
    <col min="7" max="8" width="14.5703125" style="53" customWidth="1"/>
    <col min="9" max="12" width="14" style="53" customWidth="1"/>
    <col min="13" max="13" width="14.5703125" style="54" bestFit="1" customWidth="1"/>
    <col min="14" max="20" width="14" style="53" customWidth="1"/>
    <col min="21" max="22" width="13.28515625" style="53" customWidth="1"/>
    <col min="23" max="26" width="9.140625" style="53"/>
    <col min="27" max="27" width="16.140625" style="53" customWidth="1"/>
    <col min="28" max="28" width="15.28515625" style="53" customWidth="1"/>
    <col min="29" max="30" width="9.140625" style="53"/>
    <col min="31" max="31" width="8.85546875" style="53"/>
    <col min="32" max="32" width="15.28515625" style="53" customWidth="1"/>
    <col min="33" max="33" width="9.140625" style="53"/>
    <col min="34" max="34" width="16.28515625" style="53" customWidth="1"/>
    <col min="35" max="35" width="14.140625" style="53" customWidth="1"/>
    <col min="36" max="245" width="9.140625" style="53"/>
    <col min="246" max="246" width="31" style="53" customWidth="1"/>
    <col min="247" max="247" width="18.5703125" style="53" customWidth="1"/>
    <col min="248" max="248" width="3.85546875" style="53" customWidth="1"/>
    <col min="249" max="249" width="18.7109375" style="53" customWidth="1"/>
    <col min="250" max="258" width="14" style="53" customWidth="1"/>
    <col min="259" max="259" width="13" style="53" bestFit="1" customWidth="1"/>
    <col min="260" max="260" width="14.5703125" style="53" bestFit="1" customWidth="1"/>
    <col min="261" max="261" width="12.140625" style="53" bestFit="1" customWidth="1"/>
    <col min="262" max="272" width="14" style="53" customWidth="1"/>
    <col min="273" max="276" width="13.28515625" style="53" customWidth="1"/>
    <col min="277" max="501" width="9.140625" style="53"/>
    <col min="502" max="502" width="31" style="53" customWidth="1"/>
    <col min="503" max="503" width="18.5703125" style="53" customWidth="1"/>
    <col min="504" max="504" width="3.85546875" style="53" customWidth="1"/>
    <col min="505" max="505" width="18.7109375" style="53" customWidth="1"/>
    <col min="506" max="514" width="14" style="53" customWidth="1"/>
    <col min="515" max="515" width="13" style="53" bestFit="1" customWidth="1"/>
    <col min="516" max="516" width="14.5703125" style="53" bestFit="1" customWidth="1"/>
    <col min="517" max="517" width="12.140625" style="53" bestFit="1" customWidth="1"/>
    <col min="518" max="528" width="14" style="53" customWidth="1"/>
    <col min="529" max="532" width="13.28515625" style="53" customWidth="1"/>
    <col min="533" max="757" width="9.140625" style="53"/>
    <col min="758" max="758" width="31" style="53" customWidth="1"/>
    <col min="759" max="759" width="18.5703125" style="53" customWidth="1"/>
    <col min="760" max="760" width="3.85546875" style="53" customWidth="1"/>
    <col min="761" max="761" width="18.7109375" style="53" customWidth="1"/>
    <col min="762" max="770" width="14" style="53" customWidth="1"/>
    <col min="771" max="771" width="13" style="53" bestFit="1" customWidth="1"/>
    <col min="772" max="772" width="14.5703125" style="53" bestFit="1" customWidth="1"/>
    <col min="773" max="773" width="12.140625" style="53" bestFit="1" customWidth="1"/>
    <col min="774" max="784" width="14" style="53" customWidth="1"/>
    <col min="785" max="788" width="13.28515625" style="53" customWidth="1"/>
    <col min="789" max="1013" width="9.140625" style="53"/>
    <col min="1014" max="1014" width="31" style="53" customWidth="1"/>
    <col min="1015" max="1015" width="18.5703125" style="53" customWidth="1"/>
    <col min="1016" max="1016" width="3.85546875" style="53" customWidth="1"/>
    <col min="1017" max="1017" width="18.7109375" style="53" customWidth="1"/>
    <col min="1018" max="1026" width="14" style="53" customWidth="1"/>
    <col min="1027" max="1027" width="13" style="53" bestFit="1" customWidth="1"/>
    <col min="1028" max="1028" width="14.5703125" style="53" bestFit="1" customWidth="1"/>
    <col min="1029" max="1029" width="12.140625" style="53" bestFit="1" customWidth="1"/>
    <col min="1030" max="1040" width="14" style="53" customWidth="1"/>
    <col min="1041" max="1044" width="13.28515625" style="53" customWidth="1"/>
    <col min="1045" max="1269" width="9.140625" style="53"/>
    <col min="1270" max="1270" width="31" style="53" customWidth="1"/>
    <col min="1271" max="1271" width="18.5703125" style="53" customWidth="1"/>
    <col min="1272" max="1272" width="3.85546875" style="53" customWidth="1"/>
    <col min="1273" max="1273" width="18.7109375" style="53" customWidth="1"/>
    <col min="1274" max="1282" width="14" style="53" customWidth="1"/>
    <col min="1283" max="1283" width="13" style="53" bestFit="1" customWidth="1"/>
    <col min="1284" max="1284" width="14.5703125" style="53" bestFit="1" customWidth="1"/>
    <col min="1285" max="1285" width="12.140625" style="53" bestFit="1" customWidth="1"/>
    <col min="1286" max="1296" width="14" style="53" customWidth="1"/>
    <col min="1297" max="1300" width="13.28515625" style="53" customWidth="1"/>
    <col min="1301" max="1525" width="9.140625" style="53"/>
    <col min="1526" max="1526" width="31" style="53" customWidth="1"/>
    <col min="1527" max="1527" width="18.5703125" style="53" customWidth="1"/>
    <col min="1528" max="1528" width="3.85546875" style="53" customWidth="1"/>
    <col min="1529" max="1529" width="18.7109375" style="53" customWidth="1"/>
    <col min="1530" max="1538" width="14" style="53" customWidth="1"/>
    <col min="1539" max="1539" width="13" style="53" bestFit="1" customWidth="1"/>
    <col min="1540" max="1540" width="14.5703125" style="53" bestFit="1" customWidth="1"/>
    <col min="1541" max="1541" width="12.140625" style="53" bestFit="1" customWidth="1"/>
    <col min="1542" max="1552" width="14" style="53" customWidth="1"/>
    <col min="1553" max="1556" width="13.28515625" style="53" customWidth="1"/>
    <col min="1557" max="1781" width="9.140625" style="53"/>
    <col min="1782" max="1782" width="31" style="53" customWidth="1"/>
    <col min="1783" max="1783" width="18.5703125" style="53" customWidth="1"/>
    <col min="1784" max="1784" width="3.85546875" style="53" customWidth="1"/>
    <col min="1785" max="1785" width="18.7109375" style="53" customWidth="1"/>
    <col min="1786" max="1794" width="14" style="53" customWidth="1"/>
    <col min="1795" max="1795" width="13" style="53" bestFit="1" customWidth="1"/>
    <col min="1796" max="1796" width="14.5703125" style="53" bestFit="1" customWidth="1"/>
    <col min="1797" max="1797" width="12.140625" style="53" bestFit="1" customWidth="1"/>
    <col min="1798" max="1808" width="14" style="53" customWidth="1"/>
    <col min="1809" max="1812" width="13.28515625" style="53" customWidth="1"/>
    <col min="1813" max="2037" width="9.140625" style="53"/>
    <col min="2038" max="2038" width="31" style="53" customWidth="1"/>
    <col min="2039" max="2039" width="18.5703125" style="53" customWidth="1"/>
    <col min="2040" max="2040" width="3.85546875" style="53" customWidth="1"/>
    <col min="2041" max="2041" width="18.7109375" style="53" customWidth="1"/>
    <col min="2042" max="2050" width="14" style="53" customWidth="1"/>
    <col min="2051" max="2051" width="13" style="53" bestFit="1" customWidth="1"/>
    <col min="2052" max="2052" width="14.5703125" style="53" bestFit="1" customWidth="1"/>
    <col min="2053" max="2053" width="12.140625" style="53" bestFit="1" customWidth="1"/>
    <col min="2054" max="2064" width="14" style="53" customWidth="1"/>
    <col min="2065" max="2068" width="13.28515625" style="53" customWidth="1"/>
    <col min="2069" max="2293" width="9.140625" style="53"/>
    <col min="2294" max="2294" width="31" style="53" customWidth="1"/>
    <col min="2295" max="2295" width="18.5703125" style="53" customWidth="1"/>
    <col min="2296" max="2296" width="3.85546875" style="53" customWidth="1"/>
    <col min="2297" max="2297" width="18.7109375" style="53" customWidth="1"/>
    <col min="2298" max="2306" width="14" style="53" customWidth="1"/>
    <col min="2307" max="2307" width="13" style="53" bestFit="1" customWidth="1"/>
    <col min="2308" max="2308" width="14.5703125" style="53" bestFit="1" customWidth="1"/>
    <col min="2309" max="2309" width="12.140625" style="53" bestFit="1" customWidth="1"/>
    <col min="2310" max="2320" width="14" style="53" customWidth="1"/>
    <col min="2321" max="2324" width="13.28515625" style="53" customWidth="1"/>
    <col min="2325" max="2549" width="9.140625" style="53"/>
    <col min="2550" max="2550" width="31" style="53" customWidth="1"/>
    <col min="2551" max="2551" width="18.5703125" style="53" customWidth="1"/>
    <col min="2552" max="2552" width="3.85546875" style="53" customWidth="1"/>
    <col min="2553" max="2553" width="18.7109375" style="53" customWidth="1"/>
    <col min="2554" max="2562" width="14" style="53" customWidth="1"/>
    <col min="2563" max="2563" width="13" style="53" bestFit="1" customWidth="1"/>
    <col min="2564" max="2564" width="14.5703125" style="53" bestFit="1" customWidth="1"/>
    <col min="2565" max="2565" width="12.140625" style="53" bestFit="1" customWidth="1"/>
    <col min="2566" max="2576" width="14" style="53" customWidth="1"/>
    <col min="2577" max="2580" width="13.28515625" style="53" customWidth="1"/>
    <col min="2581" max="2805" width="9.140625" style="53"/>
    <col min="2806" max="2806" width="31" style="53" customWidth="1"/>
    <col min="2807" max="2807" width="18.5703125" style="53" customWidth="1"/>
    <col min="2808" max="2808" width="3.85546875" style="53" customWidth="1"/>
    <col min="2809" max="2809" width="18.7109375" style="53" customWidth="1"/>
    <col min="2810" max="2818" width="14" style="53" customWidth="1"/>
    <col min="2819" max="2819" width="13" style="53" bestFit="1" customWidth="1"/>
    <col min="2820" max="2820" width="14.5703125" style="53" bestFit="1" customWidth="1"/>
    <col min="2821" max="2821" width="12.140625" style="53" bestFit="1" customWidth="1"/>
    <col min="2822" max="2832" width="14" style="53" customWidth="1"/>
    <col min="2833" max="2836" width="13.28515625" style="53" customWidth="1"/>
    <col min="2837" max="3061" width="9.140625" style="53"/>
    <col min="3062" max="3062" width="31" style="53" customWidth="1"/>
    <col min="3063" max="3063" width="18.5703125" style="53" customWidth="1"/>
    <col min="3064" max="3064" width="3.85546875" style="53" customWidth="1"/>
    <col min="3065" max="3065" width="18.7109375" style="53" customWidth="1"/>
    <col min="3066" max="3074" width="14" style="53" customWidth="1"/>
    <col min="3075" max="3075" width="13" style="53" bestFit="1" customWidth="1"/>
    <col min="3076" max="3076" width="14.5703125" style="53" bestFit="1" customWidth="1"/>
    <col min="3077" max="3077" width="12.140625" style="53" bestFit="1" customWidth="1"/>
    <col min="3078" max="3088" width="14" style="53" customWidth="1"/>
    <col min="3089" max="3092" width="13.28515625" style="53" customWidth="1"/>
    <col min="3093" max="3317" width="9.140625" style="53"/>
    <col min="3318" max="3318" width="31" style="53" customWidth="1"/>
    <col min="3319" max="3319" width="18.5703125" style="53" customWidth="1"/>
    <col min="3320" max="3320" width="3.85546875" style="53" customWidth="1"/>
    <col min="3321" max="3321" width="18.7109375" style="53" customWidth="1"/>
    <col min="3322" max="3330" width="14" style="53" customWidth="1"/>
    <col min="3331" max="3331" width="13" style="53" bestFit="1" customWidth="1"/>
    <col min="3332" max="3332" width="14.5703125" style="53" bestFit="1" customWidth="1"/>
    <col min="3333" max="3333" width="12.140625" style="53" bestFit="1" customWidth="1"/>
    <col min="3334" max="3344" width="14" style="53" customWidth="1"/>
    <col min="3345" max="3348" width="13.28515625" style="53" customWidth="1"/>
    <col min="3349" max="3573" width="9.140625" style="53"/>
    <col min="3574" max="3574" width="31" style="53" customWidth="1"/>
    <col min="3575" max="3575" width="18.5703125" style="53" customWidth="1"/>
    <col min="3576" max="3576" width="3.85546875" style="53" customWidth="1"/>
    <col min="3577" max="3577" width="18.7109375" style="53" customWidth="1"/>
    <col min="3578" max="3586" width="14" style="53" customWidth="1"/>
    <col min="3587" max="3587" width="13" style="53" bestFit="1" customWidth="1"/>
    <col min="3588" max="3588" width="14.5703125" style="53" bestFit="1" customWidth="1"/>
    <col min="3589" max="3589" width="12.140625" style="53" bestFit="1" customWidth="1"/>
    <col min="3590" max="3600" width="14" style="53" customWidth="1"/>
    <col min="3601" max="3604" width="13.28515625" style="53" customWidth="1"/>
    <col min="3605" max="3829" width="9.140625" style="53"/>
    <col min="3830" max="3830" width="31" style="53" customWidth="1"/>
    <col min="3831" max="3831" width="18.5703125" style="53" customWidth="1"/>
    <col min="3832" max="3832" width="3.85546875" style="53" customWidth="1"/>
    <col min="3833" max="3833" width="18.7109375" style="53" customWidth="1"/>
    <col min="3834" max="3842" width="14" style="53" customWidth="1"/>
    <col min="3843" max="3843" width="13" style="53" bestFit="1" customWidth="1"/>
    <col min="3844" max="3844" width="14.5703125" style="53" bestFit="1" customWidth="1"/>
    <col min="3845" max="3845" width="12.140625" style="53" bestFit="1" customWidth="1"/>
    <col min="3846" max="3856" width="14" style="53" customWidth="1"/>
    <col min="3857" max="3860" width="13.28515625" style="53" customWidth="1"/>
    <col min="3861" max="4085" width="9.140625" style="53"/>
    <col min="4086" max="4086" width="31" style="53" customWidth="1"/>
    <col min="4087" max="4087" width="18.5703125" style="53" customWidth="1"/>
    <col min="4088" max="4088" width="3.85546875" style="53" customWidth="1"/>
    <col min="4089" max="4089" width="18.7109375" style="53" customWidth="1"/>
    <col min="4090" max="4098" width="14" style="53" customWidth="1"/>
    <col min="4099" max="4099" width="13" style="53" bestFit="1" customWidth="1"/>
    <col min="4100" max="4100" width="14.5703125" style="53" bestFit="1" customWidth="1"/>
    <col min="4101" max="4101" width="12.140625" style="53" bestFit="1" customWidth="1"/>
    <col min="4102" max="4112" width="14" style="53" customWidth="1"/>
    <col min="4113" max="4116" width="13.28515625" style="53" customWidth="1"/>
    <col min="4117" max="4341" width="9.140625" style="53"/>
    <col min="4342" max="4342" width="31" style="53" customWidth="1"/>
    <col min="4343" max="4343" width="18.5703125" style="53" customWidth="1"/>
    <col min="4344" max="4344" width="3.85546875" style="53" customWidth="1"/>
    <col min="4345" max="4345" width="18.7109375" style="53" customWidth="1"/>
    <col min="4346" max="4354" width="14" style="53" customWidth="1"/>
    <col min="4355" max="4355" width="13" style="53" bestFit="1" customWidth="1"/>
    <col min="4356" max="4356" width="14.5703125" style="53" bestFit="1" customWidth="1"/>
    <col min="4357" max="4357" width="12.140625" style="53" bestFit="1" customWidth="1"/>
    <col min="4358" max="4368" width="14" style="53" customWidth="1"/>
    <col min="4369" max="4372" width="13.28515625" style="53" customWidth="1"/>
    <col min="4373" max="4597" width="9.140625" style="53"/>
    <col min="4598" max="4598" width="31" style="53" customWidth="1"/>
    <col min="4599" max="4599" width="18.5703125" style="53" customWidth="1"/>
    <col min="4600" max="4600" width="3.85546875" style="53" customWidth="1"/>
    <col min="4601" max="4601" width="18.7109375" style="53" customWidth="1"/>
    <col min="4602" max="4610" width="14" style="53" customWidth="1"/>
    <col min="4611" max="4611" width="13" style="53" bestFit="1" customWidth="1"/>
    <col min="4612" max="4612" width="14.5703125" style="53" bestFit="1" customWidth="1"/>
    <col min="4613" max="4613" width="12.140625" style="53" bestFit="1" customWidth="1"/>
    <col min="4614" max="4624" width="14" style="53" customWidth="1"/>
    <col min="4625" max="4628" width="13.28515625" style="53" customWidth="1"/>
    <col min="4629" max="4853" width="9.140625" style="53"/>
    <col min="4854" max="4854" width="31" style="53" customWidth="1"/>
    <col min="4855" max="4855" width="18.5703125" style="53" customWidth="1"/>
    <col min="4856" max="4856" width="3.85546875" style="53" customWidth="1"/>
    <col min="4857" max="4857" width="18.7109375" style="53" customWidth="1"/>
    <col min="4858" max="4866" width="14" style="53" customWidth="1"/>
    <col min="4867" max="4867" width="13" style="53" bestFit="1" customWidth="1"/>
    <col min="4868" max="4868" width="14.5703125" style="53" bestFit="1" customWidth="1"/>
    <col min="4869" max="4869" width="12.140625" style="53" bestFit="1" customWidth="1"/>
    <col min="4870" max="4880" width="14" style="53" customWidth="1"/>
    <col min="4881" max="4884" width="13.28515625" style="53" customWidth="1"/>
    <col min="4885" max="5109" width="9.140625" style="53"/>
    <col min="5110" max="5110" width="31" style="53" customWidth="1"/>
    <col min="5111" max="5111" width="18.5703125" style="53" customWidth="1"/>
    <col min="5112" max="5112" width="3.85546875" style="53" customWidth="1"/>
    <col min="5113" max="5113" width="18.7109375" style="53" customWidth="1"/>
    <col min="5114" max="5122" width="14" style="53" customWidth="1"/>
    <col min="5123" max="5123" width="13" style="53" bestFit="1" customWidth="1"/>
    <col min="5124" max="5124" width="14.5703125" style="53" bestFit="1" customWidth="1"/>
    <col min="5125" max="5125" width="12.140625" style="53" bestFit="1" customWidth="1"/>
    <col min="5126" max="5136" width="14" style="53" customWidth="1"/>
    <col min="5137" max="5140" width="13.28515625" style="53" customWidth="1"/>
    <col min="5141" max="5365" width="9.140625" style="53"/>
    <col min="5366" max="5366" width="31" style="53" customWidth="1"/>
    <col min="5367" max="5367" width="18.5703125" style="53" customWidth="1"/>
    <col min="5368" max="5368" width="3.85546875" style="53" customWidth="1"/>
    <col min="5369" max="5369" width="18.7109375" style="53" customWidth="1"/>
    <col min="5370" max="5378" width="14" style="53" customWidth="1"/>
    <col min="5379" max="5379" width="13" style="53" bestFit="1" customWidth="1"/>
    <col min="5380" max="5380" width="14.5703125" style="53" bestFit="1" customWidth="1"/>
    <col min="5381" max="5381" width="12.140625" style="53" bestFit="1" customWidth="1"/>
    <col min="5382" max="5392" width="14" style="53" customWidth="1"/>
    <col min="5393" max="5396" width="13.28515625" style="53" customWidth="1"/>
    <col min="5397" max="5621" width="9.140625" style="53"/>
    <col min="5622" max="5622" width="31" style="53" customWidth="1"/>
    <col min="5623" max="5623" width="18.5703125" style="53" customWidth="1"/>
    <col min="5624" max="5624" width="3.85546875" style="53" customWidth="1"/>
    <col min="5625" max="5625" width="18.7109375" style="53" customWidth="1"/>
    <col min="5626" max="5634" width="14" style="53" customWidth="1"/>
    <col min="5635" max="5635" width="13" style="53" bestFit="1" customWidth="1"/>
    <col min="5636" max="5636" width="14.5703125" style="53" bestFit="1" customWidth="1"/>
    <col min="5637" max="5637" width="12.140625" style="53" bestFit="1" customWidth="1"/>
    <col min="5638" max="5648" width="14" style="53" customWidth="1"/>
    <col min="5649" max="5652" width="13.28515625" style="53" customWidth="1"/>
    <col min="5653" max="5877" width="9.140625" style="53"/>
    <col min="5878" max="5878" width="31" style="53" customWidth="1"/>
    <col min="5879" max="5879" width="18.5703125" style="53" customWidth="1"/>
    <col min="5880" max="5880" width="3.85546875" style="53" customWidth="1"/>
    <col min="5881" max="5881" width="18.7109375" style="53" customWidth="1"/>
    <col min="5882" max="5890" width="14" style="53" customWidth="1"/>
    <col min="5891" max="5891" width="13" style="53" bestFit="1" customWidth="1"/>
    <col min="5892" max="5892" width="14.5703125" style="53" bestFit="1" customWidth="1"/>
    <col min="5893" max="5893" width="12.140625" style="53" bestFit="1" customWidth="1"/>
    <col min="5894" max="5904" width="14" style="53" customWidth="1"/>
    <col min="5905" max="5908" width="13.28515625" style="53" customWidth="1"/>
    <col min="5909" max="6133" width="9.140625" style="53"/>
    <col min="6134" max="6134" width="31" style="53" customWidth="1"/>
    <col min="6135" max="6135" width="18.5703125" style="53" customWidth="1"/>
    <col min="6136" max="6136" width="3.85546875" style="53" customWidth="1"/>
    <col min="6137" max="6137" width="18.7109375" style="53" customWidth="1"/>
    <col min="6138" max="6146" width="14" style="53" customWidth="1"/>
    <col min="6147" max="6147" width="13" style="53" bestFit="1" customWidth="1"/>
    <col min="6148" max="6148" width="14.5703125" style="53" bestFit="1" customWidth="1"/>
    <col min="6149" max="6149" width="12.140625" style="53" bestFit="1" customWidth="1"/>
    <col min="6150" max="6160" width="14" style="53" customWidth="1"/>
    <col min="6161" max="6164" width="13.28515625" style="53" customWidth="1"/>
    <col min="6165" max="6389" width="9.140625" style="53"/>
    <col min="6390" max="6390" width="31" style="53" customWidth="1"/>
    <col min="6391" max="6391" width="18.5703125" style="53" customWidth="1"/>
    <col min="6392" max="6392" width="3.85546875" style="53" customWidth="1"/>
    <col min="6393" max="6393" width="18.7109375" style="53" customWidth="1"/>
    <col min="6394" max="6402" width="14" style="53" customWidth="1"/>
    <col min="6403" max="6403" width="13" style="53" bestFit="1" customWidth="1"/>
    <col min="6404" max="6404" width="14.5703125" style="53" bestFit="1" customWidth="1"/>
    <col min="6405" max="6405" width="12.140625" style="53" bestFit="1" customWidth="1"/>
    <col min="6406" max="6416" width="14" style="53" customWidth="1"/>
    <col min="6417" max="6420" width="13.28515625" style="53" customWidth="1"/>
    <col min="6421" max="6645" width="9.140625" style="53"/>
    <col min="6646" max="6646" width="31" style="53" customWidth="1"/>
    <col min="6647" max="6647" width="18.5703125" style="53" customWidth="1"/>
    <col min="6648" max="6648" width="3.85546875" style="53" customWidth="1"/>
    <col min="6649" max="6649" width="18.7109375" style="53" customWidth="1"/>
    <col min="6650" max="6658" width="14" style="53" customWidth="1"/>
    <col min="6659" max="6659" width="13" style="53" bestFit="1" customWidth="1"/>
    <col min="6660" max="6660" width="14.5703125" style="53" bestFit="1" customWidth="1"/>
    <col min="6661" max="6661" width="12.140625" style="53" bestFit="1" customWidth="1"/>
    <col min="6662" max="6672" width="14" style="53" customWidth="1"/>
    <col min="6673" max="6676" width="13.28515625" style="53" customWidth="1"/>
    <col min="6677" max="6901" width="9.140625" style="53"/>
    <col min="6902" max="6902" width="31" style="53" customWidth="1"/>
    <col min="6903" max="6903" width="18.5703125" style="53" customWidth="1"/>
    <col min="6904" max="6904" width="3.85546875" style="53" customWidth="1"/>
    <col min="6905" max="6905" width="18.7109375" style="53" customWidth="1"/>
    <col min="6906" max="6914" width="14" style="53" customWidth="1"/>
    <col min="6915" max="6915" width="13" style="53" bestFit="1" customWidth="1"/>
    <col min="6916" max="6916" width="14.5703125" style="53" bestFit="1" customWidth="1"/>
    <col min="6917" max="6917" width="12.140625" style="53" bestFit="1" customWidth="1"/>
    <col min="6918" max="6928" width="14" style="53" customWidth="1"/>
    <col min="6929" max="6932" width="13.28515625" style="53" customWidth="1"/>
    <col min="6933" max="7157" width="9.140625" style="53"/>
    <col min="7158" max="7158" width="31" style="53" customWidth="1"/>
    <col min="7159" max="7159" width="18.5703125" style="53" customWidth="1"/>
    <col min="7160" max="7160" width="3.85546875" style="53" customWidth="1"/>
    <col min="7161" max="7161" width="18.7109375" style="53" customWidth="1"/>
    <col min="7162" max="7170" width="14" style="53" customWidth="1"/>
    <col min="7171" max="7171" width="13" style="53" bestFit="1" customWidth="1"/>
    <col min="7172" max="7172" width="14.5703125" style="53" bestFit="1" customWidth="1"/>
    <col min="7173" max="7173" width="12.140625" style="53" bestFit="1" customWidth="1"/>
    <col min="7174" max="7184" width="14" style="53" customWidth="1"/>
    <col min="7185" max="7188" width="13.28515625" style="53" customWidth="1"/>
    <col min="7189" max="7413" width="9.140625" style="53"/>
    <col min="7414" max="7414" width="31" style="53" customWidth="1"/>
    <col min="7415" max="7415" width="18.5703125" style="53" customWidth="1"/>
    <col min="7416" max="7416" width="3.85546875" style="53" customWidth="1"/>
    <col min="7417" max="7417" width="18.7109375" style="53" customWidth="1"/>
    <col min="7418" max="7426" width="14" style="53" customWidth="1"/>
    <col min="7427" max="7427" width="13" style="53" bestFit="1" customWidth="1"/>
    <col min="7428" max="7428" width="14.5703125" style="53" bestFit="1" customWidth="1"/>
    <col min="7429" max="7429" width="12.140625" style="53" bestFit="1" customWidth="1"/>
    <col min="7430" max="7440" width="14" style="53" customWidth="1"/>
    <col min="7441" max="7444" width="13.28515625" style="53" customWidth="1"/>
    <col min="7445" max="7669" width="9.140625" style="53"/>
    <col min="7670" max="7670" width="31" style="53" customWidth="1"/>
    <col min="7671" max="7671" width="18.5703125" style="53" customWidth="1"/>
    <col min="7672" max="7672" width="3.85546875" style="53" customWidth="1"/>
    <col min="7673" max="7673" width="18.7109375" style="53" customWidth="1"/>
    <col min="7674" max="7682" width="14" style="53" customWidth="1"/>
    <col min="7683" max="7683" width="13" style="53" bestFit="1" customWidth="1"/>
    <col min="7684" max="7684" width="14.5703125" style="53" bestFit="1" customWidth="1"/>
    <col min="7685" max="7685" width="12.140625" style="53" bestFit="1" customWidth="1"/>
    <col min="7686" max="7696" width="14" style="53" customWidth="1"/>
    <col min="7697" max="7700" width="13.28515625" style="53" customWidth="1"/>
    <col min="7701" max="7925" width="9.140625" style="53"/>
    <col min="7926" max="7926" width="31" style="53" customWidth="1"/>
    <col min="7927" max="7927" width="18.5703125" style="53" customWidth="1"/>
    <col min="7928" max="7928" width="3.85546875" style="53" customWidth="1"/>
    <col min="7929" max="7929" width="18.7109375" style="53" customWidth="1"/>
    <col min="7930" max="7938" width="14" style="53" customWidth="1"/>
    <col min="7939" max="7939" width="13" style="53" bestFit="1" customWidth="1"/>
    <col min="7940" max="7940" width="14.5703125" style="53" bestFit="1" customWidth="1"/>
    <col min="7941" max="7941" width="12.140625" style="53" bestFit="1" customWidth="1"/>
    <col min="7942" max="7952" width="14" style="53" customWidth="1"/>
    <col min="7953" max="7956" width="13.28515625" style="53" customWidth="1"/>
    <col min="7957" max="8181" width="9.140625" style="53"/>
    <col min="8182" max="8182" width="31" style="53" customWidth="1"/>
    <col min="8183" max="8183" width="18.5703125" style="53" customWidth="1"/>
    <col min="8184" max="8184" width="3.85546875" style="53" customWidth="1"/>
    <col min="8185" max="8185" width="18.7109375" style="53" customWidth="1"/>
    <col min="8186" max="8194" width="14" style="53" customWidth="1"/>
    <col min="8195" max="8195" width="13" style="53" bestFit="1" customWidth="1"/>
    <col min="8196" max="8196" width="14.5703125" style="53" bestFit="1" customWidth="1"/>
    <col min="8197" max="8197" width="12.140625" style="53" bestFit="1" customWidth="1"/>
    <col min="8198" max="8208" width="14" style="53" customWidth="1"/>
    <col min="8209" max="8212" width="13.28515625" style="53" customWidth="1"/>
    <col min="8213" max="8437" width="9.140625" style="53"/>
    <col min="8438" max="8438" width="31" style="53" customWidth="1"/>
    <col min="8439" max="8439" width="18.5703125" style="53" customWidth="1"/>
    <col min="8440" max="8440" width="3.85546875" style="53" customWidth="1"/>
    <col min="8441" max="8441" width="18.7109375" style="53" customWidth="1"/>
    <col min="8442" max="8450" width="14" style="53" customWidth="1"/>
    <col min="8451" max="8451" width="13" style="53" bestFit="1" customWidth="1"/>
    <col min="8452" max="8452" width="14.5703125" style="53" bestFit="1" customWidth="1"/>
    <col min="8453" max="8453" width="12.140625" style="53" bestFit="1" customWidth="1"/>
    <col min="8454" max="8464" width="14" style="53" customWidth="1"/>
    <col min="8465" max="8468" width="13.28515625" style="53" customWidth="1"/>
    <col min="8469" max="8693" width="9.140625" style="53"/>
    <col min="8694" max="8694" width="31" style="53" customWidth="1"/>
    <col min="8695" max="8695" width="18.5703125" style="53" customWidth="1"/>
    <col min="8696" max="8696" width="3.85546875" style="53" customWidth="1"/>
    <col min="8697" max="8697" width="18.7109375" style="53" customWidth="1"/>
    <col min="8698" max="8706" width="14" style="53" customWidth="1"/>
    <col min="8707" max="8707" width="13" style="53" bestFit="1" customWidth="1"/>
    <col min="8708" max="8708" width="14.5703125" style="53" bestFit="1" customWidth="1"/>
    <col min="8709" max="8709" width="12.140625" style="53" bestFit="1" customWidth="1"/>
    <col min="8710" max="8720" width="14" style="53" customWidth="1"/>
    <col min="8721" max="8724" width="13.28515625" style="53" customWidth="1"/>
    <col min="8725" max="8949" width="9.140625" style="53"/>
    <col min="8950" max="8950" width="31" style="53" customWidth="1"/>
    <col min="8951" max="8951" width="18.5703125" style="53" customWidth="1"/>
    <col min="8952" max="8952" width="3.85546875" style="53" customWidth="1"/>
    <col min="8953" max="8953" width="18.7109375" style="53" customWidth="1"/>
    <col min="8954" max="8962" width="14" style="53" customWidth="1"/>
    <col min="8963" max="8963" width="13" style="53" bestFit="1" customWidth="1"/>
    <col min="8964" max="8964" width="14.5703125" style="53" bestFit="1" customWidth="1"/>
    <col min="8965" max="8965" width="12.140625" style="53" bestFit="1" customWidth="1"/>
    <col min="8966" max="8976" width="14" style="53" customWidth="1"/>
    <col min="8977" max="8980" width="13.28515625" style="53" customWidth="1"/>
    <col min="8981" max="9205" width="9.140625" style="53"/>
    <col min="9206" max="9206" width="31" style="53" customWidth="1"/>
    <col min="9207" max="9207" width="18.5703125" style="53" customWidth="1"/>
    <col min="9208" max="9208" width="3.85546875" style="53" customWidth="1"/>
    <col min="9209" max="9209" width="18.7109375" style="53" customWidth="1"/>
    <col min="9210" max="9218" width="14" style="53" customWidth="1"/>
    <col min="9219" max="9219" width="13" style="53" bestFit="1" customWidth="1"/>
    <col min="9220" max="9220" width="14.5703125" style="53" bestFit="1" customWidth="1"/>
    <col min="9221" max="9221" width="12.140625" style="53" bestFit="1" customWidth="1"/>
    <col min="9222" max="9232" width="14" style="53" customWidth="1"/>
    <col min="9233" max="9236" width="13.28515625" style="53" customWidth="1"/>
    <col min="9237" max="9461" width="9.140625" style="53"/>
    <col min="9462" max="9462" width="31" style="53" customWidth="1"/>
    <col min="9463" max="9463" width="18.5703125" style="53" customWidth="1"/>
    <col min="9464" max="9464" width="3.85546875" style="53" customWidth="1"/>
    <col min="9465" max="9465" width="18.7109375" style="53" customWidth="1"/>
    <col min="9466" max="9474" width="14" style="53" customWidth="1"/>
    <col min="9475" max="9475" width="13" style="53" bestFit="1" customWidth="1"/>
    <col min="9476" max="9476" width="14.5703125" style="53" bestFit="1" customWidth="1"/>
    <col min="9477" max="9477" width="12.140625" style="53" bestFit="1" customWidth="1"/>
    <col min="9478" max="9488" width="14" style="53" customWidth="1"/>
    <col min="9489" max="9492" width="13.28515625" style="53" customWidth="1"/>
    <col min="9493" max="9717" width="9.140625" style="53"/>
    <col min="9718" max="9718" width="31" style="53" customWidth="1"/>
    <col min="9719" max="9719" width="18.5703125" style="53" customWidth="1"/>
    <col min="9720" max="9720" width="3.85546875" style="53" customWidth="1"/>
    <col min="9721" max="9721" width="18.7109375" style="53" customWidth="1"/>
    <col min="9722" max="9730" width="14" style="53" customWidth="1"/>
    <col min="9731" max="9731" width="13" style="53" bestFit="1" customWidth="1"/>
    <col min="9732" max="9732" width="14.5703125" style="53" bestFit="1" customWidth="1"/>
    <col min="9733" max="9733" width="12.140625" style="53" bestFit="1" customWidth="1"/>
    <col min="9734" max="9744" width="14" style="53" customWidth="1"/>
    <col min="9745" max="9748" width="13.28515625" style="53" customWidth="1"/>
    <col min="9749" max="9973" width="9.140625" style="53"/>
    <col min="9974" max="9974" width="31" style="53" customWidth="1"/>
    <col min="9975" max="9975" width="18.5703125" style="53" customWidth="1"/>
    <col min="9976" max="9976" width="3.85546875" style="53" customWidth="1"/>
    <col min="9977" max="9977" width="18.7109375" style="53" customWidth="1"/>
    <col min="9978" max="9986" width="14" style="53" customWidth="1"/>
    <col min="9987" max="9987" width="13" style="53" bestFit="1" customWidth="1"/>
    <col min="9988" max="9988" width="14.5703125" style="53" bestFit="1" customWidth="1"/>
    <col min="9989" max="9989" width="12.140625" style="53" bestFit="1" customWidth="1"/>
    <col min="9990" max="10000" width="14" style="53" customWidth="1"/>
    <col min="10001" max="10004" width="13.28515625" style="53" customWidth="1"/>
    <col min="10005" max="10229" width="9.140625" style="53"/>
    <col min="10230" max="10230" width="31" style="53" customWidth="1"/>
    <col min="10231" max="10231" width="18.5703125" style="53" customWidth="1"/>
    <col min="10232" max="10232" width="3.85546875" style="53" customWidth="1"/>
    <col min="10233" max="10233" width="18.7109375" style="53" customWidth="1"/>
    <col min="10234" max="10242" width="14" style="53" customWidth="1"/>
    <col min="10243" max="10243" width="13" style="53" bestFit="1" customWidth="1"/>
    <col min="10244" max="10244" width="14.5703125" style="53" bestFit="1" customWidth="1"/>
    <col min="10245" max="10245" width="12.140625" style="53" bestFit="1" customWidth="1"/>
    <col min="10246" max="10256" width="14" style="53" customWidth="1"/>
    <col min="10257" max="10260" width="13.28515625" style="53" customWidth="1"/>
    <col min="10261" max="10485" width="9.140625" style="53"/>
    <col min="10486" max="10486" width="31" style="53" customWidth="1"/>
    <col min="10487" max="10487" width="18.5703125" style="53" customWidth="1"/>
    <col min="10488" max="10488" width="3.85546875" style="53" customWidth="1"/>
    <col min="10489" max="10489" width="18.7109375" style="53" customWidth="1"/>
    <col min="10490" max="10498" width="14" style="53" customWidth="1"/>
    <col min="10499" max="10499" width="13" style="53" bestFit="1" customWidth="1"/>
    <col min="10500" max="10500" width="14.5703125" style="53" bestFit="1" customWidth="1"/>
    <col min="10501" max="10501" width="12.140625" style="53" bestFit="1" customWidth="1"/>
    <col min="10502" max="10512" width="14" style="53" customWidth="1"/>
    <col min="10513" max="10516" width="13.28515625" style="53" customWidth="1"/>
    <col min="10517" max="10741" width="9.140625" style="53"/>
    <col min="10742" max="10742" width="31" style="53" customWidth="1"/>
    <col min="10743" max="10743" width="18.5703125" style="53" customWidth="1"/>
    <col min="10744" max="10744" width="3.85546875" style="53" customWidth="1"/>
    <col min="10745" max="10745" width="18.7109375" style="53" customWidth="1"/>
    <col min="10746" max="10754" width="14" style="53" customWidth="1"/>
    <col min="10755" max="10755" width="13" style="53" bestFit="1" customWidth="1"/>
    <col min="10756" max="10756" width="14.5703125" style="53" bestFit="1" customWidth="1"/>
    <col min="10757" max="10757" width="12.140625" style="53" bestFit="1" customWidth="1"/>
    <col min="10758" max="10768" width="14" style="53" customWidth="1"/>
    <col min="10769" max="10772" width="13.28515625" style="53" customWidth="1"/>
    <col min="10773" max="10997" width="9.140625" style="53"/>
    <col min="10998" max="10998" width="31" style="53" customWidth="1"/>
    <col min="10999" max="10999" width="18.5703125" style="53" customWidth="1"/>
    <col min="11000" max="11000" width="3.85546875" style="53" customWidth="1"/>
    <col min="11001" max="11001" width="18.7109375" style="53" customWidth="1"/>
    <col min="11002" max="11010" width="14" style="53" customWidth="1"/>
    <col min="11011" max="11011" width="13" style="53" bestFit="1" customWidth="1"/>
    <col min="11012" max="11012" width="14.5703125" style="53" bestFit="1" customWidth="1"/>
    <col min="11013" max="11013" width="12.140625" style="53" bestFit="1" customWidth="1"/>
    <col min="11014" max="11024" width="14" style="53" customWidth="1"/>
    <col min="11025" max="11028" width="13.28515625" style="53" customWidth="1"/>
    <col min="11029" max="11253" width="9.140625" style="53"/>
    <col min="11254" max="11254" width="31" style="53" customWidth="1"/>
    <col min="11255" max="11255" width="18.5703125" style="53" customWidth="1"/>
    <col min="11256" max="11256" width="3.85546875" style="53" customWidth="1"/>
    <col min="11257" max="11257" width="18.7109375" style="53" customWidth="1"/>
    <col min="11258" max="11266" width="14" style="53" customWidth="1"/>
    <col min="11267" max="11267" width="13" style="53" bestFit="1" customWidth="1"/>
    <col min="11268" max="11268" width="14.5703125" style="53" bestFit="1" customWidth="1"/>
    <col min="11269" max="11269" width="12.140625" style="53" bestFit="1" customWidth="1"/>
    <col min="11270" max="11280" width="14" style="53" customWidth="1"/>
    <col min="11281" max="11284" width="13.28515625" style="53" customWidth="1"/>
    <col min="11285" max="11509" width="9.140625" style="53"/>
    <col min="11510" max="11510" width="31" style="53" customWidth="1"/>
    <col min="11511" max="11511" width="18.5703125" style="53" customWidth="1"/>
    <col min="11512" max="11512" width="3.85546875" style="53" customWidth="1"/>
    <col min="11513" max="11513" width="18.7109375" style="53" customWidth="1"/>
    <col min="11514" max="11522" width="14" style="53" customWidth="1"/>
    <col min="11523" max="11523" width="13" style="53" bestFit="1" customWidth="1"/>
    <col min="11524" max="11524" width="14.5703125" style="53" bestFit="1" customWidth="1"/>
    <col min="11525" max="11525" width="12.140625" style="53" bestFit="1" customWidth="1"/>
    <col min="11526" max="11536" width="14" style="53" customWidth="1"/>
    <col min="11537" max="11540" width="13.28515625" style="53" customWidth="1"/>
    <col min="11541" max="11765" width="9.140625" style="53"/>
    <col min="11766" max="11766" width="31" style="53" customWidth="1"/>
    <col min="11767" max="11767" width="18.5703125" style="53" customWidth="1"/>
    <col min="11768" max="11768" width="3.85546875" style="53" customWidth="1"/>
    <col min="11769" max="11769" width="18.7109375" style="53" customWidth="1"/>
    <col min="11770" max="11778" width="14" style="53" customWidth="1"/>
    <col min="11779" max="11779" width="13" style="53" bestFit="1" customWidth="1"/>
    <col min="11780" max="11780" width="14.5703125" style="53" bestFit="1" customWidth="1"/>
    <col min="11781" max="11781" width="12.140625" style="53" bestFit="1" customWidth="1"/>
    <col min="11782" max="11792" width="14" style="53" customWidth="1"/>
    <col min="11793" max="11796" width="13.28515625" style="53" customWidth="1"/>
    <col min="11797" max="12021" width="9.140625" style="53"/>
    <col min="12022" max="12022" width="31" style="53" customWidth="1"/>
    <col min="12023" max="12023" width="18.5703125" style="53" customWidth="1"/>
    <col min="12024" max="12024" width="3.85546875" style="53" customWidth="1"/>
    <col min="12025" max="12025" width="18.7109375" style="53" customWidth="1"/>
    <col min="12026" max="12034" width="14" style="53" customWidth="1"/>
    <col min="12035" max="12035" width="13" style="53" bestFit="1" customWidth="1"/>
    <col min="12036" max="12036" width="14.5703125" style="53" bestFit="1" customWidth="1"/>
    <col min="12037" max="12037" width="12.140625" style="53" bestFit="1" customWidth="1"/>
    <col min="12038" max="12048" width="14" style="53" customWidth="1"/>
    <col min="12049" max="12052" width="13.28515625" style="53" customWidth="1"/>
    <col min="12053" max="12277" width="9.140625" style="53"/>
    <col min="12278" max="12278" width="31" style="53" customWidth="1"/>
    <col min="12279" max="12279" width="18.5703125" style="53" customWidth="1"/>
    <col min="12280" max="12280" width="3.85546875" style="53" customWidth="1"/>
    <col min="12281" max="12281" width="18.7109375" style="53" customWidth="1"/>
    <col min="12282" max="12290" width="14" style="53" customWidth="1"/>
    <col min="12291" max="12291" width="13" style="53" bestFit="1" customWidth="1"/>
    <col min="12292" max="12292" width="14.5703125" style="53" bestFit="1" customWidth="1"/>
    <col min="12293" max="12293" width="12.140625" style="53" bestFit="1" customWidth="1"/>
    <col min="12294" max="12304" width="14" style="53" customWidth="1"/>
    <col min="12305" max="12308" width="13.28515625" style="53" customWidth="1"/>
    <col min="12309" max="12533" width="9.140625" style="53"/>
    <col min="12534" max="12534" width="31" style="53" customWidth="1"/>
    <col min="12535" max="12535" width="18.5703125" style="53" customWidth="1"/>
    <col min="12536" max="12536" width="3.85546875" style="53" customWidth="1"/>
    <col min="12537" max="12537" width="18.7109375" style="53" customWidth="1"/>
    <col min="12538" max="12546" width="14" style="53" customWidth="1"/>
    <col min="12547" max="12547" width="13" style="53" bestFit="1" customWidth="1"/>
    <col min="12548" max="12548" width="14.5703125" style="53" bestFit="1" customWidth="1"/>
    <col min="12549" max="12549" width="12.140625" style="53" bestFit="1" customWidth="1"/>
    <col min="12550" max="12560" width="14" style="53" customWidth="1"/>
    <col min="12561" max="12564" width="13.28515625" style="53" customWidth="1"/>
    <col min="12565" max="12789" width="9.140625" style="53"/>
    <col min="12790" max="12790" width="31" style="53" customWidth="1"/>
    <col min="12791" max="12791" width="18.5703125" style="53" customWidth="1"/>
    <col min="12792" max="12792" width="3.85546875" style="53" customWidth="1"/>
    <col min="12793" max="12793" width="18.7109375" style="53" customWidth="1"/>
    <col min="12794" max="12802" width="14" style="53" customWidth="1"/>
    <col min="12803" max="12803" width="13" style="53" bestFit="1" customWidth="1"/>
    <col min="12804" max="12804" width="14.5703125" style="53" bestFit="1" customWidth="1"/>
    <col min="12805" max="12805" width="12.140625" style="53" bestFit="1" customWidth="1"/>
    <col min="12806" max="12816" width="14" style="53" customWidth="1"/>
    <col min="12817" max="12820" width="13.28515625" style="53" customWidth="1"/>
    <col min="12821" max="13045" width="9.140625" style="53"/>
    <col min="13046" max="13046" width="31" style="53" customWidth="1"/>
    <col min="13047" max="13047" width="18.5703125" style="53" customWidth="1"/>
    <col min="13048" max="13048" width="3.85546875" style="53" customWidth="1"/>
    <col min="13049" max="13049" width="18.7109375" style="53" customWidth="1"/>
    <col min="13050" max="13058" width="14" style="53" customWidth="1"/>
    <col min="13059" max="13059" width="13" style="53" bestFit="1" customWidth="1"/>
    <col min="13060" max="13060" width="14.5703125" style="53" bestFit="1" customWidth="1"/>
    <col min="13061" max="13061" width="12.140625" style="53" bestFit="1" customWidth="1"/>
    <col min="13062" max="13072" width="14" style="53" customWidth="1"/>
    <col min="13073" max="13076" width="13.28515625" style="53" customWidth="1"/>
    <col min="13077" max="13301" width="9.140625" style="53"/>
    <col min="13302" max="13302" width="31" style="53" customWidth="1"/>
    <col min="13303" max="13303" width="18.5703125" style="53" customWidth="1"/>
    <col min="13304" max="13304" width="3.85546875" style="53" customWidth="1"/>
    <col min="13305" max="13305" width="18.7109375" style="53" customWidth="1"/>
    <col min="13306" max="13314" width="14" style="53" customWidth="1"/>
    <col min="13315" max="13315" width="13" style="53" bestFit="1" customWidth="1"/>
    <col min="13316" max="13316" width="14.5703125" style="53" bestFit="1" customWidth="1"/>
    <col min="13317" max="13317" width="12.140625" style="53" bestFit="1" customWidth="1"/>
    <col min="13318" max="13328" width="14" style="53" customWidth="1"/>
    <col min="13329" max="13332" width="13.28515625" style="53" customWidth="1"/>
    <col min="13333" max="13557" width="9.140625" style="53"/>
    <col min="13558" max="13558" width="31" style="53" customWidth="1"/>
    <col min="13559" max="13559" width="18.5703125" style="53" customWidth="1"/>
    <col min="13560" max="13560" width="3.85546875" style="53" customWidth="1"/>
    <col min="13561" max="13561" width="18.7109375" style="53" customWidth="1"/>
    <col min="13562" max="13570" width="14" style="53" customWidth="1"/>
    <col min="13571" max="13571" width="13" style="53" bestFit="1" customWidth="1"/>
    <col min="13572" max="13572" width="14.5703125" style="53" bestFit="1" customWidth="1"/>
    <col min="13573" max="13573" width="12.140625" style="53" bestFit="1" customWidth="1"/>
    <col min="13574" max="13584" width="14" style="53" customWidth="1"/>
    <col min="13585" max="13588" width="13.28515625" style="53" customWidth="1"/>
    <col min="13589" max="13813" width="9.140625" style="53"/>
    <col min="13814" max="13814" width="31" style="53" customWidth="1"/>
    <col min="13815" max="13815" width="18.5703125" style="53" customWidth="1"/>
    <col min="13816" max="13816" width="3.85546875" style="53" customWidth="1"/>
    <col min="13817" max="13817" width="18.7109375" style="53" customWidth="1"/>
    <col min="13818" max="13826" width="14" style="53" customWidth="1"/>
    <col min="13827" max="13827" width="13" style="53" bestFit="1" customWidth="1"/>
    <col min="13828" max="13828" width="14.5703125" style="53" bestFit="1" customWidth="1"/>
    <col min="13829" max="13829" width="12.140625" style="53" bestFit="1" customWidth="1"/>
    <col min="13830" max="13840" width="14" style="53" customWidth="1"/>
    <col min="13841" max="13844" width="13.28515625" style="53" customWidth="1"/>
    <col min="13845" max="14069" width="9.140625" style="53"/>
    <col min="14070" max="14070" width="31" style="53" customWidth="1"/>
    <col min="14071" max="14071" width="18.5703125" style="53" customWidth="1"/>
    <col min="14072" max="14072" width="3.85546875" style="53" customWidth="1"/>
    <col min="14073" max="14073" width="18.7109375" style="53" customWidth="1"/>
    <col min="14074" max="14082" width="14" style="53" customWidth="1"/>
    <col min="14083" max="14083" width="13" style="53" bestFit="1" customWidth="1"/>
    <col min="14084" max="14084" width="14.5703125" style="53" bestFit="1" customWidth="1"/>
    <col min="14085" max="14085" width="12.140625" style="53" bestFit="1" customWidth="1"/>
    <col min="14086" max="14096" width="14" style="53" customWidth="1"/>
    <col min="14097" max="14100" width="13.28515625" style="53" customWidth="1"/>
    <col min="14101" max="14325" width="9.140625" style="53"/>
    <col min="14326" max="14326" width="31" style="53" customWidth="1"/>
    <col min="14327" max="14327" width="18.5703125" style="53" customWidth="1"/>
    <col min="14328" max="14328" width="3.85546875" style="53" customWidth="1"/>
    <col min="14329" max="14329" width="18.7109375" style="53" customWidth="1"/>
    <col min="14330" max="14338" width="14" style="53" customWidth="1"/>
    <col min="14339" max="14339" width="13" style="53" bestFit="1" customWidth="1"/>
    <col min="14340" max="14340" width="14.5703125" style="53" bestFit="1" customWidth="1"/>
    <col min="14341" max="14341" width="12.140625" style="53" bestFit="1" customWidth="1"/>
    <col min="14342" max="14352" width="14" style="53" customWidth="1"/>
    <col min="14353" max="14356" width="13.28515625" style="53" customWidth="1"/>
    <col min="14357" max="14581" width="9.140625" style="53"/>
    <col min="14582" max="14582" width="31" style="53" customWidth="1"/>
    <col min="14583" max="14583" width="18.5703125" style="53" customWidth="1"/>
    <col min="14584" max="14584" width="3.85546875" style="53" customWidth="1"/>
    <col min="14585" max="14585" width="18.7109375" style="53" customWidth="1"/>
    <col min="14586" max="14594" width="14" style="53" customWidth="1"/>
    <col min="14595" max="14595" width="13" style="53" bestFit="1" customWidth="1"/>
    <col min="14596" max="14596" width="14.5703125" style="53" bestFit="1" customWidth="1"/>
    <col min="14597" max="14597" width="12.140625" style="53" bestFit="1" customWidth="1"/>
    <col min="14598" max="14608" width="14" style="53" customWidth="1"/>
    <col min="14609" max="14612" width="13.28515625" style="53" customWidth="1"/>
    <col min="14613" max="14837" width="9.140625" style="53"/>
    <col min="14838" max="14838" width="31" style="53" customWidth="1"/>
    <col min="14839" max="14839" width="18.5703125" style="53" customWidth="1"/>
    <col min="14840" max="14840" width="3.85546875" style="53" customWidth="1"/>
    <col min="14841" max="14841" width="18.7109375" style="53" customWidth="1"/>
    <col min="14842" max="14850" width="14" style="53" customWidth="1"/>
    <col min="14851" max="14851" width="13" style="53" bestFit="1" customWidth="1"/>
    <col min="14852" max="14852" width="14.5703125" style="53" bestFit="1" customWidth="1"/>
    <col min="14853" max="14853" width="12.140625" style="53" bestFit="1" customWidth="1"/>
    <col min="14854" max="14864" width="14" style="53" customWidth="1"/>
    <col min="14865" max="14868" width="13.28515625" style="53" customWidth="1"/>
    <col min="14869" max="15093" width="9.140625" style="53"/>
    <col min="15094" max="15094" width="31" style="53" customWidth="1"/>
    <col min="15095" max="15095" width="18.5703125" style="53" customWidth="1"/>
    <col min="15096" max="15096" width="3.85546875" style="53" customWidth="1"/>
    <col min="15097" max="15097" width="18.7109375" style="53" customWidth="1"/>
    <col min="15098" max="15106" width="14" style="53" customWidth="1"/>
    <col min="15107" max="15107" width="13" style="53" bestFit="1" customWidth="1"/>
    <col min="15108" max="15108" width="14.5703125" style="53" bestFit="1" customWidth="1"/>
    <col min="15109" max="15109" width="12.140625" style="53" bestFit="1" customWidth="1"/>
    <col min="15110" max="15120" width="14" style="53" customWidth="1"/>
    <col min="15121" max="15124" width="13.28515625" style="53" customWidth="1"/>
    <col min="15125" max="15349" width="9.140625" style="53"/>
    <col min="15350" max="15350" width="31" style="53" customWidth="1"/>
    <col min="15351" max="15351" width="18.5703125" style="53" customWidth="1"/>
    <col min="15352" max="15352" width="3.85546875" style="53" customWidth="1"/>
    <col min="15353" max="15353" width="18.7109375" style="53" customWidth="1"/>
    <col min="15354" max="15362" width="14" style="53" customWidth="1"/>
    <col min="15363" max="15363" width="13" style="53" bestFit="1" customWidth="1"/>
    <col min="15364" max="15364" width="14.5703125" style="53" bestFit="1" customWidth="1"/>
    <col min="15365" max="15365" width="12.140625" style="53" bestFit="1" customWidth="1"/>
    <col min="15366" max="15376" width="14" style="53" customWidth="1"/>
    <col min="15377" max="15380" width="13.28515625" style="53" customWidth="1"/>
    <col min="15381" max="15605" width="9.140625" style="53"/>
    <col min="15606" max="15606" width="31" style="53" customWidth="1"/>
    <col min="15607" max="15607" width="18.5703125" style="53" customWidth="1"/>
    <col min="15608" max="15608" width="3.85546875" style="53" customWidth="1"/>
    <col min="15609" max="15609" width="18.7109375" style="53" customWidth="1"/>
    <col min="15610" max="15618" width="14" style="53" customWidth="1"/>
    <col min="15619" max="15619" width="13" style="53" bestFit="1" customWidth="1"/>
    <col min="15620" max="15620" width="14.5703125" style="53" bestFit="1" customWidth="1"/>
    <col min="15621" max="15621" width="12.140625" style="53" bestFit="1" customWidth="1"/>
    <col min="15622" max="15632" width="14" style="53" customWidth="1"/>
    <col min="15633" max="15636" width="13.28515625" style="53" customWidth="1"/>
    <col min="15637" max="15861" width="9.140625" style="53"/>
    <col min="15862" max="15862" width="31" style="53" customWidth="1"/>
    <col min="15863" max="15863" width="18.5703125" style="53" customWidth="1"/>
    <col min="15864" max="15864" width="3.85546875" style="53" customWidth="1"/>
    <col min="15865" max="15865" width="18.7109375" style="53" customWidth="1"/>
    <col min="15866" max="15874" width="14" style="53" customWidth="1"/>
    <col min="15875" max="15875" width="13" style="53" bestFit="1" customWidth="1"/>
    <col min="15876" max="15876" width="14.5703125" style="53" bestFit="1" customWidth="1"/>
    <col min="15877" max="15877" width="12.140625" style="53" bestFit="1" customWidth="1"/>
    <col min="15878" max="15888" width="14" style="53" customWidth="1"/>
    <col min="15889" max="15892" width="13.28515625" style="53" customWidth="1"/>
    <col min="15893" max="16117" width="9.140625" style="53"/>
    <col min="16118" max="16118" width="31" style="53" customWidth="1"/>
    <col min="16119" max="16119" width="18.5703125" style="53" customWidth="1"/>
    <col min="16120" max="16120" width="3.85546875" style="53" customWidth="1"/>
    <col min="16121" max="16121" width="18.7109375" style="53" customWidth="1"/>
    <col min="16122" max="16130" width="14" style="53" customWidth="1"/>
    <col min="16131" max="16131" width="13" style="53" bestFit="1" customWidth="1"/>
    <col min="16132" max="16132" width="14.5703125" style="53" bestFit="1" customWidth="1"/>
    <col min="16133" max="16133" width="12.140625" style="53" bestFit="1" customWidth="1"/>
    <col min="16134" max="16144" width="14" style="53" customWidth="1"/>
    <col min="16145" max="16148" width="13.28515625" style="53" customWidth="1"/>
    <col min="16149" max="16382" width="9.140625" style="53"/>
    <col min="16383" max="16384" width="9.140625" style="53" customWidth="1"/>
  </cols>
  <sheetData>
    <row r="1" spans="1:20" x14ac:dyDescent="0.2">
      <c r="D1" s="53"/>
      <c r="E1" s="53"/>
      <c r="F1" s="53"/>
    </row>
    <row r="2" spans="1:20" x14ac:dyDescent="0.2">
      <c r="C2" s="123"/>
      <c r="D2" s="53"/>
      <c r="E2" s="53"/>
      <c r="F2" s="53"/>
      <c r="J2" s="123"/>
      <c r="P2"/>
      <c r="Q2"/>
      <c r="R2"/>
      <c r="S2"/>
      <c r="T2"/>
    </row>
    <row r="3" spans="1:20" s="55" customFormat="1" ht="15.75" customHeight="1" x14ac:dyDescent="0.2">
      <c r="A3" s="174" t="s">
        <v>84</v>
      </c>
      <c r="B3" s="175"/>
      <c r="C3" s="175"/>
      <c r="D3" s="175"/>
      <c r="E3" s="175"/>
      <c r="F3" s="175"/>
      <c r="G3" s="175"/>
      <c r="H3" s="175"/>
      <c r="I3"/>
      <c r="J3"/>
      <c r="K3"/>
      <c r="L3"/>
    </row>
    <row r="4" spans="1:20" ht="44.25" customHeight="1" x14ac:dyDescent="0.2">
      <c r="A4" s="100" t="s">
        <v>62</v>
      </c>
      <c r="B4" s="100" t="s">
        <v>51</v>
      </c>
      <c r="C4" s="100" t="s">
        <v>63</v>
      </c>
      <c r="D4" s="100" t="s">
        <v>64</v>
      </c>
      <c r="E4" s="100" t="s">
        <v>114</v>
      </c>
      <c r="F4" s="100" t="s">
        <v>65</v>
      </c>
      <c r="G4" s="100" t="s">
        <v>88</v>
      </c>
      <c r="H4" s="100" t="s">
        <v>89</v>
      </c>
      <c r="I4"/>
      <c r="J4"/>
      <c r="K4"/>
      <c r="L4"/>
      <c r="M4"/>
    </row>
    <row r="5" spans="1:20" x14ac:dyDescent="0.2">
      <c r="A5" s="102">
        <v>2015</v>
      </c>
      <c r="B5" s="101">
        <f>AVERAGEIF($A$24:$A$143,$A5,G$24:G$143)</f>
        <v>50511.5</v>
      </c>
      <c r="C5" s="101">
        <f>AVERAGEIF($A$24:$A$143,$A5,I$24:I$143)</f>
        <v>5527</v>
      </c>
      <c r="D5" s="101">
        <f>AVERAGEIF($A$24:$A$143,$A5,L$24:L$143)</f>
        <v>597.5</v>
      </c>
      <c r="E5" s="101">
        <f>AVERAGEIF($A$24:$A$143,$A5,O$24:O$143)</f>
        <v>2</v>
      </c>
      <c r="F5" s="101">
        <f t="shared" ref="F5:F14" si="0">AVERAGEIF($A$24:$A$143,$A5,Q$24:Q$143)</f>
        <v>250.5</v>
      </c>
      <c r="G5" s="101">
        <f t="shared" ref="G5:G14" si="1">AVERAGEIF($A$24:$A$143,$A5,T$24:T$143)</f>
        <v>521.5</v>
      </c>
      <c r="H5" s="101">
        <f t="shared" ref="H5:H14" si="2">AVERAGEIF($A$24:$A$143,$A5,W$24:W$143)</f>
        <v>17883</v>
      </c>
      <c r="I5"/>
      <c r="J5" s="40"/>
      <c r="K5"/>
      <c r="L5"/>
      <c r="M5"/>
    </row>
    <row r="6" spans="1:20" x14ac:dyDescent="0.2">
      <c r="A6" s="102">
        <v>2016</v>
      </c>
      <c r="B6" s="101">
        <f t="shared" ref="B6:B14" si="3">AVERAGEIF($A$24:$A$143,$A6,G$24:G$143)</f>
        <v>51680.5</v>
      </c>
      <c r="C6" s="101">
        <f t="shared" ref="C6:C14" si="4">AVERAGEIF($A$24:$A$143,$A6,I$24:I$143)</f>
        <v>5637.5</v>
      </c>
      <c r="D6" s="101">
        <f t="shared" ref="D6:D14" si="5">AVERAGEIF($A$24:$A$143,$A6,L$24:L$143)</f>
        <v>583.5</v>
      </c>
      <c r="E6" s="101">
        <f t="shared" ref="E6:E14" si="6">AVERAGEIF($A$24:$A$143,$A6,O$24:O$143)</f>
        <v>2</v>
      </c>
      <c r="F6" s="101">
        <f t="shared" si="0"/>
        <v>257.5</v>
      </c>
      <c r="G6" s="101">
        <f t="shared" si="1"/>
        <v>519.5</v>
      </c>
      <c r="H6" s="101">
        <f t="shared" si="2"/>
        <v>17923</v>
      </c>
      <c r="I6"/>
      <c r="J6" s="40"/>
      <c r="K6" s="144"/>
      <c r="L6"/>
      <c r="M6"/>
    </row>
    <row r="7" spans="1:20" x14ac:dyDescent="0.2">
      <c r="A7" s="102">
        <v>2017</v>
      </c>
      <c r="B7" s="101">
        <f t="shared" si="3"/>
        <v>52149</v>
      </c>
      <c r="C7" s="101">
        <f t="shared" si="4"/>
        <v>5654.5</v>
      </c>
      <c r="D7" s="101">
        <f t="shared" si="5"/>
        <v>562.5</v>
      </c>
      <c r="E7" s="101">
        <f t="shared" si="6"/>
        <v>2</v>
      </c>
      <c r="F7" s="101">
        <f t="shared" si="0"/>
        <v>246</v>
      </c>
      <c r="G7" s="101">
        <f t="shared" si="1"/>
        <v>451</v>
      </c>
      <c r="H7" s="101">
        <f t="shared" si="2"/>
        <v>17946.5</v>
      </c>
      <c r="I7"/>
      <c r="J7" s="40"/>
      <c r="K7" s="144"/>
      <c r="L7"/>
      <c r="M7"/>
    </row>
    <row r="8" spans="1:20" x14ac:dyDescent="0.2">
      <c r="A8" s="102">
        <v>2018</v>
      </c>
      <c r="B8" s="101">
        <f t="shared" si="3"/>
        <v>52685.5</v>
      </c>
      <c r="C8" s="101">
        <f t="shared" si="4"/>
        <v>5686</v>
      </c>
      <c r="D8" s="101">
        <f t="shared" si="5"/>
        <v>549</v>
      </c>
      <c r="E8" s="101">
        <f t="shared" si="6"/>
        <v>2</v>
      </c>
      <c r="F8" s="101">
        <f t="shared" si="0"/>
        <v>228</v>
      </c>
      <c r="G8" s="101">
        <f t="shared" si="1"/>
        <v>381.5</v>
      </c>
      <c r="H8" s="101">
        <f t="shared" si="2"/>
        <v>18034</v>
      </c>
      <c r="I8"/>
      <c r="J8" s="40"/>
      <c r="K8" s="144"/>
      <c r="L8"/>
      <c r="M8"/>
    </row>
    <row r="9" spans="1:20" x14ac:dyDescent="0.2">
      <c r="A9" s="102">
        <v>2019</v>
      </c>
      <c r="B9" s="101">
        <f t="shared" si="3"/>
        <v>53245</v>
      </c>
      <c r="C9" s="101">
        <f t="shared" si="4"/>
        <v>5693.5</v>
      </c>
      <c r="D9" s="101">
        <f t="shared" si="5"/>
        <v>556.5</v>
      </c>
      <c r="E9" s="101">
        <f t="shared" si="6"/>
        <v>2</v>
      </c>
      <c r="F9" s="101">
        <f t="shared" si="0"/>
        <v>228</v>
      </c>
      <c r="G9" s="101">
        <f t="shared" si="1"/>
        <v>393</v>
      </c>
      <c r="H9" s="101">
        <f t="shared" si="2"/>
        <v>18074.5</v>
      </c>
      <c r="I9"/>
      <c r="J9" s="40"/>
      <c r="K9" s="144"/>
      <c r="L9"/>
      <c r="M9"/>
    </row>
    <row r="10" spans="1:20" x14ac:dyDescent="0.2">
      <c r="A10" s="102">
        <v>2020</v>
      </c>
      <c r="B10" s="101">
        <f t="shared" si="3"/>
        <v>53932.5</v>
      </c>
      <c r="C10" s="101">
        <f t="shared" si="4"/>
        <v>5703.5</v>
      </c>
      <c r="D10" s="101">
        <f t="shared" si="5"/>
        <v>559.5</v>
      </c>
      <c r="E10" s="101">
        <f t="shared" si="6"/>
        <v>2</v>
      </c>
      <c r="F10" s="101">
        <f t="shared" si="0"/>
        <v>226</v>
      </c>
      <c r="G10" s="101">
        <f t="shared" si="1"/>
        <v>376</v>
      </c>
      <c r="H10" s="101">
        <f t="shared" si="2"/>
        <v>18138</v>
      </c>
      <c r="I10"/>
      <c r="J10" s="40"/>
      <c r="K10" s="144"/>
      <c r="L10"/>
      <c r="M10" s="40"/>
    </row>
    <row r="11" spans="1:20" x14ac:dyDescent="0.2">
      <c r="A11" s="102">
        <v>2021</v>
      </c>
      <c r="B11" s="101">
        <f t="shared" si="3"/>
        <v>54770.5</v>
      </c>
      <c r="C11" s="101">
        <f t="shared" si="4"/>
        <v>5732</v>
      </c>
      <c r="D11" s="101">
        <f t="shared" si="5"/>
        <v>541.5</v>
      </c>
      <c r="E11" s="101">
        <f t="shared" si="6"/>
        <v>2</v>
      </c>
      <c r="F11" s="101">
        <f t="shared" si="0"/>
        <v>224</v>
      </c>
      <c r="G11" s="101">
        <f t="shared" si="1"/>
        <v>341.5</v>
      </c>
      <c r="H11" s="101">
        <f t="shared" si="2"/>
        <v>18334.5</v>
      </c>
      <c r="I11"/>
      <c r="J11" s="40"/>
      <c r="K11" s="144"/>
      <c r="L11"/>
      <c r="M11"/>
    </row>
    <row r="12" spans="1:20" x14ac:dyDescent="0.2">
      <c r="A12" s="102">
        <v>2022</v>
      </c>
      <c r="B12" s="101">
        <f t="shared" si="3"/>
        <v>55652</v>
      </c>
      <c r="C12" s="101">
        <f t="shared" si="4"/>
        <v>5798.5</v>
      </c>
      <c r="D12" s="101">
        <f t="shared" si="5"/>
        <v>521</v>
      </c>
      <c r="E12" s="101">
        <f t="shared" si="6"/>
        <v>3</v>
      </c>
      <c r="F12" s="101">
        <f t="shared" si="0"/>
        <v>224</v>
      </c>
      <c r="G12" s="101">
        <f t="shared" si="1"/>
        <v>323</v>
      </c>
      <c r="H12" s="101">
        <f t="shared" si="2"/>
        <v>18584.5</v>
      </c>
      <c r="I12"/>
      <c r="J12" s="40"/>
      <c r="K12" s="144"/>
      <c r="L12"/>
      <c r="M12"/>
    </row>
    <row r="13" spans="1:20" x14ac:dyDescent="0.2">
      <c r="A13" s="102">
        <v>2023</v>
      </c>
      <c r="B13" s="101">
        <f t="shared" si="3"/>
        <v>56302</v>
      </c>
      <c r="C13" s="101">
        <f t="shared" si="4"/>
        <v>5860</v>
      </c>
      <c r="D13" s="101">
        <f t="shared" si="5"/>
        <v>512</v>
      </c>
      <c r="E13" s="101">
        <f t="shared" si="6"/>
        <v>4</v>
      </c>
      <c r="F13" s="101">
        <f t="shared" si="0"/>
        <v>224</v>
      </c>
      <c r="G13" s="101">
        <f t="shared" si="1"/>
        <v>308</v>
      </c>
      <c r="H13" s="101">
        <f t="shared" si="2"/>
        <v>18793</v>
      </c>
      <c r="I13"/>
      <c r="J13" s="40"/>
      <c r="K13" s="144"/>
      <c r="L13"/>
      <c r="M13"/>
    </row>
    <row r="14" spans="1:20" x14ac:dyDescent="0.2">
      <c r="A14" s="102">
        <v>2024</v>
      </c>
      <c r="B14" s="101">
        <f t="shared" si="3"/>
        <v>56797</v>
      </c>
      <c r="C14" s="101">
        <f t="shared" si="4"/>
        <v>5889</v>
      </c>
      <c r="D14" s="101">
        <f t="shared" si="5"/>
        <v>508.5</v>
      </c>
      <c r="E14" s="101">
        <f t="shared" si="6"/>
        <v>4</v>
      </c>
      <c r="F14" s="101">
        <f t="shared" si="0"/>
        <v>225</v>
      </c>
      <c r="G14" s="101">
        <f t="shared" si="1"/>
        <v>304</v>
      </c>
      <c r="H14" s="101">
        <f t="shared" si="2"/>
        <v>18884.5</v>
      </c>
      <c r="I14"/>
      <c r="J14" s="40"/>
      <c r="K14" s="144"/>
      <c r="L14"/>
      <c r="M14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40"/>
      <c r="J16"/>
      <c r="K16"/>
      <c r="L16"/>
      <c r="M16"/>
      <c r="N16"/>
      <c r="O16"/>
      <c r="P16"/>
      <c r="Q16"/>
      <c r="R16"/>
      <c r="S16"/>
    </row>
    <row r="17" spans="1:35" x14ac:dyDescent="0.2">
      <c r="A17"/>
      <c r="B17" s="40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35" x14ac:dyDescent="0.2">
      <c r="A18"/>
      <c r="B18"/>
      <c r="D18"/>
      <c r="E18"/>
      <c r="F18"/>
      <c r="G18" s="40"/>
      <c r="H18"/>
      <c r="I18"/>
      <c r="J18"/>
      <c r="K18"/>
      <c r="L18"/>
      <c r="M18"/>
      <c r="N18"/>
      <c r="O18"/>
      <c r="P18"/>
      <c r="Q18"/>
      <c r="R18"/>
      <c r="S18"/>
    </row>
    <row r="20" spans="1:35" ht="15.75" customHeight="1" x14ac:dyDescent="0.2">
      <c r="A20" s="178" t="s">
        <v>66</v>
      </c>
      <c r="B20" s="178"/>
      <c r="C20" s="57"/>
      <c r="D20" s="179" t="s">
        <v>67</v>
      </c>
      <c r="E20" s="180"/>
      <c r="F20" s="176" t="s">
        <v>68</v>
      </c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</row>
    <row r="21" spans="1:35" ht="22.5" x14ac:dyDescent="0.2">
      <c r="A21" s="103"/>
      <c r="B21" s="103"/>
      <c r="C21" s="59"/>
      <c r="D21" s="104" t="s">
        <v>69</v>
      </c>
      <c r="E21" s="105"/>
      <c r="F21" s="182" t="str">
        <f>B4</f>
        <v>Residential</v>
      </c>
      <c r="G21" s="183"/>
      <c r="H21" s="181" t="str">
        <f>C4</f>
        <v>General Service &lt; 50 kW</v>
      </c>
      <c r="I21" s="183"/>
      <c r="J21" s="181" t="str">
        <f>D4</f>
        <v>General Service &gt; 50 to 4999 kW</v>
      </c>
      <c r="K21" s="182"/>
      <c r="L21" s="183"/>
      <c r="M21" s="181" t="str">
        <f>E4</f>
        <v>Large Use</v>
      </c>
      <c r="N21" s="182"/>
      <c r="O21" s="183"/>
      <c r="P21" s="181" t="str">
        <f>F4</f>
        <v>USL</v>
      </c>
      <c r="Q21" s="183"/>
      <c r="R21" s="181" t="str">
        <f>G4</f>
        <v>Sentinel Lighting</v>
      </c>
      <c r="S21" s="182"/>
      <c r="T21" s="183"/>
      <c r="U21" s="181" t="str">
        <f>H4</f>
        <v>Street Lighting</v>
      </c>
      <c r="V21" s="182"/>
      <c r="W21" s="183"/>
    </row>
    <row r="22" spans="1:35" ht="63.6" customHeight="1" thickBot="1" x14ac:dyDescent="0.25">
      <c r="A22" s="58"/>
      <c r="B22" s="58"/>
      <c r="C22" s="60"/>
      <c r="D22" s="106" t="s">
        <v>44</v>
      </c>
      <c r="E22" s="107"/>
      <c r="F22" s="108" t="s">
        <v>44</v>
      </c>
      <c r="G22" s="109" t="s">
        <v>70</v>
      </c>
      <c r="H22" s="106" t="s">
        <v>44</v>
      </c>
      <c r="I22" s="109" t="s">
        <v>70</v>
      </c>
      <c r="J22" s="106" t="s">
        <v>44</v>
      </c>
      <c r="K22" s="110" t="s">
        <v>45</v>
      </c>
      <c r="L22" s="109" t="s">
        <v>70</v>
      </c>
      <c r="M22" s="106" t="s">
        <v>44</v>
      </c>
      <c r="N22" s="110" t="s">
        <v>45</v>
      </c>
      <c r="O22" s="109" t="s">
        <v>70</v>
      </c>
      <c r="P22" s="106" t="s">
        <v>44</v>
      </c>
      <c r="Q22" s="109" t="s">
        <v>71</v>
      </c>
      <c r="R22" s="106" t="s">
        <v>44</v>
      </c>
      <c r="S22" s="110" t="s">
        <v>45</v>
      </c>
      <c r="T22" s="109" t="s">
        <v>70</v>
      </c>
      <c r="U22" s="106" t="s">
        <v>44</v>
      </c>
      <c r="V22" s="110" t="s">
        <v>45</v>
      </c>
      <c r="W22" s="109" t="s">
        <v>70</v>
      </c>
    </row>
    <row r="23" spans="1:35" x14ac:dyDescent="0.2">
      <c r="A23" s="61" t="s">
        <v>57</v>
      </c>
      <c r="B23" s="61" t="s">
        <v>85</v>
      </c>
      <c r="C23" s="60"/>
      <c r="D23" s="62"/>
      <c r="E23" s="63"/>
      <c r="F23" s="64"/>
      <c r="G23" s="65"/>
      <c r="H23" s="66"/>
      <c r="I23" s="65"/>
      <c r="J23" s="66"/>
      <c r="K23" s="67"/>
      <c r="L23" s="68"/>
      <c r="M23" s="66"/>
      <c r="N23" s="67"/>
      <c r="O23" s="68"/>
      <c r="P23" s="70"/>
      <c r="Q23" s="69"/>
      <c r="R23" s="70"/>
      <c r="S23" s="72"/>
      <c r="T23" s="73"/>
      <c r="U23" s="70"/>
      <c r="V23" s="71"/>
      <c r="W23" s="65"/>
    </row>
    <row r="24" spans="1:35" x14ac:dyDescent="0.2">
      <c r="A24" s="74">
        <v>2015</v>
      </c>
      <c r="B24" s="75" t="s">
        <v>72</v>
      </c>
      <c r="C24" s="76"/>
      <c r="D24" s="77">
        <v>110640792.16784623</v>
      </c>
      <c r="E24" s="77"/>
      <c r="F24" s="78"/>
      <c r="G24" s="79">
        <v>50511.5</v>
      </c>
      <c r="H24" s="77"/>
      <c r="I24" s="79">
        <v>5527</v>
      </c>
      <c r="J24" s="80"/>
      <c r="K24" s="81"/>
      <c r="L24" s="79">
        <v>597.5</v>
      </c>
      <c r="M24" s="80"/>
      <c r="N24" s="81"/>
      <c r="O24" s="79">
        <v>2</v>
      </c>
      <c r="P24" s="77"/>
      <c r="Q24" s="79">
        <v>250.5</v>
      </c>
      <c r="R24" s="80"/>
      <c r="S24" s="82"/>
      <c r="T24" s="79">
        <v>521.5</v>
      </c>
      <c r="U24" s="80"/>
      <c r="V24" s="81"/>
      <c r="W24" s="79">
        <v>17883</v>
      </c>
      <c r="X24" s="112"/>
      <c r="Y24" s="112"/>
      <c r="AA24" s="141"/>
      <c r="AB24" s="129"/>
      <c r="AE24" s="112"/>
      <c r="AF24" s="112"/>
      <c r="AH24" s="151"/>
      <c r="AI24" s="151"/>
    </row>
    <row r="25" spans="1:35" x14ac:dyDescent="0.2">
      <c r="A25" s="74">
        <v>2015</v>
      </c>
      <c r="B25" s="75" t="s">
        <v>73</v>
      </c>
      <c r="C25" s="83"/>
      <c r="D25" s="84">
        <v>103566414.00452422</v>
      </c>
      <c r="E25" s="84"/>
      <c r="F25" s="85"/>
      <c r="G25" s="86">
        <f>G24</f>
        <v>50511.5</v>
      </c>
      <c r="H25" s="84"/>
      <c r="I25" s="86">
        <f>I24</f>
        <v>5527</v>
      </c>
      <c r="J25" s="87"/>
      <c r="K25" s="88"/>
      <c r="L25" s="86">
        <f>L24</f>
        <v>597.5</v>
      </c>
      <c r="M25" s="87"/>
      <c r="N25" s="88"/>
      <c r="O25" s="86">
        <f>O24</f>
        <v>2</v>
      </c>
      <c r="P25" s="84"/>
      <c r="Q25" s="86">
        <f>Q24</f>
        <v>250.5</v>
      </c>
      <c r="R25" s="87"/>
      <c r="S25" s="89"/>
      <c r="T25" s="86">
        <f>T24</f>
        <v>521.5</v>
      </c>
      <c r="U25" s="87"/>
      <c r="V25" s="88"/>
      <c r="W25" s="86">
        <f>W24</f>
        <v>17883</v>
      </c>
      <c r="Y25" s="112"/>
      <c r="AA25" s="141"/>
      <c r="AB25" s="129"/>
      <c r="AE25" s="112"/>
      <c r="AF25" s="112"/>
      <c r="AH25" s="151"/>
      <c r="AI25" s="151"/>
    </row>
    <row r="26" spans="1:35" x14ac:dyDescent="0.2">
      <c r="A26" s="74">
        <v>2015</v>
      </c>
      <c r="B26" s="75" t="s">
        <v>74</v>
      </c>
      <c r="C26" s="83"/>
      <c r="D26" s="84">
        <v>102786797.33119218</v>
      </c>
      <c r="E26" s="84"/>
      <c r="F26" s="85"/>
      <c r="G26" s="86">
        <f t="shared" ref="G26:G35" si="7">G25</f>
        <v>50511.5</v>
      </c>
      <c r="H26" s="84"/>
      <c r="I26" s="86">
        <f t="shared" ref="I26:I35" si="8">I25</f>
        <v>5527</v>
      </c>
      <c r="J26" s="87"/>
      <c r="K26" s="88"/>
      <c r="L26" s="86">
        <f t="shared" ref="L26:L35" si="9">L25</f>
        <v>597.5</v>
      </c>
      <c r="M26" s="87"/>
      <c r="N26" s="88"/>
      <c r="O26" s="86">
        <f t="shared" ref="O26:O35" si="10">O25</f>
        <v>2</v>
      </c>
      <c r="P26" s="84"/>
      <c r="Q26" s="86">
        <f t="shared" ref="Q26:Q35" si="11">Q25</f>
        <v>250.5</v>
      </c>
      <c r="R26" s="87"/>
      <c r="S26" s="89"/>
      <c r="T26" s="86">
        <f t="shared" ref="T26:T35" si="12">T25</f>
        <v>521.5</v>
      </c>
      <c r="U26" s="87"/>
      <c r="V26" s="88"/>
      <c r="W26" s="86">
        <f t="shared" ref="W26:W35" si="13">W25</f>
        <v>17883</v>
      </c>
      <c r="Y26" s="112"/>
      <c r="AA26" s="141"/>
      <c r="AB26" s="129"/>
      <c r="AE26" s="112"/>
      <c r="AF26" s="112"/>
      <c r="AH26" s="151"/>
      <c r="AI26" s="151"/>
    </row>
    <row r="27" spans="1:35" x14ac:dyDescent="0.2">
      <c r="A27" s="74">
        <v>2015</v>
      </c>
      <c r="B27" s="75" t="s">
        <v>75</v>
      </c>
      <c r="C27" s="83"/>
      <c r="D27" s="84">
        <v>90141833.681816638</v>
      </c>
      <c r="E27" s="84"/>
      <c r="F27" s="85"/>
      <c r="G27" s="86">
        <f t="shared" si="7"/>
        <v>50511.5</v>
      </c>
      <c r="H27" s="84"/>
      <c r="I27" s="86">
        <f t="shared" si="8"/>
        <v>5527</v>
      </c>
      <c r="J27" s="87"/>
      <c r="K27" s="88"/>
      <c r="L27" s="86">
        <f t="shared" si="9"/>
        <v>597.5</v>
      </c>
      <c r="M27" s="87"/>
      <c r="N27" s="88"/>
      <c r="O27" s="86">
        <f t="shared" si="10"/>
        <v>2</v>
      </c>
      <c r="P27" s="84"/>
      <c r="Q27" s="86">
        <f t="shared" si="11"/>
        <v>250.5</v>
      </c>
      <c r="R27" s="87"/>
      <c r="S27" s="89"/>
      <c r="T27" s="86">
        <f t="shared" si="12"/>
        <v>521.5</v>
      </c>
      <c r="U27" s="87"/>
      <c r="V27" s="88"/>
      <c r="W27" s="86">
        <f t="shared" si="13"/>
        <v>17883</v>
      </c>
      <c r="Y27" s="112"/>
      <c r="AA27" s="141"/>
      <c r="AB27" s="129"/>
      <c r="AE27" s="112"/>
      <c r="AF27" s="112"/>
      <c r="AH27" s="151"/>
      <c r="AI27" s="151"/>
    </row>
    <row r="28" spans="1:35" x14ac:dyDescent="0.2">
      <c r="A28" s="74">
        <v>2015</v>
      </c>
      <c r="B28" s="75" t="s">
        <v>43</v>
      </c>
      <c r="C28" s="83"/>
      <c r="D28" s="84">
        <v>94347448.581504494</v>
      </c>
      <c r="E28" s="84"/>
      <c r="F28" s="85"/>
      <c r="G28" s="86">
        <f t="shared" si="7"/>
        <v>50511.5</v>
      </c>
      <c r="H28" s="84"/>
      <c r="I28" s="86">
        <f t="shared" si="8"/>
        <v>5527</v>
      </c>
      <c r="J28" s="87"/>
      <c r="K28" s="88"/>
      <c r="L28" s="86">
        <f t="shared" si="9"/>
        <v>597.5</v>
      </c>
      <c r="M28" s="87"/>
      <c r="N28" s="88"/>
      <c r="O28" s="86">
        <f t="shared" si="10"/>
        <v>2</v>
      </c>
      <c r="P28" s="84"/>
      <c r="Q28" s="86">
        <f t="shared" si="11"/>
        <v>250.5</v>
      </c>
      <c r="R28" s="87"/>
      <c r="S28" s="89"/>
      <c r="T28" s="86">
        <f t="shared" si="12"/>
        <v>521.5</v>
      </c>
      <c r="U28" s="87"/>
      <c r="V28" s="88"/>
      <c r="W28" s="86">
        <f t="shared" si="13"/>
        <v>17883</v>
      </c>
      <c r="Y28" s="112"/>
      <c r="AA28" s="141"/>
      <c r="AB28" s="129"/>
      <c r="AE28" s="112"/>
      <c r="AF28" s="112"/>
      <c r="AH28" s="151"/>
      <c r="AI28" s="151"/>
    </row>
    <row r="29" spans="1:35" x14ac:dyDescent="0.2">
      <c r="A29" s="74">
        <v>2015</v>
      </c>
      <c r="B29" s="75" t="s">
        <v>76</v>
      </c>
      <c r="C29" s="83"/>
      <c r="D29" s="84">
        <v>100728895.94686395</v>
      </c>
      <c r="E29" s="84"/>
      <c r="F29" s="85"/>
      <c r="G29" s="86">
        <f t="shared" si="7"/>
        <v>50511.5</v>
      </c>
      <c r="H29" s="84"/>
      <c r="I29" s="86">
        <f t="shared" si="8"/>
        <v>5527</v>
      </c>
      <c r="J29" s="87"/>
      <c r="K29" s="88"/>
      <c r="L29" s="86">
        <f t="shared" si="9"/>
        <v>597.5</v>
      </c>
      <c r="M29" s="87"/>
      <c r="N29" s="88"/>
      <c r="O29" s="86">
        <f t="shared" si="10"/>
        <v>2</v>
      </c>
      <c r="P29" s="84"/>
      <c r="Q29" s="86">
        <f t="shared" si="11"/>
        <v>250.5</v>
      </c>
      <c r="R29" s="87"/>
      <c r="S29" s="89"/>
      <c r="T29" s="86">
        <f t="shared" si="12"/>
        <v>521.5</v>
      </c>
      <c r="U29" s="87"/>
      <c r="V29" s="88"/>
      <c r="W29" s="86">
        <f t="shared" si="13"/>
        <v>17883</v>
      </c>
      <c r="Y29" s="112"/>
      <c r="AA29" s="141"/>
      <c r="AB29" s="129"/>
      <c r="AE29" s="112"/>
      <c r="AF29" s="112"/>
      <c r="AH29" s="151"/>
      <c r="AI29" s="151"/>
    </row>
    <row r="30" spans="1:35" x14ac:dyDescent="0.2">
      <c r="A30" s="74">
        <v>2015</v>
      </c>
      <c r="B30" s="75" t="s">
        <v>77</v>
      </c>
      <c r="C30" s="83"/>
      <c r="D30" s="84">
        <v>115474381.0595226</v>
      </c>
      <c r="E30" s="84"/>
      <c r="F30" s="85"/>
      <c r="G30" s="86">
        <f t="shared" si="7"/>
        <v>50511.5</v>
      </c>
      <c r="H30" s="84"/>
      <c r="I30" s="86">
        <f t="shared" si="8"/>
        <v>5527</v>
      </c>
      <c r="J30" s="87"/>
      <c r="K30" s="88"/>
      <c r="L30" s="86">
        <f t="shared" si="9"/>
        <v>597.5</v>
      </c>
      <c r="M30" s="87"/>
      <c r="N30" s="88"/>
      <c r="O30" s="86">
        <f t="shared" si="10"/>
        <v>2</v>
      </c>
      <c r="P30" s="84"/>
      <c r="Q30" s="86">
        <f t="shared" si="11"/>
        <v>250.5</v>
      </c>
      <c r="R30" s="87"/>
      <c r="S30" s="89"/>
      <c r="T30" s="86">
        <f t="shared" si="12"/>
        <v>521.5</v>
      </c>
      <c r="U30" s="87"/>
      <c r="V30" s="88"/>
      <c r="W30" s="86">
        <f t="shared" si="13"/>
        <v>17883</v>
      </c>
      <c r="Y30" s="112"/>
      <c r="AA30" s="141"/>
      <c r="AB30" s="129"/>
      <c r="AE30" s="112"/>
      <c r="AF30" s="112"/>
      <c r="AH30" s="151"/>
      <c r="AI30" s="151"/>
    </row>
    <row r="31" spans="1:35" x14ac:dyDescent="0.2">
      <c r="A31" s="74">
        <v>2015</v>
      </c>
      <c r="B31" s="75" t="s">
        <v>78</v>
      </c>
      <c r="C31" s="83"/>
      <c r="D31" s="84">
        <v>113703937.40356903</v>
      </c>
      <c r="E31" s="84"/>
      <c r="F31" s="85"/>
      <c r="G31" s="86">
        <f t="shared" si="7"/>
        <v>50511.5</v>
      </c>
      <c r="H31" s="84"/>
      <c r="I31" s="86">
        <f t="shared" si="8"/>
        <v>5527</v>
      </c>
      <c r="J31" s="87"/>
      <c r="K31" s="88"/>
      <c r="L31" s="86">
        <f t="shared" si="9"/>
        <v>597.5</v>
      </c>
      <c r="M31" s="87"/>
      <c r="N31" s="88"/>
      <c r="O31" s="86">
        <f t="shared" si="10"/>
        <v>2</v>
      </c>
      <c r="P31" s="84"/>
      <c r="Q31" s="86">
        <f t="shared" si="11"/>
        <v>250.5</v>
      </c>
      <c r="R31" s="87"/>
      <c r="S31" s="89"/>
      <c r="T31" s="86">
        <f t="shared" si="12"/>
        <v>521.5</v>
      </c>
      <c r="U31" s="87"/>
      <c r="V31" s="88"/>
      <c r="W31" s="86">
        <f t="shared" si="13"/>
        <v>17883</v>
      </c>
      <c r="Y31" s="112"/>
      <c r="AA31" s="141"/>
      <c r="AB31" s="129"/>
      <c r="AE31" s="112"/>
      <c r="AF31" s="112"/>
      <c r="AH31" s="151"/>
      <c r="AI31" s="151"/>
    </row>
    <row r="32" spans="1:35" x14ac:dyDescent="0.2">
      <c r="A32" s="74">
        <v>2015</v>
      </c>
      <c r="B32" s="75" t="s">
        <v>79</v>
      </c>
      <c r="C32" s="83"/>
      <c r="D32" s="84">
        <v>110599264.66068232</v>
      </c>
      <c r="E32" s="84"/>
      <c r="F32" s="85"/>
      <c r="G32" s="86">
        <f t="shared" si="7"/>
        <v>50511.5</v>
      </c>
      <c r="H32" s="84"/>
      <c r="I32" s="86">
        <f t="shared" si="8"/>
        <v>5527</v>
      </c>
      <c r="J32" s="87"/>
      <c r="K32" s="88"/>
      <c r="L32" s="86">
        <f t="shared" si="9"/>
        <v>597.5</v>
      </c>
      <c r="M32" s="87"/>
      <c r="N32" s="88"/>
      <c r="O32" s="86">
        <f t="shared" si="10"/>
        <v>2</v>
      </c>
      <c r="P32" s="84"/>
      <c r="Q32" s="86">
        <f t="shared" si="11"/>
        <v>250.5</v>
      </c>
      <c r="R32" s="87"/>
      <c r="S32" s="89"/>
      <c r="T32" s="86">
        <f t="shared" si="12"/>
        <v>521.5</v>
      </c>
      <c r="U32" s="87"/>
      <c r="V32" s="88"/>
      <c r="W32" s="86">
        <f t="shared" si="13"/>
        <v>17883</v>
      </c>
      <c r="Y32" s="112"/>
      <c r="AA32" s="141"/>
      <c r="AB32" s="129"/>
      <c r="AE32" s="112"/>
      <c r="AF32" s="112"/>
      <c r="AH32" s="151"/>
      <c r="AI32" s="151"/>
    </row>
    <row r="33" spans="1:35" x14ac:dyDescent="0.2">
      <c r="A33" s="74">
        <v>2015</v>
      </c>
      <c r="B33" s="75" t="s">
        <v>80</v>
      </c>
      <c r="C33" s="83"/>
      <c r="D33" s="84">
        <v>97507362.396773115</v>
      </c>
      <c r="E33" s="84"/>
      <c r="F33" s="85"/>
      <c r="G33" s="86">
        <f t="shared" si="7"/>
        <v>50511.5</v>
      </c>
      <c r="H33" s="84"/>
      <c r="I33" s="86">
        <f t="shared" si="8"/>
        <v>5527</v>
      </c>
      <c r="J33" s="87"/>
      <c r="K33" s="88"/>
      <c r="L33" s="86">
        <f t="shared" si="9"/>
        <v>597.5</v>
      </c>
      <c r="M33" s="87"/>
      <c r="N33" s="88"/>
      <c r="O33" s="86">
        <f t="shared" si="10"/>
        <v>2</v>
      </c>
      <c r="P33" s="84"/>
      <c r="Q33" s="86">
        <f t="shared" si="11"/>
        <v>250.5</v>
      </c>
      <c r="R33" s="87"/>
      <c r="S33" s="89"/>
      <c r="T33" s="86">
        <f t="shared" si="12"/>
        <v>521.5</v>
      </c>
      <c r="U33" s="87"/>
      <c r="V33" s="88"/>
      <c r="W33" s="86">
        <f t="shared" si="13"/>
        <v>17883</v>
      </c>
      <c r="Y33" s="112"/>
      <c r="AA33" s="141"/>
      <c r="AB33" s="129"/>
      <c r="AE33" s="112"/>
      <c r="AF33" s="112"/>
      <c r="AH33" s="151"/>
      <c r="AI33" s="151"/>
    </row>
    <row r="34" spans="1:35" x14ac:dyDescent="0.2">
      <c r="A34" s="74">
        <v>2015</v>
      </c>
      <c r="B34" s="75" t="s">
        <v>81</v>
      </c>
      <c r="C34" s="83"/>
      <c r="D34" s="84">
        <v>95837426.027168244</v>
      </c>
      <c r="E34" s="84"/>
      <c r="F34" s="85"/>
      <c r="G34" s="86">
        <f t="shared" si="7"/>
        <v>50511.5</v>
      </c>
      <c r="H34" s="84"/>
      <c r="I34" s="86">
        <f t="shared" si="8"/>
        <v>5527</v>
      </c>
      <c r="J34" s="87"/>
      <c r="K34" s="88"/>
      <c r="L34" s="86">
        <f t="shared" si="9"/>
        <v>597.5</v>
      </c>
      <c r="M34" s="87"/>
      <c r="N34" s="88"/>
      <c r="O34" s="86">
        <f t="shared" si="10"/>
        <v>2</v>
      </c>
      <c r="P34" s="84"/>
      <c r="Q34" s="86">
        <f t="shared" si="11"/>
        <v>250.5</v>
      </c>
      <c r="R34" s="87"/>
      <c r="S34" s="89"/>
      <c r="T34" s="86">
        <f t="shared" si="12"/>
        <v>521.5</v>
      </c>
      <c r="U34" s="87"/>
      <c r="V34" s="88"/>
      <c r="W34" s="86">
        <f t="shared" si="13"/>
        <v>17883</v>
      </c>
      <c r="Y34" s="112"/>
      <c r="AA34" s="141"/>
      <c r="AB34" s="129"/>
      <c r="AE34" s="112"/>
      <c r="AF34" s="112"/>
      <c r="AH34" s="151"/>
      <c r="AI34" s="151"/>
    </row>
    <row r="35" spans="1:35" x14ac:dyDescent="0.2">
      <c r="A35" s="74">
        <v>2015</v>
      </c>
      <c r="B35" s="75" t="s">
        <v>82</v>
      </c>
      <c r="C35" s="83"/>
      <c r="D35" s="84">
        <v>95681304.151613995</v>
      </c>
      <c r="E35" s="84"/>
      <c r="F35" s="85">
        <v>396832649.18000001</v>
      </c>
      <c r="G35" s="86">
        <f t="shared" si="7"/>
        <v>50511.5</v>
      </c>
      <c r="H35" s="84">
        <v>152529020.18000001</v>
      </c>
      <c r="I35" s="86">
        <f t="shared" si="8"/>
        <v>5527</v>
      </c>
      <c r="J35" s="87">
        <v>526568935.87000006</v>
      </c>
      <c r="K35" s="88">
        <v>1406752.2499999998</v>
      </c>
      <c r="L35" s="86">
        <f t="shared" si="9"/>
        <v>597.5</v>
      </c>
      <c r="M35" s="87">
        <v>60621606.239999995</v>
      </c>
      <c r="N35" s="88">
        <v>147250.81</v>
      </c>
      <c r="O35" s="86">
        <f t="shared" si="10"/>
        <v>2</v>
      </c>
      <c r="P35" s="84">
        <v>1247803</v>
      </c>
      <c r="Q35" s="86">
        <f t="shared" si="11"/>
        <v>250.5</v>
      </c>
      <c r="R35" s="87">
        <v>452830</v>
      </c>
      <c r="S35" s="89">
        <v>1257.4000000000001</v>
      </c>
      <c r="T35" s="86">
        <f t="shared" si="12"/>
        <v>521.5</v>
      </c>
      <c r="U35" s="87">
        <v>10581768.109999999</v>
      </c>
      <c r="V35" s="88">
        <v>30671.940000000002</v>
      </c>
      <c r="W35" s="86">
        <f t="shared" si="13"/>
        <v>17883</v>
      </c>
      <c r="X35" s="112"/>
      <c r="Y35" s="112"/>
      <c r="AA35" s="141"/>
      <c r="AB35" s="129"/>
      <c r="AE35" s="112"/>
      <c r="AF35" s="112"/>
      <c r="AH35" s="151"/>
      <c r="AI35" s="152"/>
    </row>
    <row r="36" spans="1:35" x14ac:dyDescent="0.2">
      <c r="A36" s="74">
        <v>2016</v>
      </c>
      <c r="B36" s="75" t="s">
        <v>72</v>
      </c>
      <c r="C36" s="83"/>
      <c r="D36" s="77">
        <v>104360489.6203077</v>
      </c>
      <c r="E36" s="77"/>
      <c r="F36" s="78"/>
      <c r="G36" s="79">
        <v>51680.5</v>
      </c>
      <c r="H36" s="77"/>
      <c r="I36" s="79">
        <v>5637.5</v>
      </c>
      <c r="J36" s="80"/>
      <c r="K36" s="81"/>
      <c r="L36" s="79">
        <v>583.5</v>
      </c>
      <c r="M36" s="80"/>
      <c r="N36" s="81"/>
      <c r="O36" s="79">
        <v>2</v>
      </c>
      <c r="P36" s="77"/>
      <c r="Q36" s="79">
        <v>257.5</v>
      </c>
      <c r="R36" s="80"/>
      <c r="S36" s="82"/>
      <c r="T36" s="79">
        <v>519.5</v>
      </c>
      <c r="U36" s="80"/>
      <c r="V36" s="81"/>
      <c r="W36" s="79">
        <v>17923</v>
      </c>
      <c r="Y36" s="112"/>
      <c r="AA36" s="141"/>
      <c r="AB36" s="129"/>
      <c r="AE36" s="112"/>
      <c r="AF36" s="112"/>
      <c r="AH36" s="151"/>
      <c r="AI36" s="151"/>
    </row>
    <row r="37" spans="1:35" x14ac:dyDescent="0.2">
      <c r="A37" s="74">
        <v>2016</v>
      </c>
      <c r="B37" s="75" t="s">
        <v>73</v>
      </c>
      <c r="C37" s="83"/>
      <c r="D37" s="84">
        <v>95757610.426384613</v>
      </c>
      <c r="E37" s="84"/>
      <c r="F37" s="85"/>
      <c r="G37" s="86">
        <f>G36</f>
        <v>51680.5</v>
      </c>
      <c r="H37" s="84"/>
      <c r="I37" s="86">
        <f>I36</f>
        <v>5637.5</v>
      </c>
      <c r="J37" s="87"/>
      <c r="K37" s="88"/>
      <c r="L37" s="86">
        <f>L36</f>
        <v>583.5</v>
      </c>
      <c r="M37" s="87"/>
      <c r="N37" s="88"/>
      <c r="O37" s="86">
        <f>O36</f>
        <v>2</v>
      </c>
      <c r="P37" s="84"/>
      <c r="Q37" s="86">
        <f>Q36</f>
        <v>257.5</v>
      </c>
      <c r="R37" s="87"/>
      <c r="S37" s="89"/>
      <c r="T37" s="86">
        <f>T36</f>
        <v>519.5</v>
      </c>
      <c r="U37" s="87"/>
      <c r="V37" s="88"/>
      <c r="W37" s="86">
        <f>W36</f>
        <v>17923</v>
      </c>
      <c r="Y37" s="112"/>
      <c r="AA37" s="141"/>
      <c r="AB37" s="129"/>
      <c r="AE37" s="112"/>
      <c r="AF37" s="112"/>
      <c r="AH37" s="151"/>
      <c r="AI37" s="151"/>
    </row>
    <row r="38" spans="1:35" x14ac:dyDescent="0.2">
      <c r="A38" s="74">
        <v>2016</v>
      </c>
      <c r="B38" s="75" t="s">
        <v>74</v>
      </c>
      <c r="C38" s="83"/>
      <c r="D38" s="84">
        <v>95197213.103923097</v>
      </c>
      <c r="E38" s="84"/>
      <c r="F38" s="85"/>
      <c r="G38" s="86">
        <f t="shared" ref="G38:G47" si="14">G37</f>
        <v>51680.5</v>
      </c>
      <c r="H38" s="84"/>
      <c r="I38" s="86">
        <f t="shared" ref="I38:I47" si="15">I37</f>
        <v>5637.5</v>
      </c>
      <c r="J38" s="87"/>
      <c r="K38" s="88"/>
      <c r="L38" s="86">
        <f t="shared" ref="L38:L47" si="16">L37</f>
        <v>583.5</v>
      </c>
      <c r="M38" s="87"/>
      <c r="N38" s="88"/>
      <c r="O38" s="86">
        <f t="shared" ref="O38:O47" si="17">O37</f>
        <v>2</v>
      </c>
      <c r="P38" s="84"/>
      <c r="Q38" s="86">
        <f t="shared" ref="Q38:Q47" si="18">Q37</f>
        <v>257.5</v>
      </c>
      <c r="R38" s="87"/>
      <c r="S38" s="89"/>
      <c r="T38" s="86">
        <f t="shared" ref="T38:T47" si="19">T37</f>
        <v>519.5</v>
      </c>
      <c r="U38" s="87"/>
      <c r="V38" s="88"/>
      <c r="W38" s="86">
        <f t="shared" ref="W38:W47" si="20">W37</f>
        <v>17923</v>
      </c>
      <c r="Y38" s="112"/>
      <c r="AA38" s="141"/>
      <c r="AB38" s="129"/>
      <c r="AE38" s="112"/>
      <c r="AF38" s="112"/>
      <c r="AH38" s="151"/>
      <c r="AI38" s="151"/>
    </row>
    <row r="39" spans="1:35" x14ac:dyDescent="0.2">
      <c r="A39" s="74">
        <v>2016</v>
      </c>
      <c r="B39" s="75" t="s">
        <v>75</v>
      </c>
      <c r="C39" s="83"/>
      <c r="D39" s="84">
        <v>89223506.73323077</v>
      </c>
      <c r="E39" s="84"/>
      <c r="F39" s="85"/>
      <c r="G39" s="86">
        <f t="shared" si="14"/>
        <v>51680.5</v>
      </c>
      <c r="H39" s="84"/>
      <c r="I39" s="86">
        <f t="shared" si="15"/>
        <v>5637.5</v>
      </c>
      <c r="J39" s="87"/>
      <c r="K39" s="88"/>
      <c r="L39" s="86">
        <f t="shared" si="16"/>
        <v>583.5</v>
      </c>
      <c r="M39" s="87"/>
      <c r="N39" s="88"/>
      <c r="O39" s="86">
        <f t="shared" si="17"/>
        <v>2</v>
      </c>
      <c r="P39" s="84"/>
      <c r="Q39" s="86">
        <f t="shared" si="18"/>
        <v>257.5</v>
      </c>
      <c r="R39" s="87"/>
      <c r="S39" s="89"/>
      <c r="T39" s="86">
        <f t="shared" si="19"/>
        <v>519.5</v>
      </c>
      <c r="U39" s="87"/>
      <c r="V39" s="88"/>
      <c r="W39" s="86">
        <f t="shared" si="20"/>
        <v>17923</v>
      </c>
      <c r="Y39" s="112"/>
      <c r="AA39" s="141"/>
      <c r="AB39" s="129"/>
      <c r="AE39" s="112"/>
      <c r="AF39" s="112"/>
      <c r="AH39" s="151"/>
      <c r="AI39" s="151"/>
    </row>
    <row r="40" spans="1:35" x14ac:dyDescent="0.2">
      <c r="A40" s="74">
        <v>2016</v>
      </c>
      <c r="B40" s="75" t="s">
        <v>43</v>
      </c>
      <c r="C40" s="83"/>
      <c r="D40" s="84">
        <v>92885022.863923073</v>
      </c>
      <c r="E40" s="84"/>
      <c r="F40" s="85"/>
      <c r="G40" s="86">
        <f t="shared" si="14"/>
        <v>51680.5</v>
      </c>
      <c r="H40" s="84"/>
      <c r="I40" s="86">
        <f t="shared" si="15"/>
        <v>5637.5</v>
      </c>
      <c r="J40" s="87"/>
      <c r="K40" s="88"/>
      <c r="L40" s="86">
        <f t="shared" si="16"/>
        <v>583.5</v>
      </c>
      <c r="M40" s="87"/>
      <c r="N40" s="88"/>
      <c r="O40" s="86">
        <f t="shared" si="17"/>
        <v>2</v>
      </c>
      <c r="P40" s="84"/>
      <c r="Q40" s="86">
        <f t="shared" si="18"/>
        <v>257.5</v>
      </c>
      <c r="R40" s="87"/>
      <c r="S40" s="89"/>
      <c r="T40" s="86">
        <f t="shared" si="19"/>
        <v>519.5</v>
      </c>
      <c r="U40" s="87"/>
      <c r="V40" s="88"/>
      <c r="W40" s="86">
        <f t="shared" si="20"/>
        <v>17923</v>
      </c>
      <c r="Y40" s="112"/>
      <c r="AA40" s="141"/>
      <c r="AB40" s="129"/>
      <c r="AE40" s="112"/>
      <c r="AF40" s="112"/>
      <c r="AH40" s="151"/>
      <c r="AI40" s="151"/>
    </row>
    <row r="41" spans="1:35" x14ac:dyDescent="0.2">
      <c r="A41" s="74">
        <v>2016</v>
      </c>
      <c r="B41" s="75" t="s">
        <v>76</v>
      </c>
      <c r="C41" s="83"/>
      <c r="D41" s="84">
        <v>103774662.28269231</v>
      </c>
      <c r="E41" s="84"/>
      <c r="F41" s="85"/>
      <c r="G41" s="86">
        <f t="shared" si="14"/>
        <v>51680.5</v>
      </c>
      <c r="H41" s="84"/>
      <c r="I41" s="86">
        <f t="shared" si="15"/>
        <v>5637.5</v>
      </c>
      <c r="J41" s="87"/>
      <c r="K41" s="88"/>
      <c r="L41" s="86">
        <f t="shared" si="16"/>
        <v>583.5</v>
      </c>
      <c r="M41" s="87"/>
      <c r="N41" s="88"/>
      <c r="O41" s="86">
        <f t="shared" si="17"/>
        <v>2</v>
      </c>
      <c r="P41" s="84"/>
      <c r="Q41" s="86">
        <f t="shared" si="18"/>
        <v>257.5</v>
      </c>
      <c r="R41" s="87"/>
      <c r="S41" s="89"/>
      <c r="T41" s="86">
        <f t="shared" si="19"/>
        <v>519.5</v>
      </c>
      <c r="U41" s="87"/>
      <c r="V41" s="88"/>
      <c r="W41" s="86">
        <f t="shared" si="20"/>
        <v>17923</v>
      </c>
      <c r="Y41" s="112"/>
      <c r="AA41" s="141"/>
      <c r="AB41" s="129"/>
      <c r="AE41" s="112"/>
      <c r="AF41" s="112"/>
      <c r="AH41" s="151"/>
      <c r="AI41" s="151"/>
    </row>
    <row r="42" spans="1:35" x14ac:dyDescent="0.2">
      <c r="A42" s="74">
        <v>2016</v>
      </c>
      <c r="B42" s="75" t="s">
        <v>77</v>
      </c>
      <c r="C42" s="83"/>
      <c r="D42" s="84">
        <v>118822675.50546154</v>
      </c>
      <c r="E42" s="84"/>
      <c r="F42" s="85"/>
      <c r="G42" s="86">
        <f t="shared" si="14"/>
        <v>51680.5</v>
      </c>
      <c r="H42" s="84"/>
      <c r="I42" s="86">
        <f t="shared" si="15"/>
        <v>5637.5</v>
      </c>
      <c r="J42" s="87"/>
      <c r="K42" s="88"/>
      <c r="L42" s="86">
        <f t="shared" si="16"/>
        <v>583.5</v>
      </c>
      <c r="M42" s="87"/>
      <c r="N42" s="88"/>
      <c r="O42" s="86">
        <f t="shared" si="17"/>
        <v>2</v>
      </c>
      <c r="P42" s="84"/>
      <c r="Q42" s="86">
        <f t="shared" si="18"/>
        <v>257.5</v>
      </c>
      <c r="R42" s="87"/>
      <c r="S42" s="89"/>
      <c r="T42" s="86">
        <f t="shared" si="19"/>
        <v>519.5</v>
      </c>
      <c r="U42" s="87"/>
      <c r="V42" s="88"/>
      <c r="W42" s="86">
        <f t="shared" si="20"/>
        <v>17923</v>
      </c>
      <c r="Y42" s="112"/>
      <c r="AA42" s="141"/>
      <c r="AB42" s="129"/>
      <c r="AE42" s="112"/>
      <c r="AF42" s="112"/>
      <c r="AH42" s="151"/>
      <c r="AI42" s="151"/>
    </row>
    <row r="43" spans="1:35" x14ac:dyDescent="0.2">
      <c r="A43" s="74">
        <v>2016</v>
      </c>
      <c r="B43" s="75" t="s">
        <v>78</v>
      </c>
      <c r="C43" s="83"/>
      <c r="D43" s="84">
        <v>127445902.89861538</v>
      </c>
      <c r="E43" s="84"/>
      <c r="F43" s="85"/>
      <c r="G43" s="86">
        <f t="shared" si="14"/>
        <v>51680.5</v>
      </c>
      <c r="H43" s="84"/>
      <c r="I43" s="86">
        <f t="shared" si="15"/>
        <v>5637.5</v>
      </c>
      <c r="J43" s="87"/>
      <c r="K43" s="88"/>
      <c r="L43" s="86">
        <f t="shared" si="16"/>
        <v>583.5</v>
      </c>
      <c r="M43" s="87"/>
      <c r="N43" s="88"/>
      <c r="O43" s="86">
        <f t="shared" si="17"/>
        <v>2</v>
      </c>
      <c r="P43" s="84"/>
      <c r="Q43" s="86">
        <f t="shared" si="18"/>
        <v>257.5</v>
      </c>
      <c r="R43" s="87"/>
      <c r="S43" s="89"/>
      <c r="T43" s="86">
        <f t="shared" si="19"/>
        <v>519.5</v>
      </c>
      <c r="U43" s="87"/>
      <c r="V43" s="88"/>
      <c r="W43" s="86">
        <f t="shared" si="20"/>
        <v>17923</v>
      </c>
      <c r="Y43" s="112"/>
      <c r="AA43" s="141"/>
      <c r="AB43" s="129"/>
      <c r="AE43" s="112"/>
      <c r="AF43" s="112"/>
      <c r="AH43" s="151"/>
      <c r="AI43" s="151"/>
    </row>
    <row r="44" spans="1:35" x14ac:dyDescent="0.2">
      <c r="A44" s="74">
        <v>2016</v>
      </c>
      <c r="B44" s="75" t="s">
        <v>79</v>
      </c>
      <c r="C44" s="83"/>
      <c r="D44" s="84">
        <v>105464824.35599998</v>
      </c>
      <c r="E44" s="84"/>
      <c r="F44" s="85"/>
      <c r="G44" s="86">
        <f t="shared" si="14"/>
        <v>51680.5</v>
      </c>
      <c r="H44" s="84"/>
      <c r="I44" s="86">
        <f t="shared" si="15"/>
        <v>5637.5</v>
      </c>
      <c r="J44" s="87"/>
      <c r="K44" s="88"/>
      <c r="L44" s="86">
        <f t="shared" si="16"/>
        <v>583.5</v>
      </c>
      <c r="M44" s="87"/>
      <c r="N44" s="88"/>
      <c r="O44" s="86">
        <f t="shared" si="17"/>
        <v>2</v>
      </c>
      <c r="P44" s="84"/>
      <c r="Q44" s="86">
        <f t="shared" si="18"/>
        <v>257.5</v>
      </c>
      <c r="R44" s="87"/>
      <c r="S44" s="89"/>
      <c r="T44" s="86">
        <f t="shared" si="19"/>
        <v>519.5</v>
      </c>
      <c r="U44" s="87"/>
      <c r="V44" s="88"/>
      <c r="W44" s="86">
        <f t="shared" si="20"/>
        <v>17923</v>
      </c>
      <c r="Y44" s="112"/>
      <c r="AA44" s="141"/>
      <c r="AB44" s="129"/>
      <c r="AE44" s="112"/>
      <c r="AF44" s="112"/>
      <c r="AH44" s="151"/>
      <c r="AI44" s="151"/>
    </row>
    <row r="45" spans="1:35" x14ac:dyDescent="0.2">
      <c r="A45" s="74">
        <v>2016</v>
      </c>
      <c r="B45" s="75" t="s">
        <v>80</v>
      </c>
      <c r="C45" s="83"/>
      <c r="D45" s="84">
        <v>93365521.291000009</v>
      </c>
      <c r="E45" s="84"/>
      <c r="F45" s="85"/>
      <c r="G45" s="86">
        <f t="shared" si="14"/>
        <v>51680.5</v>
      </c>
      <c r="H45" s="84"/>
      <c r="I45" s="86">
        <f t="shared" si="15"/>
        <v>5637.5</v>
      </c>
      <c r="J45" s="87"/>
      <c r="K45" s="88"/>
      <c r="L45" s="86">
        <f t="shared" si="16"/>
        <v>583.5</v>
      </c>
      <c r="M45" s="87"/>
      <c r="N45" s="88"/>
      <c r="O45" s="86">
        <f t="shared" si="17"/>
        <v>2</v>
      </c>
      <c r="P45" s="84"/>
      <c r="Q45" s="86">
        <f t="shared" si="18"/>
        <v>257.5</v>
      </c>
      <c r="R45" s="87"/>
      <c r="S45" s="89"/>
      <c r="T45" s="86">
        <f t="shared" si="19"/>
        <v>519.5</v>
      </c>
      <c r="U45" s="87"/>
      <c r="V45" s="88"/>
      <c r="W45" s="86">
        <f t="shared" si="20"/>
        <v>17923</v>
      </c>
      <c r="Y45" s="112"/>
      <c r="AA45" s="141"/>
      <c r="AB45" s="129"/>
      <c r="AE45" s="112"/>
      <c r="AF45" s="112"/>
      <c r="AH45" s="151"/>
      <c r="AI45" s="151"/>
    </row>
    <row r="46" spans="1:35" x14ac:dyDescent="0.2">
      <c r="A46" s="74">
        <v>2016</v>
      </c>
      <c r="B46" s="75" t="s">
        <v>81</v>
      </c>
      <c r="C46" s="83"/>
      <c r="D46" s="84">
        <v>88461743.387999997</v>
      </c>
      <c r="E46" s="84"/>
      <c r="F46" s="85"/>
      <c r="G46" s="86">
        <f t="shared" si="14"/>
        <v>51680.5</v>
      </c>
      <c r="H46" s="84"/>
      <c r="I46" s="86">
        <f t="shared" si="15"/>
        <v>5637.5</v>
      </c>
      <c r="J46" s="87"/>
      <c r="K46" s="88"/>
      <c r="L46" s="86">
        <f t="shared" si="16"/>
        <v>583.5</v>
      </c>
      <c r="M46" s="87"/>
      <c r="N46" s="88"/>
      <c r="O46" s="86">
        <f t="shared" si="17"/>
        <v>2</v>
      </c>
      <c r="P46" s="84"/>
      <c r="Q46" s="86">
        <f t="shared" si="18"/>
        <v>257.5</v>
      </c>
      <c r="R46" s="87"/>
      <c r="S46" s="89"/>
      <c r="T46" s="86">
        <f t="shared" si="19"/>
        <v>519.5</v>
      </c>
      <c r="U46" s="87"/>
      <c r="V46" s="88"/>
      <c r="W46" s="86">
        <f t="shared" si="20"/>
        <v>17923</v>
      </c>
      <c r="Y46" s="112"/>
      <c r="AA46" s="141"/>
      <c r="AB46" s="129"/>
      <c r="AE46" s="112"/>
      <c r="AF46" s="112"/>
      <c r="AH46" s="151"/>
      <c r="AI46" s="151"/>
    </row>
    <row r="47" spans="1:35" x14ac:dyDescent="0.2">
      <c r="A47" s="74">
        <v>2016</v>
      </c>
      <c r="B47" s="75" t="s">
        <v>82</v>
      </c>
      <c r="C47" s="83"/>
      <c r="D47" s="84">
        <v>95337474.459999993</v>
      </c>
      <c r="E47" s="84"/>
      <c r="F47" s="85">
        <v>405183154.93929309</v>
      </c>
      <c r="G47" s="86">
        <f t="shared" si="14"/>
        <v>51680.5</v>
      </c>
      <c r="H47" s="84">
        <v>152498210.56566197</v>
      </c>
      <c r="I47" s="86">
        <f t="shared" si="15"/>
        <v>5637.5</v>
      </c>
      <c r="J47" s="87">
        <v>527388658.34421581</v>
      </c>
      <c r="K47" s="88">
        <v>1384770.92</v>
      </c>
      <c r="L47" s="86">
        <f t="shared" si="16"/>
        <v>583.5</v>
      </c>
      <c r="M47" s="87">
        <v>68820300.615814403</v>
      </c>
      <c r="N47" s="88">
        <v>227700.89</v>
      </c>
      <c r="O47" s="86">
        <f t="shared" si="17"/>
        <v>2</v>
      </c>
      <c r="P47" s="84">
        <v>1254320.98</v>
      </c>
      <c r="Q47" s="86">
        <f t="shared" si="18"/>
        <v>257.5</v>
      </c>
      <c r="R47" s="87">
        <v>434815.05158768682</v>
      </c>
      <c r="S47" s="89">
        <v>1210.9222222222222</v>
      </c>
      <c r="T47" s="86">
        <f t="shared" si="19"/>
        <v>519.5</v>
      </c>
      <c r="U47" s="87">
        <v>8602548.0142581649</v>
      </c>
      <c r="V47" s="88">
        <v>25105.760000000002</v>
      </c>
      <c r="W47" s="86">
        <f t="shared" si="20"/>
        <v>17923</v>
      </c>
      <c r="X47" s="112"/>
      <c r="Y47" s="112"/>
      <c r="AA47" s="141"/>
      <c r="AB47" s="129"/>
      <c r="AE47" s="112"/>
      <c r="AF47" s="112"/>
      <c r="AH47" s="151"/>
      <c r="AI47" s="152"/>
    </row>
    <row r="48" spans="1:35" x14ac:dyDescent="0.2">
      <c r="A48" s="74">
        <v>2017</v>
      </c>
      <c r="B48" s="75" t="s">
        <v>72</v>
      </c>
      <c r="C48" s="83"/>
      <c r="D48" s="77">
        <v>101083036.44000001</v>
      </c>
      <c r="E48" s="77"/>
      <c r="F48" s="78"/>
      <c r="G48" s="79">
        <v>52149</v>
      </c>
      <c r="H48" s="77"/>
      <c r="I48" s="79">
        <v>5654.5</v>
      </c>
      <c r="J48" s="80"/>
      <c r="K48" s="81"/>
      <c r="L48" s="79">
        <v>562.5</v>
      </c>
      <c r="M48" s="80"/>
      <c r="N48" s="81"/>
      <c r="O48" s="79">
        <v>2</v>
      </c>
      <c r="P48" s="77"/>
      <c r="Q48" s="79">
        <v>246</v>
      </c>
      <c r="R48" s="80"/>
      <c r="S48" s="82"/>
      <c r="T48" s="79">
        <v>451</v>
      </c>
      <c r="U48" s="80"/>
      <c r="V48" s="81"/>
      <c r="W48" s="79">
        <v>17946.5</v>
      </c>
      <c r="Y48" s="112"/>
      <c r="AA48" s="141"/>
      <c r="AB48" s="129"/>
      <c r="AE48" s="112"/>
      <c r="AF48" s="112"/>
      <c r="AH48" s="151"/>
      <c r="AI48" s="151"/>
    </row>
    <row r="49" spans="1:35" x14ac:dyDescent="0.2">
      <c r="A49" s="74">
        <v>2017</v>
      </c>
      <c r="B49" s="75" t="s">
        <v>73</v>
      </c>
      <c r="C49" s="83"/>
      <c r="D49" s="84">
        <v>87791253.170000002</v>
      </c>
      <c r="E49" s="84"/>
      <c r="F49" s="85"/>
      <c r="G49" s="86">
        <f>G48</f>
        <v>52149</v>
      </c>
      <c r="H49" s="84"/>
      <c r="I49" s="86">
        <f>I48</f>
        <v>5654.5</v>
      </c>
      <c r="J49" s="87"/>
      <c r="K49" s="88"/>
      <c r="L49" s="86">
        <f>L48</f>
        <v>562.5</v>
      </c>
      <c r="M49" s="87"/>
      <c r="N49" s="88"/>
      <c r="O49" s="86">
        <f>O48</f>
        <v>2</v>
      </c>
      <c r="P49" s="84"/>
      <c r="Q49" s="86">
        <f>Q48</f>
        <v>246</v>
      </c>
      <c r="R49" s="87"/>
      <c r="S49" s="89"/>
      <c r="T49" s="86">
        <f>T48</f>
        <v>451</v>
      </c>
      <c r="U49" s="87"/>
      <c r="V49" s="88"/>
      <c r="W49" s="86">
        <f>W48</f>
        <v>17946.5</v>
      </c>
      <c r="Y49" s="112"/>
      <c r="AA49" s="141"/>
      <c r="AB49" s="129"/>
      <c r="AE49" s="112"/>
      <c r="AF49" s="112"/>
      <c r="AH49" s="151"/>
      <c r="AI49" s="151"/>
    </row>
    <row r="50" spans="1:35" x14ac:dyDescent="0.2">
      <c r="A50" s="74">
        <v>2017</v>
      </c>
      <c r="B50" s="75" t="s">
        <v>74</v>
      </c>
      <c r="C50" s="83"/>
      <c r="D50" s="84">
        <v>96483175.329999983</v>
      </c>
      <c r="E50" s="84"/>
      <c r="F50" s="85"/>
      <c r="G50" s="86">
        <f t="shared" ref="G50:G59" si="21">G49</f>
        <v>52149</v>
      </c>
      <c r="H50" s="84"/>
      <c r="I50" s="86">
        <f t="shared" ref="I50:I59" si="22">I49</f>
        <v>5654.5</v>
      </c>
      <c r="J50" s="87"/>
      <c r="K50" s="88"/>
      <c r="L50" s="86">
        <f t="shared" ref="L50:L59" si="23">L49</f>
        <v>562.5</v>
      </c>
      <c r="M50" s="87"/>
      <c r="N50" s="88"/>
      <c r="O50" s="86">
        <f t="shared" ref="O50:O59" si="24">O49</f>
        <v>2</v>
      </c>
      <c r="P50" s="84"/>
      <c r="Q50" s="86">
        <f t="shared" ref="Q50:Q59" si="25">Q49</f>
        <v>246</v>
      </c>
      <c r="R50" s="87"/>
      <c r="S50" s="89"/>
      <c r="T50" s="86">
        <f t="shared" ref="T50:T59" si="26">T49</f>
        <v>451</v>
      </c>
      <c r="U50" s="87"/>
      <c r="V50" s="88"/>
      <c r="W50" s="86">
        <f t="shared" ref="W50:W59" si="27">W49</f>
        <v>17946.5</v>
      </c>
      <c r="Y50" s="112"/>
      <c r="AA50" s="141"/>
      <c r="AB50" s="129"/>
      <c r="AE50" s="112"/>
      <c r="AF50" s="112"/>
      <c r="AH50" s="151"/>
      <c r="AI50" s="151"/>
    </row>
    <row r="51" spans="1:35" x14ac:dyDescent="0.2">
      <c r="A51" s="74">
        <v>2017</v>
      </c>
      <c r="B51" s="75" t="s">
        <v>75</v>
      </c>
      <c r="C51" s="83"/>
      <c r="D51" s="84">
        <v>84555157.050000012</v>
      </c>
      <c r="E51" s="84"/>
      <c r="F51" s="85"/>
      <c r="G51" s="86">
        <f t="shared" si="21"/>
        <v>52149</v>
      </c>
      <c r="H51" s="84"/>
      <c r="I51" s="86">
        <f t="shared" si="22"/>
        <v>5654.5</v>
      </c>
      <c r="J51" s="87"/>
      <c r="K51" s="88"/>
      <c r="L51" s="86">
        <f t="shared" si="23"/>
        <v>562.5</v>
      </c>
      <c r="M51" s="87"/>
      <c r="N51" s="88"/>
      <c r="O51" s="86">
        <f t="shared" si="24"/>
        <v>2</v>
      </c>
      <c r="P51" s="84"/>
      <c r="Q51" s="86">
        <f t="shared" si="25"/>
        <v>246</v>
      </c>
      <c r="R51" s="87"/>
      <c r="S51" s="89"/>
      <c r="T51" s="86">
        <f t="shared" si="26"/>
        <v>451</v>
      </c>
      <c r="U51" s="87"/>
      <c r="V51" s="88"/>
      <c r="W51" s="86">
        <f t="shared" si="27"/>
        <v>17946.5</v>
      </c>
      <c r="Y51" s="112"/>
      <c r="AA51" s="141"/>
      <c r="AB51" s="129"/>
      <c r="AE51" s="112"/>
      <c r="AF51" s="112"/>
      <c r="AH51" s="151"/>
      <c r="AI51" s="151"/>
    </row>
    <row r="52" spans="1:35" x14ac:dyDescent="0.2">
      <c r="A52" s="74">
        <v>2017</v>
      </c>
      <c r="B52" s="75" t="s">
        <v>43</v>
      </c>
      <c r="C52" s="83"/>
      <c r="D52" s="84">
        <v>88800673.140000001</v>
      </c>
      <c r="E52" s="84"/>
      <c r="F52" s="85"/>
      <c r="G52" s="86">
        <f t="shared" si="21"/>
        <v>52149</v>
      </c>
      <c r="H52" s="84"/>
      <c r="I52" s="86">
        <f t="shared" si="22"/>
        <v>5654.5</v>
      </c>
      <c r="J52" s="87"/>
      <c r="K52" s="88"/>
      <c r="L52" s="86">
        <f t="shared" si="23"/>
        <v>562.5</v>
      </c>
      <c r="M52" s="87"/>
      <c r="N52" s="88"/>
      <c r="O52" s="86">
        <f t="shared" si="24"/>
        <v>2</v>
      </c>
      <c r="P52" s="84"/>
      <c r="Q52" s="86">
        <f t="shared" si="25"/>
        <v>246</v>
      </c>
      <c r="R52" s="87"/>
      <c r="S52" s="89"/>
      <c r="T52" s="86">
        <f t="shared" si="26"/>
        <v>451</v>
      </c>
      <c r="U52" s="87"/>
      <c r="V52" s="88"/>
      <c r="W52" s="86">
        <f t="shared" si="27"/>
        <v>17946.5</v>
      </c>
      <c r="Y52" s="112"/>
      <c r="AA52" s="141"/>
      <c r="AB52" s="129"/>
      <c r="AE52" s="112"/>
      <c r="AF52" s="112"/>
      <c r="AH52" s="151"/>
      <c r="AI52" s="151"/>
    </row>
    <row r="53" spans="1:35" x14ac:dyDescent="0.2">
      <c r="A53" s="74">
        <v>2017</v>
      </c>
      <c r="B53" s="75" t="s">
        <v>76</v>
      </c>
      <c r="C53" s="83"/>
      <c r="D53" s="84">
        <v>101082278.53099999</v>
      </c>
      <c r="E53" s="84"/>
      <c r="F53" s="85"/>
      <c r="G53" s="86">
        <f t="shared" si="21"/>
        <v>52149</v>
      </c>
      <c r="H53" s="84"/>
      <c r="I53" s="86">
        <f t="shared" si="22"/>
        <v>5654.5</v>
      </c>
      <c r="J53" s="87"/>
      <c r="K53" s="88"/>
      <c r="L53" s="86">
        <f t="shared" si="23"/>
        <v>562.5</v>
      </c>
      <c r="M53" s="87"/>
      <c r="N53" s="88"/>
      <c r="O53" s="86">
        <f t="shared" si="24"/>
        <v>2</v>
      </c>
      <c r="P53" s="84"/>
      <c r="Q53" s="86">
        <f t="shared" si="25"/>
        <v>246</v>
      </c>
      <c r="R53" s="87"/>
      <c r="S53" s="89"/>
      <c r="T53" s="86">
        <f t="shared" si="26"/>
        <v>451</v>
      </c>
      <c r="U53" s="87"/>
      <c r="V53" s="88"/>
      <c r="W53" s="86">
        <f t="shared" si="27"/>
        <v>17946.5</v>
      </c>
      <c r="Y53" s="112"/>
      <c r="AA53" s="141"/>
      <c r="AB53" s="129"/>
      <c r="AE53" s="112"/>
      <c r="AF53" s="112"/>
      <c r="AH53" s="151"/>
      <c r="AI53" s="151"/>
    </row>
    <row r="54" spans="1:35" x14ac:dyDescent="0.2">
      <c r="A54" s="74">
        <v>2017</v>
      </c>
      <c r="B54" s="75" t="s">
        <v>77</v>
      </c>
      <c r="C54" s="83"/>
      <c r="D54" s="84">
        <v>111813962.39</v>
      </c>
      <c r="E54" s="84"/>
      <c r="F54" s="85"/>
      <c r="G54" s="86">
        <f t="shared" si="21"/>
        <v>52149</v>
      </c>
      <c r="H54" s="84"/>
      <c r="I54" s="86">
        <f t="shared" si="22"/>
        <v>5654.5</v>
      </c>
      <c r="J54" s="87"/>
      <c r="K54" s="88"/>
      <c r="L54" s="86">
        <f t="shared" si="23"/>
        <v>562.5</v>
      </c>
      <c r="M54" s="87"/>
      <c r="N54" s="88"/>
      <c r="O54" s="86">
        <f t="shared" si="24"/>
        <v>2</v>
      </c>
      <c r="P54" s="84"/>
      <c r="Q54" s="86">
        <f t="shared" si="25"/>
        <v>246</v>
      </c>
      <c r="R54" s="87"/>
      <c r="S54" s="89"/>
      <c r="T54" s="86">
        <f t="shared" si="26"/>
        <v>451</v>
      </c>
      <c r="U54" s="87"/>
      <c r="V54" s="88"/>
      <c r="W54" s="86">
        <f t="shared" si="27"/>
        <v>17946.5</v>
      </c>
      <c r="Y54" s="112"/>
      <c r="AA54" s="141"/>
      <c r="AB54" s="129"/>
      <c r="AE54" s="112"/>
      <c r="AF54" s="112"/>
      <c r="AH54" s="151"/>
      <c r="AI54" s="151"/>
    </row>
    <row r="55" spans="1:35" x14ac:dyDescent="0.2">
      <c r="A55" s="74">
        <v>2017</v>
      </c>
      <c r="B55" s="75" t="s">
        <v>78</v>
      </c>
      <c r="C55" s="83"/>
      <c r="D55" s="84">
        <v>109237608.23999998</v>
      </c>
      <c r="E55" s="84"/>
      <c r="F55" s="85"/>
      <c r="G55" s="86">
        <f t="shared" si="21"/>
        <v>52149</v>
      </c>
      <c r="H55" s="84"/>
      <c r="I55" s="86">
        <f t="shared" si="22"/>
        <v>5654.5</v>
      </c>
      <c r="J55" s="87"/>
      <c r="K55" s="88"/>
      <c r="L55" s="86">
        <f t="shared" si="23"/>
        <v>562.5</v>
      </c>
      <c r="M55" s="87"/>
      <c r="N55" s="88"/>
      <c r="O55" s="86">
        <f t="shared" si="24"/>
        <v>2</v>
      </c>
      <c r="P55" s="84"/>
      <c r="Q55" s="86">
        <f t="shared" si="25"/>
        <v>246</v>
      </c>
      <c r="R55" s="87"/>
      <c r="S55" s="89"/>
      <c r="T55" s="86">
        <f t="shared" si="26"/>
        <v>451</v>
      </c>
      <c r="U55" s="87"/>
      <c r="V55" s="88"/>
      <c r="W55" s="86">
        <f t="shared" si="27"/>
        <v>17946.5</v>
      </c>
      <c r="Y55" s="112"/>
      <c r="AA55" s="141"/>
      <c r="AB55" s="129"/>
      <c r="AE55" s="112"/>
      <c r="AF55" s="112"/>
      <c r="AH55" s="151"/>
      <c r="AI55" s="151"/>
    </row>
    <row r="56" spans="1:35" x14ac:dyDescent="0.2">
      <c r="A56" s="74">
        <v>2017</v>
      </c>
      <c r="B56" s="75" t="s">
        <v>79</v>
      </c>
      <c r="C56" s="83"/>
      <c r="D56" s="84">
        <v>105318945.7</v>
      </c>
      <c r="E56" s="84"/>
      <c r="F56" s="85"/>
      <c r="G56" s="86">
        <f t="shared" si="21"/>
        <v>52149</v>
      </c>
      <c r="H56" s="84"/>
      <c r="I56" s="86">
        <f t="shared" si="22"/>
        <v>5654.5</v>
      </c>
      <c r="J56" s="87"/>
      <c r="K56" s="88"/>
      <c r="L56" s="86">
        <f t="shared" si="23"/>
        <v>562.5</v>
      </c>
      <c r="M56" s="87"/>
      <c r="N56" s="88"/>
      <c r="O56" s="86">
        <f t="shared" si="24"/>
        <v>2</v>
      </c>
      <c r="P56" s="84"/>
      <c r="Q56" s="86">
        <f t="shared" si="25"/>
        <v>246</v>
      </c>
      <c r="R56" s="87"/>
      <c r="S56" s="89"/>
      <c r="T56" s="86">
        <f t="shared" si="26"/>
        <v>451</v>
      </c>
      <c r="U56" s="87"/>
      <c r="V56" s="88"/>
      <c r="W56" s="86">
        <f t="shared" si="27"/>
        <v>17946.5</v>
      </c>
      <c r="Y56" s="112"/>
      <c r="AA56" s="141"/>
      <c r="AB56" s="129"/>
      <c r="AE56" s="112"/>
      <c r="AF56" s="112"/>
      <c r="AH56" s="151"/>
      <c r="AI56" s="151"/>
    </row>
    <row r="57" spans="1:35" x14ac:dyDescent="0.2">
      <c r="A57" s="74">
        <v>2017</v>
      </c>
      <c r="B57" s="75" t="s">
        <v>80</v>
      </c>
      <c r="C57" s="83"/>
      <c r="D57" s="84">
        <v>99050383.330000013</v>
      </c>
      <c r="E57" s="84"/>
      <c r="F57" s="85"/>
      <c r="G57" s="86">
        <f t="shared" si="21"/>
        <v>52149</v>
      </c>
      <c r="H57" s="84"/>
      <c r="I57" s="86">
        <f t="shared" si="22"/>
        <v>5654.5</v>
      </c>
      <c r="J57" s="87"/>
      <c r="K57" s="88"/>
      <c r="L57" s="86">
        <f t="shared" si="23"/>
        <v>562.5</v>
      </c>
      <c r="M57" s="87"/>
      <c r="N57" s="88"/>
      <c r="O57" s="86">
        <f t="shared" si="24"/>
        <v>2</v>
      </c>
      <c r="P57" s="84"/>
      <c r="Q57" s="86">
        <f t="shared" si="25"/>
        <v>246</v>
      </c>
      <c r="R57" s="87"/>
      <c r="S57" s="89"/>
      <c r="T57" s="86">
        <f t="shared" si="26"/>
        <v>451</v>
      </c>
      <c r="U57" s="87"/>
      <c r="V57" s="88"/>
      <c r="W57" s="86">
        <f t="shared" si="27"/>
        <v>17946.5</v>
      </c>
      <c r="Y57" s="112"/>
      <c r="AA57" s="141"/>
      <c r="AB57" s="129"/>
      <c r="AE57" s="112"/>
      <c r="AF57" s="112"/>
      <c r="AH57" s="151"/>
      <c r="AI57" s="151"/>
    </row>
    <row r="58" spans="1:35" x14ac:dyDescent="0.2">
      <c r="A58" s="74">
        <v>2017</v>
      </c>
      <c r="B58" s="75" t="s">
        <v>81</v>
      </c>
      <c r="C58" s="83"/>
      <c r="D58" s="84">
        <v>99942861.300000012</v>
      </c>
      <c r="E58" s="84"/>
      <c r="F58" s="85"/>
      <c r="G58" s="86">
        <f t="shared" si="21"/>
        <v>52149</v>
      </c>
      <c r="H58" s="84"/>
      <c r="I58" s="86">
        <f t="shared" si="22"/>
        <v>5654.5</v>
      </c>
      <c r="J58" s="87"/>
      <c r="K58" s="88"/>
      <c r="L58" s="86">
        <f t="shared" si="23"/>
        <v>562.5</v>
      </c>
      <c r="M58" s="87"/>
      <c r="N58" s="88"/>
      <c r="O58" s="86">
        <f t="shared" si="24"/>
        <v>2</v>
      </c>
      <c r="P58" s="84"/>
      <c r="Q58" s="86">
        <f t="shared" si="25"/>
        <v>246</v>
      </c>
      <c r="R58" s="87"/>
      <c r="S58" s="89"/>
      <c r="T58" s="86">
        <f t="shared" si="26"/>
        <v>451</v>
      </c>
      <c r="U58" s="87"/>
      <c r="V58" s="88"/>
      <c r="W58" s="86">
        <f t="shared" si="27"/>
        <v>17946.5</v>
      </c>
      <c r="Y58" s="112"/>
      <c r="AA58" s="141"/>
      <c r="AB58" s="129"/>
      <c r="AE58" s="112"/>
      <c r="AF58" s="112"/>
      <c r="AH58" s="151"/>
      <c r="AI58" s="151"/>
    </row>
    <row r="59" spans="1:35" x14ac:dyDescent="0.2">
      <c r="A59" s="74">
        <v>2017</v>
      </c>
      <c r="B59" s="75" t="s">
        <v>82</v>
      </c>
      <c r="C59" s="83"/>
      <c r="D59" s="84">
        <v>103823629.38</v>
      </c>
      <c r="E59" s="84"/>
      <c r="F59" s="85">
        <v>387000724.86000001</v>
      </c>
      <c r="G59" s="86">
        <f t="shared" si="21"/>
        <v>52149</v>
      </c>
      <c r="H59" s="84">
        <v>152138066.16999999</v>
      </c>
      <c r="I59" s="86">
        <f t="shared" si="22"/>
        <v>5654.5</v>
      </c>
      <c r="J59" s="87">
        <v>535305319.84000009</v>
      </c>
      <c r="K59" s="88">
        <v>1472726.2</v>
      </c>
      <c r="L59" s="86">
        <f t="shared" si="23"/>
        <v>562.5</v>
      </c>
      <c r="M59" s="87">
        <v>68876378.480000004</v>
      </c>
      <c r="N59" s="88">
        <v>235754.21</v>
      </c>
      <c r="O59" s="86">
        <f t="shared" si="24"/>
        <v>2</v>
      </c>
      <c r="P59" s="84">
        <v>1348220.9</v>
      </c>
      <c r="Q59" s="86">
        <f t="shared" si="25"/>
        <v>246</v>
      </c>
      <c r="R59" s="87">
        <v>423108.89999999997</v>
      </c>
      <c r="S59" s="89">
        <v>1177.0800000000002</v>
      </c>
      <c r="T59" s="86">
        <f t="shared" si="26"/>
        <v>451</v>
      </c>
      <c r="U59" s="87">
        <v>5848286.7999999998</v>
      </c>
      <c r="V59" s="88">
        <v>16202.59</v>
      </c>
      <c r="W59" s="86">
        <f t="shared" si="27"/>
        <v>17946.5</v>
      </c>
      <c r="X59" s="112"/>
      <c r="Y59" s="112"/>
      <c r="AA59" s="141"/>
      <c r="AB59" s="129"/>
      <c r="AE59" s="112"/>
      <c r="AF59" s="112"/>
      <c r="AH59" s="151"/>
      <c r="AI59" s="152"/>
    </row>
    <row r="60" spans="1:35" x14ac:dyDescent="0.2">
      <c r="A60" s="74">
        <v>2018</v>
      </c>
      <c r="B60" s="75" t="s">
        <v>72</v>
      </c>
      <c r="C60" s="83"/>
      <c r="D60" s="77">
        <v>106825889.7814208</v>
      </c>
      <c r="E60" s="77"/>
      <c r="F60" s="78"/>
      <c r="G60" s="79">
        <v>52685.5</v>
      </c>
      <c r="H60" s="77"/>
      <c r="I60" s="79">
        <v>5686</v>
      </c>
      <c r="J60" s="80"/>
      <c r="K60" s="81"/>
      <c r="L60" s="79">
        <v>549</v>
      </c>
      <c r="M60" s="80"/>
      <c r="N60" s="81"/>
      <c r="O60" s="79">
        <v>2</v>
      </c>
      <c r="P60" s="77"/>
      <c r="Q60" s="79">
        <v>228</v>
      </c>
      <c r="R60" s="80"/>
      <c r="S60" s="82"/>
      <c r="T60" s="79">
        <v>381.5</v>
      </c>
      <c r="U60" s="80"/>
      <c r="V60" s="81"/>
      <c r="W60" s="79">
        <v>18034</v>
      </c>
      <c r="Y60" s="112"/>
      <c r="AA60" s="141"/>
      <c r="AB60" s="129"/>
      <c r="AE60" s="112"/>
      <c r="AF60" s="112"/>
      <c r="AH60" s="151"/>
      <c r="AI60" s="151"/>
    </row>
    <row r="61" spans="1:35" x14ac:dyDescent="0.2">
      <c r="A61" s="74">
        <v>2018</v>
      </c>
      <c r="B61" s="75" t="s">
        <v>73</v>
      </c>
      <c r="C61" s="83"/>
      <c r="D61" s="84">
        <v>92714687.858999997</v>
      </c>
      <c r="E61" s="84"/>
      <c r="F61" s="85"/>
      <c r="G61" s="86">
        <f>G60</f>
        <v>52685.5</v>
      </c>
      <c r="H61" s="84"/>
      <c r="I61" s="86">
        <f>I60</f>
        <v>5686</v>
      </c>
      <c r="J61" s="87"/>
      <c r="K61" s="88"/>
      <c r="L61" s="86">
        <f>L60</f>
        <v>549</v>
      </c>
      <c r="M61" s="87"/>
      <c r="N61" s="88"/>
      <c r="O61" s="86">
        <f>O60</f>
        <v>2</v>
      </c>
      <c r="P61" s="84"/>
      <c r="Q61" s="86">
        <f>Q60</f>
        <v>228</v>
      </c>
      <c r="R61" s="87"/>
      <c r="S61" s="89"/>
      <c r="T61" s="86">
        <f>T60</f>
        <v>381.5</v>
      </c>
      <c r="U61" s="87"/>
      <c r="V61" s="88"/>
      <c r="W61" s="86">
        <f>W60</f>
        <v>18034</v>
      </c>
      <c r="Y61" s="112"/>
      <c r="AA61" s="141"/>
      <c r="AB61" s="129"/>
      <c r="AE61" s="112"/>
      <c r="AF61" s="112"/>
      <c r="AH61" s="151"/>
      <c r="AI61" s="151"/>
    </row>
    <row r="62" spans="1:35" x14ac:dyDescent="0.2">
      <c r="A62" s="74">
        <v>2018</v>
      </c>
      <c r="B62" s="75" t="s">
        <v>74</v>
      </c>
      <c r="C62" s="83"/>
      <c r="D62" s="84">
        <v>100762780.59100001</v>
      </c>
      <c r="E62" s="84"/>
      <c r="F62" s="85"/>
      <c r="G62" s="86">
        <f t="shared" ref="G62:G71" si="28">G61</f>
        <v>52685.5</v>
      </c>
      <c r="H62" s="84"/>
      <c r="I62" s="86">
        <f t="shared" ref="I62:I71" si="29">I61</f>
        <v>5686</v>
      </c>
      <c r="J62" s="87"/>
      <c r="K62" s="88"/>
      <c r="L62" s="86">
        <f t="shared" ref="L62:L71" si="30">L61</f>
        <v>549</v>
      </c>
      <c r="M62" s="87"/>
      <c r="N62" s="88"/>
      <c r="O62" s="86">
        <f t="shared" ref="O62:O71" si="31">O61</f>
        <v>2</v>
      </c>
      <c r="P62" s="84"/>
      <c r="Q62" s="86">
        <f t="shared" ref="Q62:Q71" si="32">Q61</f>
        <v>228</v>
      </c>
      <c r="R62" s="87"/>
      <c r="S62" s="89"/>
      <c r="T62" s="86">
        <f t="shared" ref="T62:T71" si="33">T61</f>
        <v>381.5</v>
      </c>
      <c r="U62" s="87"/>
      <c r="V62" s="88"/>
      <c r="W62" s="86">
        <f t="shared" ref="W62:W71" si="34">W61</f>
        <v>18034</v>
      </c>
      <c r="Y62" s="112"/>
      <c r="AA62" s="141"/>
      <c r="AB62" s="129"/>
      <c r="AE62" s="112"/>
      <c r="AF62" s="112"/>
      <c r="AH62" s="151"/>
      <c r="AI62" s="151"/>
    </row>
    <row r="63" spans="1:35" x14ac:dyDescent="0.2">
      <c r="A63" s="74">
        <v>2018</v>
      </c>
      <c r="B63" s="75" t="s">
        <v>75</v>
      </c>
      <c r="C63" s="83"/>
      <c r="D63" s="84">
        <v>93453119.36999999</v>
      </c>
      <c r="E63" s="84"/>
      <c r="F63" s="85"/>
      <c r="G63" s="86">
        <f t="shared" si="28"/>
        <v>52685.5</v>
      </c>
      <c r="H63" s="84"/>
      <c r="I63" s="86">
        <f t="shared" si="29"/>
        <v>5686</v>
      </c>
      <c r="J63" s="87"/>
      <c r="K63" s="88"/>
      <c r="L63" s="86">
        <f t="shared" si="30"/>
        <v>549</v>
      </c>
      <c r="M63" s="87"/>
      <c r="N63" s="88"/>
      <c r="O63" s="86">
        <f t="shared" si="31"/>
        <v>2</v>
      </c>
      <c r="P63" s="84"/>
      <c r="Q63" s="86">
        <f t="shared" si="32"/>
        <v>228</v>
      </c>
      <c r="R63" s="87"/>
      <c r="S63" s="89"/>
      <c r="T63" s="86">
        <f t="shared" si="33"/>
        <v>381.5</v>
      </c>
      <c r="U63" s="87"/>
      <c r="V63" s="88"/>
      <c r="W63" s="86">
        <f t="shared" si="34"/>
        <v>18034</v>
      </c>
      <c r="Y63" s="112"/>
      <c r="AA63" s="141"/>
      <c r="AB63" s="129"/>
      <c r="AE63" s="112"/>
      <c r="AF63" s="112"/>
      <c r="AH63" s="151"/>
      <c r="AI63" s="151"/>
    </row>
    <row r="64" spans="1:35" x14ac:dyDescent="0.2">
      <c r="A64" s="74">
        <v>2018</v>
      </c>
      <c r="B64" s="75" t="s">
        <v>43</v>
      </c>
      <c r="C64" s="83"/>
      <c r="D64" s="84">
        <v>97499887.127999991</v>
      </c>
      <c r="E64" s="84"/>
      <c r="F64" s="85"/>
      <c r="G64" s="86">
        <f t="shared" si="28"/>
        <v>52685.5</v>
      </c>
      <c r="H64" s="84"/>
      <c r="I64" s="86">
        <f t="shared" si="29"/>
        <v>5686</v>
      </c>
      <c r="J64" s="87"/>
      <c r="K64" s="88"/>
      <c r="L64" s="86">
        <f t="shared" si="30"/>
        <v>549</v>
      </c>
      <c r="M64" s="87"/>
      <c r="N64" s="88"/>
      <c r="O64" s="86">
        <f t="shared" si="31"/>
        <v>2</v>
      </c>
      <c r="P64" s="84"/>
      <c r="Q64" s="86">
        <f t="shared" si="32"/>
        <v>228</v>
      </c>
      <c r="R64" s="87"/>
      <c r="S64" s="89"/>
      <c r="T64" s="86">
        <f t="shared" si="33"/>
        <v>381.5</v>
      </c>
      <c r="U64" s="87"/>
      <c r="V64" s="88"/>
      <c r="W64" s="86">
        <f t="shared" si="34"/>
        <v>18034</v>
      </c>
      <c r="Y64" s="112"/>
      <c r="AA64" s="141"/>
      <c r="AB64" s="129"/>
      <c r="AE64" s="112"/>
      <c r="AF64" s="112"/>
      <c r="AH64" s="151"/>
      <c r="AI64" s="151"/>
    </row>
    <row r="65" spans="1:35" x14ac:dyDescent="0.2">
      <c r="A65" s="74">
        <v>2018</v>
      </c>
      <c r="B65" s="75" t="s">
        <v>76</v>
      </c>
      <c r="C65" s="83"/>
      <c r="D65" s="84">
        <v>104943076.84800002</v>
      </c>
      <c r="E65" s="84"/>
      <c r="F65" s="85"/>
      <c r="G65" s="86">
        <f t="shared" si="28"/>
        <v>52685.5</v>
      </c>
      <c r="H65" s="84"/>
      <c r="I65" s="86">
        <f t="shared" si="29"/>
        <v>5686</v>
      </c>
      <c r="J65" s="87"/>
      <c r="K65" s="88"/>
      <c r="L65" s="86">
        <f t="shared" si="30"/>
        <v>549</v>
      </c>
      <c r="M65" s="87"/>
      <c r="N65" s="88"/>
      <c r="O65" s="86">
        <f t="shared" si="31"/>
        <v>2</v>
      </c>
      <c r="P65" s="84"/>
      <c r="Q65" s="86">
        <f t="shared" si="32"/>
        <v>228</v>
      </c>
      <c r="R65" s="87"/>
      <c r="S65" s="89"/>
      <c r="T65" s="86">
        <f t="shared" si="33"/>
        <v>381.5</v>
      </c>
      <c r="U65" s="87"/>
      <c r="V65" s="88"/>
      <c r="W65" s="86">
        <f t="shared" si="34"/>
        <v>18034</v>
      </c>
      <c r="Y65" s="112"/>
      <c r="AA65" s="141"/>
      <c r="AB65" s="129"/>
      <c r="AE65" s="112"/>
      <c r="AF65" s="112"/>
      <c r="AH65" s="151"/>
      <c r="AI65" s="151"/>
    </row>
    <row r="66" spans="1:35" x14ac:dyDescent="0.2">
      <c r="A66" s="74">
        <v>2018</v>
      </c>
      <c r="B66" s="75" t="s">
        <v>77</v>
      </c>
      <c r="C66" s="83"/>
      <c r="D66" s="84">
        <v>122641656.529</v>
      </c>
      <c r="E66" s="84"/>
      <c r="F66" s="85"/>
      <c r="G66" s="86">
        <f t="shared" si="28"/>
        <v>52685.5</v>
      </c>
      <c r="H66" s="84"/>
      <c r="I66" s="86">
        <f t="shared" si="29"/>
        <v>5686</v>
      </c>
      <c r="J66" s="87"/>
      <c r="K66" s="88"/>
      <c r="L66" s="86">
        <f t="shared" si="30"/>
        <v>549</v>
      </c>
      <c r="M66" s="87"/>
      <c r="N66" s="88"/>
      <c r="O66" s="86">
        <f t="shared" si="31"/>
        <v>2</v>
      </c>
      <c r="P66" s="84"/>
      <c r="Q66" s="86">
        <f t="shared" si="32"/>
        <v>228</v>
      </c>
      <c r="R66" s="87"/>
      <c r="S66" s="89"/>
      <c r="T66" s="86">
        <f t="shared" si="33"/>
        <v>381.5</v>
      </c>
      <c r="U66" s="87"/>
      <c r="V66" s="88"/>
      <c r="W66" s="86">
        <f t="shared" si="34"/>
        <v>18034</v>
      </c>
      <c r="Y66" s="112"/>
      <c r="AA66" s="141"/>
      <c r="AB66" s="129"/>
      <c r="AE66" s="112"/>
      <c r="AF66" s="112"/>
      <c r="AH66" s="151"/>
      <c r="AI66" s="151"/>
    </row>
    <row r="67" spans="1:35" x14ac:dyDescent="0.2">
      <c r="A67" s="74">
        <v>2018</v>
      </c>
      <c r="B67" s="75" t="s">
        <v>78</v>
      </c>
      <c r="C67" s="83"/>
      <c r="D67" s="84">
        <v>125626145.32900003</v>
      </c>
      <c r="E67" s="84"/>
      <c r="F67" s="85"/>
      <c r="G67" s="86">
        <f t="shared" si="28"/>
        <v>52685.5</v>
      </c>
      <c r="H67" s="84"/>
      <c r="I67" s="86">
        <f t="shared" si="29"/>
        <v>5686</v>
      </c>
      <c r="J67" s="87"/>
      <c r="K67" s="88"/>
      <c r="L67" s="86">
        <f t="shared" si="30"/>
        <v>549</v>
      </c>
      <c r="M67" s="87"/>
      <c r="N67" s="88"/>
      <c r="O67" s="86">
        <f t="shared" si="31"/>
        <v>2</v>
      </c>
      <c r="P67" s="84"/>
      <c r="Q67" s="86">
        <f t="shared" si="32"/>
        <v>228</v>
      </c>
      <c r="R67" s="87"/>
      <c r="S67" s="89"/>
      <c r="T67" s="86">
        <f t="shared" si="33"/>
        <v>381.5</v>
      </c>
      <c r="U67" s="87"/>
      <c r="V67" s="88"/>
      <c r="W67" s="86">
        <f t="shared" si="34"/>
        <v>18034</v>
      </c>
      <c r="Y67" s="112"/>
      <c r="AA67" s="141"/>
      <c r="AB67" s="129"/>
      <c r="AE67" s="112"/>
      <c r="AF67" s="112"/>
      <c r="AH67" s="151"/>
      <c r="AI67" s="151"/>
    </row>
    <row r="68" spans="1:35" x14ac:dyDescent="0.2">
      <c r="A68" s="74">
        <v>2018</v>
      </c>
      <c r="B68" s="75" t="s">
        <v>79</v>
      </c>
      <c r="C68" s="83"/>
      <c r="D68" s="84">
        <v>108215469.03999999</v>
      </c>
      <c r="E68" s="84"/>
      <c r="F68" s="85"/>
      <c r="G68" s="86">
        <f t="shared" si="28"/>
        <v>52685.5</v>
      </c>
      <c r="H68" s="84"/>
      <c r="I68" s="86">
        <f t="shared" si="29"/>
        <v>5686</v>
      </c>
      <c r="J68" s="87"/>
      <c r="K68" s="88"/>
      <c r="L68" s="86">
        <f t="shared" si="30"/>
        <v>549</v>
      </c>
      <c r="M68" s="87"/>
      <c r="N68" s="88"/>
      <c r="O68" s="86">
        <f t="shared" si="31"/>
        <v>2</v>
      </c>
      <c r="P68" s="84"/>
      <c r="Q68" s="86">
        <f t="shared" si="32"/>
        <v>228</v>
      </c>
      <c r="R68" s="87"/>
      <c r="S68" s="89"/>
      <c r="T68" s="86">
        <f t="shared" si="33"/>
        <v>381.5</v>
      </c>
      <c r="U68" s="87"/>
      <c r="V68" s="88"/>
      <c r="W68" s="86">
        <f t="shared" si="34"/>
        <v>18034</v>
      </c>
      <c r="Y68" s="112"/>
      <c r="AA68" s="141"/>
      <c r="AB68" s="129"/>
      <c r="AE68" s="112"/>
      <c r="AF68" s="112"/>
      <c r="AH68" s="151"/>
      <c r="AI68" s="151"/>
    </row>
    <row r="69" spans="1:35" x14ac:dyDescent="0.2">
      <c r="A69" s="74">
        <v>2018</v>
      </c>
      <c r="B69" s="75" t="s">
        <v>80</v>
      </c>
      <c r="C69" s="83"/>
      <c r="D69" s="84">
        <v>98748100.769000039</v>
      </c>
      <c r="E69" s="84"/>
      <c r="F69" s="85"/>
      <c r="G69" s="86">
        <f t="shared" si="28"/>
        <v>52685.5</v>
      </c>
      <c r="H69" s="84"/>
      <c r="I69" s="86">
        <f t="shared" si="29"/>
        <v>5686</v>
      </c>
      <c r="J69" s="87"/>
      <c r="K69" s="88"/>
      <c r="L69" s="86">
        <f t="shared" si="30"/>
        <v>549</v>
      </c>
      <c r="M69" s="87"/>
      <c r="N69" s="88"/>
      <c r="O69" s="86">
        <f t="shared" si="31"/>
        <v>2</v>
      </c>
      <c r="P69" s="84"/>
      <c r="Q69" s="86">
        <f t="shared" si="32"/>
        <v>228</v>
      </c>
      <c r="R69" s="87"/>
      <c r="S69" s="89"/>
      <c r="T69" s="86">
        <f t="shared" si="33"/>
        <v>381.5</v>
      </c>
      <c r="U69" s="87"/>
      <c r="V69" s="88"/>
      <c r="W69" s="86">
        <f t="shared" si="34"/>
        <v>18034</v>
      </c>
      <c r="Y69" s="112"/>
      <c r="AA69" s="141"/>
      <c r="AB69" s="129"/>
      <c r="AE69" s="112"/>
      <c r="AF69" s="112"/>
      <c r="AH69" s="151"/>
      <c r="AI69" s="151"/>
    </row>
    <row r="70" spans="1:35" x14ac:dyDescent="0.2">
      <c r="A70" s="74">
        <v>2018</v>
      </c>
      <c r="B70" s="75" t="s">
        <v>81</v>
      </c>
      <c r="C70" s="83"/>
      <c r="D70" s="84">
        <v>99742440.160000011</v>
      </c>
      <c r="E70" s="84"/>
      <c r="F70" s="85"/>
      <c r="G70" s="86">
        <f t="shared" si="28"/>
        <v>52685.5</v>
      </c>
      <c r="H70" s="84"/>
      <c r="I70" s="86">
        <f t="shared" si="29"/>
        <v>5686</v>
      </c>
      <c r="J70" s="87"/>
      <c r="K70" s="88"/>
      <c r="L70" s="86">
        <f t="shared" si="30"/>
        <v>549</v>
      </c>
      <c r="M70" s="87"/>
      <c r="N70" s="88"/>
      <c r="O70" s="86">
        <f t="shared" si="31"/>
        <v>2</v>
      </c>
      <c r="P70" s="84"/>
      <c r="Q70" s="86">
        <f t="shared" si="32"/>
        <v>228</v>
      </c>
      <c r="R70" s="87"/>
      <c r="S70" s="89"/>
      <c r="T70" s="86">
        <f t="shared" si="33"/>
        <v>381.5</v>
      </c>
      <c r="U70" s="87"/>
      <c r="V70" s="88"/>
      <c r="W70" s="86">
        <f t="shared" si="34"/>
        <v>18034</v>
      </c>
      <c r="Y70" s="112"/>
      <c r="AA70" s="141"/>
      <c r="AB70" s="129"/>
      <c r="AE70" s="112"/>
      <c r="AF70" s="112"/>
      <c r="AH70" s="151"/>
      <c r="AI70" s="151"/>
    </row>
    <row r="71" spans="1:35" x14ac:dyDescent="0.2">
      <c r="A71" s="74">
        <v>2018</v>
      </c>
      <c r="B71" s="75" t="s">
        <v>82</v>
      </c>
      <c r="C71" s="83"/>
      <c r="D71" s="84">
        <v>98928053.012999997</v>
      </c>
      <c r="E71" s="84"/>
      <c r="F71" s="85">
        <v>425242692</v>
      </c>
      <c r="G71" s="86">
        <f t="shared" si="28"/>
        <v>52685.5</v>
      </c>
      <c r="H71" s="84">
        <v>158043644</v>
      </c>
      <c r="I71" s="86">
        <f t="shared" si="29"/>
        <v>5686</v>
      </c>
      <c r="J71" s="87">
        <v>535709795.42999995</v>
      </c>
      <c r="K71" s="88">
        <v>1449719.46</v>
      </c>
      <c r="L71" s="86">
        <f t="shared" si="30"/>
        <v>549</v>
      </c>
      <c r="M71" s="87">
        <v>78736784.100000009</v>
      </c>
      <c r="N71" s="88">
        <v>248845.94</v>
      </c>
      <c r="O71" s="86">
        <f t="shared" si="31"/>
        <v>2</v>
      </c>
      <c r="P71" s="84">
        <v>1344468</v>
      </c>
      <c r="Q71" s="86">
        <f t="shared" si="32"/>
        <v>228</v>
      </c>
      <c r="R71" s="87">
        <v>420751</v>
      </c>
      <c r="S71" s="89">
        <v>1039</v>
      </c>
      <c r="T71" s="86">
        <f t="shared" si="33"/>
        <v>381.5</v>
      </c>
      <c r="U71" s="87">
        <v>5551665</v>
      </c>
      <c r="V71" s="88">
        <v>15561</v>
      </c>
      <c r="W71" s="86">
        <f t="shared" si="34"/>
        <v>18034</v>
      </c>
      <c r="X71" s="112"/>
      <c r="Y71" s="112"/>
      <c r="AA71" s="141"/>
      <c r="AB71" s="129"/>
      <c r="AE71" s="112"/>
      <c r="AF71" s="112"/>
      <c r="AH71" s="151"/>
      <c r="AI71" s="152"/>
    </row>
    <row r="72" spans="1:35" x14ac:dyDescent="0.2">
      <c r="A72" s="74">
        <v>2019</v>
      </c>
      <c r="B72" s="75" t="s">
        <v>72</v>
      </c>
      <c r="C72" s="83"/>
      <c r="D72" s="77">
        <v>107530191.59399998</v>
      </c>
      <c r="E72" s="77"/>
      <c r="F72" s="78"/>
      <c r="G72" s="79">
        <v>53245</v>
      </c>
      <c r="H72" s="77"/>
      <c r="I72" s="79">
        <v>5693.5</v>
      </c>
      <c r="J72" s="80"/>
      <c r="K72" s="81"/>
      <c r="L72" s="79">
        <v>556.5</v>
      </c>
      <c r="M72" s="80"/>
      <c r="N72" s="81"/>
      <c r="O72" s="79">
        <v>2</v>
      </c>
      <c r="P72" s="77"/>
      <c r="Q72" s="79">
        <v>228</v>
      </c>
      <c r="R72" s="80"/>
      <c r="S72" s="82"/>
      <c r="T72" s="79">
        <v>393</v>
      </c>
      <c r="U72" s="80"/>
      <c r="V72" s="81"/>
      <c r="W72" s="79">
        <v>18074.5</v>
      </c>
      <c r="Y72" s="112"/>
      <c r="AA72" s="141"/>
      <c r="AB72" s="129"/>
      <c r="AE72" s="112"/>
      <c r="AF72" s="112"/>
      <c r="AH72" s="151"/>
      <c r="AI72" s="151"/>
    </row>
    <row r="73" spans="1:35" x14ac:dyDescent="0.2">
      <c r="A73" s="74">
        <v>2019</v>
      </c>
      <c r="B73" s="75" t="s">
        <v>73</v>
      </c>
      <c r="C73" s="83"/>
      <c r="D73" s="84">
        <v>96871247.836999983</v>
      </c>
      <c r="E73" s="84"/>
      <c r="F73" s="85"/>
      <c r="G73" s="86">
        <f t="shared" ref="G73:G83" si="35">G72</f>
        <v>53245</v>
      </c>
      <c r="H73" s="84"/>
      <c r="I73" s="86">
        <f t="shared" ref="I73:I83" si="36">I72</f>
        <v>5693.5</v>
      </c>
      <c r="J73" s="87"/>
      <c r="K73" s="88"/>
      <c r="L73" s="86">
        <f t="shared" ref="L73:L83" si="37">L72</f>
        <v>556.5</v>
      </c>
      <c r="M73" s="87"/>
      <c r="N73" s="88"/>
      <c r="O73" s="86">
        <f t="shared" ref="O73:O83" si="38">O72</f>
        <v>2</v>
      </c>
      <c r="P73" s="84"/>
      <c r="Q73" s="86">
        <f t="shared" ref="Q73:Q83" si="39">Q72</f>
        <v>228</v>
      </c>
      <c r="R73" s="87"/>
      <c r="S73" s="89"/>
      <c r="T73" s="86">
        <f t="shared" ref="T73:T83" si="40">T72</f>
        <v>393</v>
      </c>
      <c r="U73" s="87"/>
      <c r="V73" s="88"/>
      <c r="W73" s="86">
        <f t="shared" ref="W73:W83" si="41">W72</f>
        <v>18074.5</v>
      </c>
      <c r="Y73" s="112"/>
      <c r="AA73" s="141"/>
      <c r="AB73" s="129"/>
      <c r="AE73" s="112"/>
      <c r="AF73" s="112"/>
      <c r="AH73" s="151"/>
      <c r="AI73" s="151"/>
    </row>
    <row r="74" spans="1:35" x14ac:dyDescent="0.2">
      <c r="A74" s="74">
        <v>2019</v>
      </c>
      <c r="B74" s="75" t="s">
        <v>74</v>
      </c>
      <c r="C74" s="83"/>
      <c r="D74" s="84">
        <v>101278430.30499999</v>
      </c>
      <c r="E74" s="84"/>
      <c r="F74" s="85"/>
      <c r="G74" s="86">
        <f t="shared" si="35"/>
        <v>53245</v>
      </c>
      <c r="H74" s="84"/>
      <c r="I74" s="86">
        <f t="shared" si="36"/>
        <v>5693.5</v>
      </c>
      <c r="J74" s="87"/>
      <c r="K74" s="88"/>
      <c r="L74" s="86">
        <f t="shared" si="37"/>
        <v>556.5</v>
      </c>
      <c r="M74" s="87"/>
      <c r="N74" s="88"/>
      <c r="O74" s="86">
        <f t="shared" si="38"/>
        <v>2</v>
      </c>
      <c r="P74" s="84"/>
      <c r="Q74" s="86">
        <f t="shared" si="39"/>
        <v>228</v>
      </c>
      <c r="R74" s="87"/>
      <c r="S74" s="89"/>
      <c r="T74" s="86">
        <f t="shared" si="40"/>
        <v>393</v>
      </c>
      <c r="U74" s="87"/>
      <c r="V74" s="88"/>
      <c r="W74" s="86">
        <f t="shared" si="41"/>
        <v>18074.5</v>
      </c>
      <c r="Y74" s="112"/>
      <c r="AA74" s="141"/>
      <c r="AB74" s="129"/>
      <c r="AE74" s="112"/>
      <c r="AF74" s="112"/>
      <c r="AH74" s="151"/>
      <c r="AI74" s="151"/>
    </row>
    <row r="75" spans="1:35" x14ac:dyDescent="0.2">
      <c r="A75" s="74">
        <v>2019</v>
      </c>
      <c r="B75" s="75" t="s">
        <v>75</v>
      </c>
      <c r="C75" s="83"/>
      <c r="D75" s="84">
        <v>89051057.089999989</v>
      </c>
      <c r="E75" s="84"/>
      <c r="F75" s="85"/>
      <c r="G75" s="86">
        <f t="shared" si="35"/>
        <v>53245</v>
      </c>
      <c r="H75" s="84"/>
      <c r="I75" s="86">
        <f t="shared" si="36"/>
        <v>5693.5</v>
      </c>
      <c r="J75" s="87"/>
      <c r="K75" s="88"/>
      <c r="L75" s="86">
        <f t="shared" si="37"/>
        <v>556.5</v>
      </c>
      <c r="M75" s="87"/>
      <c r="N75" s="88"/>
      <c r="O75" s="86">
        <f t="shared" si="38"/>
        <v>2</v>
      </c>
      <c r="P75" s="84"/>
      <c r="Q75" s="86">
        <f t="shared" si="39"/>
        <v>228</v>
      </c>
      <c r="R75" s="87"/>
      <c r="S75" s="89"/>
      <c r="T75" s="86">
        <f t="shared" si="40"/>
        <v>393</v>
      </c>
      <c r="U75" s="87"/>
      <c r="V75" s="88"/>
      <c r="W75" s="86">
        <f t="shared" si="41"/>
        <v>18074.5</v>
      </c>
      <c r="Y75" s="112"/>
      <c r="AA75" s="141"/>
      <c r="AB75" s="129"/>
      <c r="AE75" s="112"/>
      <c r="AF75" s="112"/>
      <c r="AH75" s="151"/>
      <c r="AI75" s="151"/>
    </row>
    <row r="76" spans="1:35" x14ac:dyDescent="0.2">
      <c r="A76" s="74">
        <v>2019</v>
      </c>
      <c r="B76" s="75" t="s">
        <v>43</v>
      </c>
      <c r="C76" s="83"/>
      <c r="D76" s="84">
        <v>91271581.115999982</v>
      </c>
      <c r="E76" s="84"/>
      <c r="F76" s="85"/>
      <c r="G76" s="86">
        <f t="shared" si="35"/>
        <v>53245</v>
      </c>
      <c r="H76" s="84"/>
      <c r="I76" s="86">
        <f t="shared" si="36"/>
        <v>5693.5</v>
      </c>
      <c r="J76" s="87"/>
      <c r="K76" s="88"/>
      <c r="L76" s="86">
        <f t="shared" si="37"/>
        <v>556.5</v>
      </c>
      <c r="M76" s="87"/>
      <c r="N76" s="88"/>
      <c r="O76" s="86">
        <f t="shared" si="38"/>
        <v>2</v>
      </c>
      <c r="P76" s="84"/>
      <c r="Q76" s="86">
        <f t="shared" si="39"/>
        <v>228</v>
      </c>
      <c r="R76" s="87"/>
      <c r="S76" s="89"/>
      <c r="T76" s="86">
        <f t="shared" si="40"/>
        <v>393</v>
      </c>
      <c r="U76" s="87"/>
      <c r="V76" s="88"/>
      <c r="W76" s="86">
        <f t="shared" si="41"/>
        <v>18074.5</v>
      </c>
      <c r="Y76" s="112"/>
      <c r="AA76" s="141"/>
      <c r="AB76" s="129"/>
      <c r="AE76" s="112"/>
      <c r="AF76" s="112"/>
      <c r="AH76" s="151"/>
      <c r="AI76" s="151"/>
    </row>
    <row r="77" spans="1:35" x14ac:dyDescent="0.2">
      <c r="A77" s="74">
        <v>2019</v>
      </c>
      <c r="B77" s="75" t="s">
        <v>76</v>
      </c>
      <c r="C77" s="83"/>
      <c r="D77" s="84">
        <v>97440947.072999999</v>
      </c>
      <c r="E77" s="84"/>
      <c r="F77" s="85"/>
      <c r="G77" s="86">
        <f t="shared" si="35"/>
        <v>53245</v>
      </c>
      <c r="H77" s="84"/>
      <c r="I77" s="86">
        <f t="shared" si="36"/>
        <v>5693.5</v>
      </c>
      <c r="J77" s="87"/>
      <c r="K77" s="88"/>
      <c r="L77" s="86">
        <f t="shared" si="37"/>
        <v>556.5</v>
      </c>
      <c r="M77" s="87"/>
      <c r="N77" s="88"/>
      <c r="O77" s="86">
        <f t="shared" si="38"/>
        <v>2</v>
      </c>
      <c r="P77" s="84"/>
      <c r="Q77" s="86">
        <f t="shared" si="39"/>
        <v>228</v>
      </c>
      <c r="R77" s="87"/>
      <c r="S77" s="89"/>
      <c r="T77" s="86">
        <f t="shared" si="40"/>
        <v>393</v>
      </c>
      <c r="U77" s="87"/>
      <c r="V77" s="88"/>
      <c r="W77" s="86">
        <f t="shared" si="41"/>
        <v>18074.5</v>
      </c>
      <c r="Y77" s="112"/>
      <c r="AA77" s="141"/>
      <c r="AB77" s="129"/>
      <c r="AE77" s="112"/>
      <c r="AF77" s="112"/>
      <c r="AH77" s="151"/>
      <c r="AI77" s="151"/>
    </row>
    <row r="78" spans="1:35" x14ac:dyDescent="0.2">
      <c r="A78" s="74">
        <v>2019</v>
      </c>
      <c r="B78" s="75" t="s">
        <v>77</v>
      </c>
      <c r="C78" s="83"/>
      <c r="D78" s="84">
        <v>124803907.67999999</v>
      </c>
      <c r="E78" s="84"/>
      <c r="F78" s="85"/>
      <c r="G78" s="86">
        <f t="shared" si="35"/>
        <v>53245</v>
      </c>
      <c r="H78" s="84"/>
      <c r="I78" s="86">
        <f t="shared" si="36"/>
        <v>5693.5</v>
      </c>
      <c r="J78" s="87"/>
      <c r="K78" s="88"/>
      <c r="L78" s="86">
        <f t="shared" si="37"/>
        <v>556.5</v>
      </c>
      <c r="M78" s="87"/>
      <c r="N78" s="88"/>
      <c r="O78" s="86">
        <f t="shared" si="38"/>
        <v>2</v>
      </c>
      <c r="P78" s="84"/>
      <c r="Q78" s="86">
        <f t="shared" si="39"/>
        <v>228</v>
      </c>
      <c r="R78" s="87"/>
      <c r="S78" s="89"/>
      <c r="T78" s="86">
        <f t="shared" si="40"/>
        <v>393</v>
      </c>
      <c r="U78" s="87"/>
      <c r="V78" s="88"/>
      <c r="W78" s="86">
        <f t="shared" si="41"/>
        <v>18074.5</v>
      </c>
      <c r="Y78" s="112"/>
      <c r="AA78" s="141"/>
      <c r="AB78" s="129"/>
      <c r="AE78" s="112"/>
      <c r="AF78" s="112"/>
      <c r="AH78" s="151"/>
      <c r="AI78" s="151"/>
    </row>
    <row r="79" spans="1:35" x14ac:dyDescent="0.2">
      <c r="A79" s="74">
        <v>2019</v>
      </c>
      <c r="B79" s="75" t="s">
        <v>78</v>
      </c>
      <c r="C79" s="83"/>
      <c r="D79" s="84">
        <v>118125634.766</v>
      </c>
      <c r="E79" s="84"/>
      <c r="F79" s="85"/>
      <c r="G79" s="86">
        <f t="shared" si="35"/>
        <v>53245</v>
      </c>
      <c r="H79" s="84"/>
      <c r="I79" s="86">
        <f t="shared" si="36"/>
        <v>5693.5</v>
      </c>
      <c r="J79" s="87"/>
      <c r="K79" s="88"/>
      <c r="L79" s="86">
        <f t="shared" si="37"/>
        <v>556.5</v>
      </c>
      <c r="M79" s="87"/>
      <c r="N79" s="88"/>
      <c r="O79" s="86">
        <f t="shared" si="38"/>
        <v>2</v>
      </c>
      <c r="P79" s="84"/>
      <c r="Q79" s="86">
        <f t="shared" si="39"/>
        <v>228</v>
      </c>
      <c r="R79" s="87"/>
      <c r="S79" s="89"/>
      <c r="T79" s="86">
        <f t="shared" si="40"/>
        <v>393</v>
      </c>
      <c r="U79" s="87"/>
      <c r="V79" s="88"/>
      <c r="W79" s="86">
        <f t="shared" si="41"/>
        <v>18074.5</v>
      </c>
      <c r="Y79" s="112"/>
      <c r="AA79" s="141"/>
      <c r="AB79" s="129"/>
      <c r="AE79" s="112"/>
      <c r="AF79" s="112"/>
      <c r="AH79" s="151"/>
      <c r="AI79" s="151"/>
    </row>
    <row r="80" spans="1:35" x14ac:dyDescent="0.2">
      <c r="A80" s="74">
        <v>2019</v>
      </c>
      <c r="B80" s="75" t="s">
        <v>79</v>
      </c>
      <c r="C80" s="83"/>
      <c r="D80" s="84">
        <v>103269140.34899999</v>
      </c>
      <c r="E80" s="84"/>
      <c r="F80" s="85"/>
      <c r="G80" s="86">
        <f t="shared" si="35"/>
        <v>53245</v>
      </c>
      <c r="H80" s="84"/>
      <c r="I80" s="86">
        <f t="shared" si="36"/>
        <v>5693.5</v>
      </c>
      <c r="J80" s="87"/>
      <c r="K80" s="88"/>
      <c r="L80" s="86">
        <f t="shared" si="37"/>
        <v>556.5</v>
      </c>
      <c r="M80" s="87"/>
      <c r="N80" s="88"/>
      <c r="O80" s="86">
        <f t="shared" si="38"/>
        <v>2</v>
      </c>
      <c r="P80" s="84"/>
      <c r="Q80" s="86">
        <f t="shared" si="39"/>
        <v>228</v>
      </c>
      <c r="R80" s="87"/>
      <c r="S80" s="89"/>
      <c r="T80" s="86">
        <f t="shared" si="40"/>
        <v>393</v>
      </c>
      <c r="U80" s="87"/>
      <c r="V80" s="88"/>
      <c r="W80" s="86">
        <f t="shared" si="41"/>
        <v>18074.5</v>
      </c>
      <c r="Y80" s="112"/>
      <c r="AA80" s="141"/>
      <c r="AB80" s="129"/>
      <c r="AE80" s="112"/>
      <c r="AF80" s="112"/>
      <c r="AH80" s="151"/>
      <c r="AI80" s="151"/>
    </row>
    <row r="81" spans="1:35" x14ac:dyDescent="0.2">
      <c r="A81" s="74">
        <v>2019</v>
      </c>
      <c r="B81" s="75" t="s">
        <v>80</v>
      </c>
      <c r="C81" s="83"/>
      <c r="D81" s="84">
        <v>95954535.86999999</v>
      </c>
      <c r="E81" s="84"/>
      <c r="F81" s="85"/>
      <c r="G81" s="86">
        <f t="shared" si="35"/>
        <v>53245</v>
      </c>
      <c r="H81" s="84"/>
      <c r="I81" s="86">
        <f t="shared" si="36"/>
        <v>5693.5</v>
      </c>
      <c r="J81" s="87"/>
      <c r="K81" s="88"/>
      <c r="L81" s="86">
        <f t="shared" si="37"/>
        <v>556.5</v>
      </c>
      <c r="M81" s="87"/>
      <c r="N81" s="88"/>
      <c r="O81" s="86">
        <f t="shared" si="38"/>
        <v>2</v>
      </c>
      <c r="P81" s="84"/>
      <c r="Q81" s="86">
        <f t="shared" si="39"/>
        <v>228</v>
      </c>
      <c r="R81" s="87"/>
      <c r="S81" s="89"/>
      <c r="T81" s="86">
        <f t="shared" si="40"/>
        <v>393</v>
      </c>
      <c r="U81" s="87"/>
      <c r="V81" s="88"/>
      <c r="W81" s="86">
        <f t="shared" si="41"/>
        <v>18074.5</v>
      </c>
      <c r="Y81" s="112"/>
      <c r="AA81" s="141"/>
      <c r="AB81" s="129"/>
      <c r="AE81" s="112"/>
      <c r="AF81" s="112"/>
      <c r="AH81" s="151"/>
      <c r="AI81" s="151"/>
    </row>
    <row r="82" spans="1:35" x14ac:dyDescent="0.2">
      <c r="A82" s="74">
        <v>2019</v>
      </c>
      <c r="B82" s="75" t="s">
        <v>81</v>
      </c>
      <c r="C82" s="83"/>
      <c r="D82" s="84">
        <v>99106544.030000001</v>
      </c>
      <c r="E82" s="84"/>
      <c r="F82" s="85"/>
      <c r="G82" s="86">
        <f t="shared" si="35"/>
        <v>53245</v>
      </c>
      <c r="H82" s="84"/>
      <c r="I82" s="86">
        <f t="shared" si="36"/>
        <v>5693.5</v>
      </c>
      <c r="J82" s="87"/>
      <c r="K82" s="88"/>
      <c r="L82" s="86">
        <f t="shared" si="37"/>
        <v>556.5</v>
      </c>
      <c r="M82" s="87"/>
      <c r="N82" s="88"/>
      <c r="O82" s="86">
        <f t="shared" si="38"/>
        <v>2</v>
      </c>
      <c r="P82" s="84"/>
      <c r="Q82" s="86">
        <f t="shared" si="39"/>
        <v>228</v>
      </c>
      <c r="R82" s="87"/>
      <c r="S82" s="89"/>
      <c r="T82" s="86">
        <f t="shared" si="40"/>
        <v>393</v>
      </c>
      <c r="U82" s="87"/>
      <c r="V82" s="88"/>
      <c r="W82" s="86">
        <f t="shared" si="41"/>
        <v>18074.5</v>
      </c>
      <c r="Y82" s="112"/>
      <c r="AA82" s="141"/>
      <c r="AB82" s="129"/>
      <c r="AE82" s="112"/>
      <c r="AF82" s="112"/>
      <c r="AH82" s="151"/>
      <c r="AI82" s="151"/>
    </row>
    <row r="83" spans="1:35" x14ac:dyDescent="0.2">
      <c r="A83" s="74">
        <v>2019</v>
      </c>
      <c r="B83" s="75" t="s">
        <v>82</v>
      </c>
      <c r="C83" s="83"/>
      <c r="D83" s="84">
        <v>99618091.980000004</v>
      </c>
      <c r="E83" s="84"/>
      <c r="F83" s="85">
        <v>411936659</v>
      </c>
      <c r="G83" s="86">
        <f t="shared" si="35"/>
        <v>53245</v>
      </c>
      <c r="H83" s="84">
        <v>153655138</v>
      </c>
      <c r="I83" s="86">
        <f t="shared" si="36"/>
        <v>5693.5</v>
      </c>
      <c r="J83" s="87">
        <v>517080386.50000006</v>
      </c>
      <c r="K83" s="88">
        <v>1406359.4300000002</v>
      </c>
      <c r="L83" s="86">
        <f t="shared" si="37"/>
        <v>556.5</v>
      </c>
      <c r="M83" s="87">
        <v>83222289.280000001</v>
      </c>
      <c r="N83" s="88">
        <v>192285.66</v>
      </c>
      <c r="O83" s="86">
        <f t="shared" si="38"/>
        <v>2</v>
      </c>
      <c r="P83" s="84">
        <v>1276935</v>
      </c>
      <c r="Q83" s="86">
        <f t="shared" si="39"/>
        <v>228</v>
      </c>
      <c r="R83" s="87">
        <v>423572</v>
      </c>
      <c r="S83" s="89">
        <v>1060</v>
      </c>
      <c r="T83" s="86">
        <f t="shared" si="40"/>
        <v>393</v>
      </c>
      <c r="U83" s="87">
        <v>5300509</v>
      </c>
      <c r="V83" s="88">
        <v>15393</v>
      </c>
      <c r="W83" s="86">
        <f t="shared" si="41"/>
        <v>18074.5</v>
      </c>
      <c r="X83" s="112"/>
      <c r="Y83" s="112"/>
      <c r="AA83" s="141"/>
      <c r="AB83" s="129"/>
      <c r="AE83" s="112"/>
      <c r="AF83" s="112"/>
      <c r="AH83" s="151"/>
      <c r="AI83" s="152"/>
    </row>
    <row r="84" spans="1:35" x14ac:dyDescent="0.2">
      <c r="A84" s="74">
        <v>2020</v>
      </c>
      <c r="B84" s="75" t="s">
        <v>72</v>
      </c>
      <c r="C84" s="83"/>
      <c r="D84" s="77">
        <v>101627798.58</v>
      </c>
      <c r="E84" s="77"/>
      <c r="F84" s="78"/>
      <c r="G84" s="79">
        <v>53932.5</v>
      </c>
      <c r="H84" s="77"/>
      <c r="I84" s="79">
        <v>5703.5</v>
      </c>
      <c r="J84" s="80"/>
      <c r="K84" s="81"/>
      <c r="L84" s="79">
        <v>559.5</v>
      </c>
      <c r="M84" s="80"/>
      <c r="N84" s="81"/>
      <c r="O84" s="79">
        <v>2</v>
      </c>
      <c r="P84" s="77"/>
      <c r="Q84" s="79">
        <v>226</v>
      </c>
      <c r="R84" s="80"/>
      <c r="S84" s="82"/>
      <c r="T84" s="79">
        <v>376</v>
      </c>
      <c r="U84" s="80"/>
      <c r="V84" s="81"/>
      <c r="W84" s="79">
        <v>18138</v>
      </c>
      <c r="Y84" s="112"/>
      <c r="AA84" s="141"/>
      <c r="AB84" s="129"/>
      <c r="AE84" s="112"/>
      <c r="AF84" s="112"/>
      <c r="AH84" s="151"/>
      <c r="AI84" s="151"/>
    </row>
    <row r="85" spans="1:35" x14ac:dyDescent="0.2">
      <c r="A85" s="74">
        <v>2020</v>
      </c>
      <c r="B85" s="75" t="s">
        <v>73</v>
      </c>
      <c r="C85" s="83"/>
      <c r="D85" s="84">
        <v>96316557.670000002</v>
      </c>
      <c r="E85" s="84"/>
      <c r="F85" s="85"/>
      <c r="G85" s="86">
        <f t="shared" ref="G85:G95" si="42">G84</f>
        <v>53932.5</v>
      </c>
      <c r="H85" s="84"/>
      <c r="I85" s="86">
        <f t="shared" ref="I85:I95" si="43">I84</f>
        <v>5703.5</v>
      </c>
      <c r="J85" s="87"/>
      <c r="K85" s="88"/>
      <c r="L85" s="86">
        <f t="shared" ref="L85:L95" si="44">L84</f>
        <v>559.5</v>
      </c>
      <c r="M85" s="87"/>
      <c r="N85" s="88"/>
      <c r="O85" s="86">
        <f t="shared" ref="O85:O95" si="45">O84</f>
        <v>2</v>
      </c>
      <c r="P85" s="84"/>
      <c r="Q85" s="86">
        <f t="shared" ref="Q85:Q95" si="46">Q84</f>
        <v>226</v>
      </c>
      <c r="R85" s="87"/>
      <c r="S85" s="89"/>
      <c r="T85" s="86">
        <f t="shared" ref="T85:T95" si="47">T84</f>
        <v>376</v>
      </c>
      <c r="U85" s="87"/>
      <c r="V85" s="88"/>
      <c r="W85" s="86">
        <f t="shared" ref="W85:W95" si="48">W84</f>
        <v>18138</v>
      </c>
      <c r="Y85" s="112"/>
      <c r="AA85" s="141"/>
      <c r="AB85" s="129"/>
      <c r="AE85" s="112"/>
      <c r="AF85" s="112"/>
      <c r="AH85" s="151"/>
      <c r="AI85" s="151"/>
    </row>
    <row r="86" spans="1:35" x14ac:dyDescent="0.2">
      <c r="A86" s="74">
        <v>2020</v>
      </c>
      <c r="B86" s="75" t="s">
        <v>74</v>
      </c>
      <c r="C86" s="83"/>
      <c r="D86" s="84">
        <v>93201085.260000005</v>
      </c>
      <c r="E86" s="84"/>
      <c r="F86" s="85"/>
      <c r="G86" s="86">
        <f t="shared" si="42"/>
        <v>53932.5</v>
      </c>
      <c r="H86" s="84"/>
      <c r="I86" s="86">
        <f t="shared" si="43"/>
        <v>5703.5</v>
      </c>
      <c r="J86" s="87"/>
      <c r="K86" s="88"/>
      <c r="L86" s="86">
        <f t="shared" si="44"/>
        <v>559.5</v>
      </c>
      <c r="M86" s="87"/>
      <c r="N86" s="88"/>
      <c r="O86" s="86">
        <f t="shared" si="45"/>
        <v>2</v>
      </c>
      <c r="P86" s="84"/>
      <c r="Q86" s="86">
        <f t="shared" si="46"/>
        <v>226</v>
      </c>
      <c r="R86" s="87"/>
      <c r="S86" s="89"/>
      <c r="T86" s="86">
        <f t="shared" si="47"/>
        <v>376</v>
      </c>
      <c r="U86" s="87"/>
      <c r="V86" s="88"/>
      <c r="W86" s="86">
        <f t="shared" si="48"/>
        <v>18138</v>
      </c>
      <c r="Y86" s="112"/>
      <c r="AA86" s="141"/>
      <c r="AB86" s="129"/>
      <c r="AE86" s="112"/>
      <c r="AF86" s="112"/>
      <c r="AH86" s="151"/>
      <c r="AI86" s="151"/>
    </row>
    <row r="87" spans="1:35" x14ac:dyDescent="0.2">
      <c r="A87" s="74">
        <v>2020</v>
      </c>
      <c r="B87" s="75" t="s">
        <v>75</v>
      </c>
      <c r="C87" s="83"/>
      <c r="D87" s="84">
        <v>75481979.349999994</v>
      </c>
      <c r="E87" s="84"/>
      <c r="F87" s="85"/>
      <c r="G87" s="86">
        <f t="shared" si="42"/>
        <v>53932.5</v>
      </c>
      <c r="H87" s="84"/>
      <c r="I87" s="86">
        <f t="shared" si="43"/>
        <v>5703.5</v>
      </c>
      <c r="J87" s="87"/>
      <c r="K87" s="88"/>
      <c r="L87" s="86">
        <f t="shared" si="44"/>
        <v>559.5</v>
      </c>
      <c r="M87" s="87"/>
      <c r="N87" s="88"/>
      <c r="O87" s="86">
        <f t="shared" si="45"/>
        <v>2</v>
      </c>
      <c r="P87" s="84"/>
      <c r="Q87" s="86">
        <f t="shared" si="46"/>
        <v>226</v>
      </c>
      <c r="R87" s="87"/>
      <c r="S87" s="89"/>
      <c r="T87" s="86">
        <f t="shared" si="47"/>
        <v>376</v>
      </c>
      <c r="U87" s="87"/>
      <c r="V87" s="88"/>
      <c r="W87" s="86">
        <f t="shared" si="48"/>
        <v>18138</v>
      </c>
      <c r="Y87" s="112"/>
      <c r="AA87" s="141"/>
      <c r="AB87" s="129"/>
      <c r="AE87" s="112"/>
      <c r="AF87" s="112"/>
      <c r="AH87" s="151"/>
      <c r="AI87" s="151"/>
    </row>
    <row r="88" spans="1:35" x14ac:dyDescent="0.2">
      <c r="A88" s="74">
        <v>2020</v>
      </c>
      <c r="B88" s="75" t="s">
        <v>43</v>
      </c>
      <c r="C88" s="83"/>
      <c r="D88" s="84">
        <v>82850237.760000005</v>
      </c>
      <c r="E88" s="84"/>
      <c r="F88" s="85"/>
      <c r="G88" s="86">
        <f t="shared" si="42"/>
        <v>53932.5</v>
      </c>
      <c r="H88" s="84"/>
      <c r="I88" s="86">
        <f t="shared" si="43"/>
        <v>5703.5</v>
      </c>
      <c r="J88" s="87"/>
      <c r="K88" s="88"/>
      <c r="L88" s="86">
        <f t="shared" si="44"/>
        <v>559.5</v>
      </c>
      <c r="M88" s="87"/>
      <c r="N88" s="88"/>
      <c r="O88" s="86">
        <f t="shared" si="45"/>
        <v>2</v>
      </c>
      <c r="P88" s="84"/>
      <c r="Q88" s="86">
        <f t="shared" si="46"/>
        <v>226</v>
      </c>
      <c r="R88" s="87"/>
      <c r="S88" s="89"/>
      <c r="T88" s="86">
        <f t="shared" si="47"/>
        <v>376</v>
      </c>
      <c r="U88" s="87"/>
      <c r="V88" s="88"/>
      <c r="W88" s="86">
        <f t="shared" si="48"/>
        <v>18138</v>
      </c>
      <c r="Y88" s="112"/>
      <c r="AA88" s="141"/>
      <c r="AB88" s="129"/>
      <c r="AE88" s="112"/>
      <c r="AF88" s="112"/>
      <c r="AH88" s="151"/>
      <c r="AI88" s="151"/>
    </row>
    <row r="89" spans="1:35" x14ac:dyDescent="0.2">
      <c r="A89" s="74">
        <v>2020</v>
      </c>
      <c r="B89" s="75" t="s">
        <v>76</v>
      </c>
      <c r="C89" s="83"/>
      <c r="D89" s="84">
        <v>107229138.54000001</v>
      </c>
      <c r="E89" s="84"/>
      <c r="F89" s="85"/>
      <c r="G89" s="86">
        <f t="shared" si="42"/>
        <v>53932.5</v>
      </c>
      <c r="H89" s="84"/>
      <c r="I89" s="86">
        <f t="shared" si="43"/>
        <v>5703.5</v>
      </c>
      <c r="J89" s="87"/>
      <c r="K89" s="88"/>
      <c r="L89" s="86">
        <f t="shared" si="44"/>
        <v>559.5</v>
      </c>
      <c r="M89" s="87"/>
      <c r="N89" s="88"/>
      <c r="O89" s="86">
        <f t="shared" si="45"/>
        <v>2</v>
      </c>
      <c r="P89" s="84"/>
      <c r="Q89" s="86">
        <f t="shared" si="46"/>
        <v>226</v>
      </c>
      <c r="R89" s="87"/>
      <c r="S89" s="89"/>
      <c r="T89" s="86">
        <f t="shared" si="47"/>
        <v>376</v>
      </c>
      <c r="U89" s="87"/>
      <c r="V89" s="88"/>
      <c r="W89" s="86">
        <f t="shared" si="48"/>
        <v>18138</v>
      </c>
      <c r="Y89" s="112"/>
      <c r="AA89" s="141"/>
      <c r="AB89" s="129"/>
      <c r="AE89" s="112"/>
      <c r="AF89" s="112"/>
      <c r="AH89" s="151"/>
      <c r="AI89" s="151"/>
    </row>
    <row r="90" spans="1:35" x14ac:dyDescent="0.2">
      <c r="A90" s="74">
        <v>2020</v>
      </c>
      <c r="B90" s="75" t="s">
        <v>77</v>
      </c>
      <c r="C90" s="83"/>
      <c r="D90" s="84">
        <v>132467120.21000001</v>
      </c>
      <c r="E90" s="84"/>
      <c r="F90" s="85"/>
      <c r="G90" s="86">
        <f t="shared" si="42"/>
        <v>53932.5</v>
      </c>
      <c r="H90" s="84"/>
      <c r="I90" s="86">
        <f t="shared" si="43"/>
        <v>5703.5</v>
      </c>
      <c r="J90" s="87"/>
      <c r="K90" s="88"/>
      <c r="L90" s="86">
        <f t="shared" si="44"/>
        <v>559.5</v>
      </c>
      <c r="M90" s="87"/>
      <c r="N90" s="88"/>
      <c r="O90" s="86">
        <f t="shared" si="45"/>
        <v>2</v>
      </c>
      <c r="P90" s="84"/>
      <c r="Q90" s="86">
        <f t="shared" si="46"/>
        <v>226</v>
      </c>
      <c r="R90" s="87"/>
      <c r="S90" s="89"/>
      <c r="T90" s="86">
        <f t="shared" si="47"/>
        <v>376</v>
      </c>
      <c r="U90" s="87"/>
      <c r="V90" s="88"/>
      <c r="W90" s="86">
        <f t="shared" si="48"/>
        <v>18138</v>
      </c>
      <c r="Y90" s="112"/>
      <c r="AA90" s="141"/>
      <c r="AB90" s="129"/>
      <c r="AE90" s="112"/>
      <c r="AF90" s="112"/>
      <c r="AH90" s="151"/>
      <c r="AI90" s="151"/>
    </row>
    <row r="91" spans="1:35" x14ac:dyDescent="0.2">
      <c r="A91" s="74">
        <v>2020</v>
      </c>
      <c r="B91" s="75" t="s">
        <v>78</v>
      </c>
      <c r="C91" s="83"/>
      <c r="D91" s="84">
        <v>122122854.4431349</v>
      </c>
      <c r="E91" s="84"/>
      <c r="F91" s="85"/>
      <c r="G91" s="86">
        <f t="shared" si="42"/>
        <v>53932.5</v>
      </c>
      <c r="H91" s="84"/>
      <c r="I91" s="86">
        <f t="shared" si="43"/>
        <v>5703.5</v>
      </c>
      <c r="J91" s="87"/>
      <c r="K91" s="88"/>
      <c r="L91" s="86">
        <f t="shared" si="44"/>
        <v>559.5</v>
      </c>
      <c r="M91" s="87"/>
      <c r="N91" s="88"/>
      <c r="O91" s="86">
        <f t="shared" si="45"/>
        <v>2</v>
      </c>
      <c r="P91" s="84"/>
      <c r="Q91" s="86">
        <f t="shared" si="46"/>
        <v>226</v>
      </c>
      <c r="R91" s="87"/>
      <c r="S91" s="89"/>
      <c r="T91" s="86">
        <f t="shared" si="47"/>
        <v>376</v>
      </c>
      <c r="U91" s="87"/>
      <c r="V91" s="88"/>
      <c r="W91" s="86">
        <f t="shared" si="48"/>
        <v>18138</v>
      </c>
      <c r="Y91" s="112"/>
      <c r="AA91" s="141"/>
      <c r="AB91" s="129"/>
      <c r="AE91" s="112"/>
      <c r="AF91" s="112"/>
      <c r="AH91" s="151"/>
      <c r="AI91" s="151"/>
    </row>
    <row r="92" spans="1:35" x14ac:dyDescent="0.2">
      <c r="A92" s="74">
        <v>2020</v>
      </c>
      <c r="B92" s="75" t="s">
        <v>79</v>
      </c>
      <c r="C92" s="83"/>
      <c r="D92" s="84">
        <v>100618417.11999999</v>
      </c>
      <c r="E92" s="84"/>
      <c r="F92" s="85"/>
      <c r="G92" s="86">
        <f t="shared" si="42"/>
        <v>53932.5</v>
      </c>
      <c r="H92" s="84"/>
      <c r="I92" s="86">
        <f t="shared" si="43"/>
        <v>5703.5</v>
      </c>
      <c r="J92" s="87"/>
      <c r="K92" s="88"/>
      <c r="L92" s="86">
        <f t="shared" si="44"/>
        <v>559.5</v>
      </c>
      <c r="M92" s="87"/>
      <c r="N92" s="88"/>
      <c r="O92" s="86">
        <f t="shared" si="45"/>
        <v>2</v>
      </c>
      <c r="P92" s="84"/>
      <c r="Q92" s="86">
        <f t="shared" si="46"/>
        <v>226</v>
      </c>
      <c r="R92" s="87"/>
      <c r="S92" s="89"/>
      <c r="T92" s="86">
        <f t="shared" si="47"/>
        <v>376</v>
      </c>
      <c r="U92" s="87"/>
      <c r="V92" s="88"/>
      <c r="W92" s="86">
        <f t="shared" si="48"/>
        <v>18138</v>
      </c>
      <c r="Y92" s="112"/>
      <c r="AA92" s="141"/>
      <c r="AB92" s="129"/>
      <c r="AE92" s="112"/>
      <c r="AF92" s="112"/>
      <c r="AH92" s="151"/>
      <c r="AI92" s="151"/>
    </row>
    <row r="93" spans="1:35" x14ac:dyDescent="0.2">
      <c r="A93" s="74">
        <v>2020</v>
      </c>
      <c r="B93" s="75" t="s">
        <v>80</v>
      </c>
      <c r="C93" s="83"/>
      <c r="D93" s="84">
        <v>96511344.889999986</v>
      </c>
      <c r="E93" s="84"/>
      <c r="F93" s="85"/>
      <c r="G93" s="86">
        <f t="shared" si="42"/>
        <v>53932.5</v>
      </c>
      <c r="H93" s="84"/>
      <c r="I93" s="86">
        <f t="shared" si="43"/>
        <v>5703.5</v>
      </c>
      <c r="J93" s="87"/>
      <c r="K93" s="88"/>
      <c r="L93" s="86">
        <f t="shared" si="44"/>
        <v>559.5</v>
      </c>
      <c r="M93" s="87"/>
      <c r="N93" s="88"/>
      <c r="O93" s="86">
        <f t="shared" si="45"/>
        <v>2</v>
      </c>
      <c r="P93" s="84"/>
      <c r="Q93" s="86">
        <f t="shared" si="46"/>
        <v>226</v>
      </c>
      <c r="R93" s="87"/>
      <c r="S93" s="89"/>
      <c r="T93" s="86">
        <f t="shared" si="47"/>
        <v>376</v>
      </c>
      <c r="U93" s="87"/>
      <c r="V93" s="88"/>
      <c r="W93" s="86">
        <f t="shared" si="48"/>
        <v>18138</v>
      </c>
      <c r="Y93" s="112"/>
      <c r="AA93" s="141"/>
      <c r="AB93" s="129"/>
      <c r="AE93" s="112"/>
      <c r="AF93" s="112"/>
      <c r="AH93" s="151"/>
      <c r="AI93" s="151"/>
    </row>
    <row r="94" spans="1:35" x14ac:dyDescent="0.2">
      <c r="A94" s="74">
        <v>2020</v>
      </c>
      <c r="B94" s="75" t="s">
        <v>81</v>
      </c>
      <c r="C94" s="83"/>
      <c r="D94" s="84">
        <v>97157709.070000008</v>
      </c>
      <c r="E94" s="84"/>
      <c r="F94" s="85"/>
      <c r="G94" s="86">
        <f t="shared" si="42"/>
        <v>53932.5</v>
      </c>
      <c r="H94" s="84"/>
      <c r="I94" s="86">
        <f t="shared" si="43"/>
        <v>5703.5</v>
      </c>
      <c r="J94" s="87"/>
      <c r="K94" s="88"/>
      <c r="L94" s="86">
        <f t="shared" si="44"/>
        <v>559.5</v>
      </c>
      <c r="M94" s="87"/>
      <c r="N94" s="88"/>
      <c r="O94" s="86">
        <f t="shared" si="45"/>
        <v>2</v>
      </c>
      <c r="P94" s="84"/>
      <c r="Q94" s="86">
        <f t="shared" si="46"/>
        <v>226</v>
      </c>
      <c r="R94" s="87"/>
      <c r="S94" s="89"/>
      <c r="T94" s="86">
        <f t="shared" si="47"/>
        <v>376</v>
      </c>
      <c r="U94" s="87"/>
      <c r="V94" s="88"/>
      <c r="W94" s="86">
        <f t="shared" si="48"/>
        <v>18138</v>
      </c>
      <c r="Y94" s="112"/>
      <c r="AA94" s="141"/>
      <c r="AB94" s="129"/>
      <c r="AE94" s="112"/>
      <c r="AF94" s="112"/>
      <c r="AH94" s="151"/>
      <c r="AI94" s="151"/>
    </row>
    <row r="95" spans="1:35" x14ac:dyDescent="0.2">
      <c r="A95" s="74">
        <v>2020</v>
      </c>
      <c r="B95" s="75" t="s">
        <v>82</v>
      </c>
      <c r="C95" s="83"/>
      <c r="D95" s="84">
        <v>102432434.14000002</v>
      </c>
      <c r="E95" s="84"/>
      <c r="F95" s="85">
        <v>439168361</v>
      </c>
      <c r="G95" s="86">
        <f t="shared" si="42"/>
        <v>53932.5</v>
      </c>
      <c r="H95" s="84">
        <v>143543988</v>
      </c>
      <c r="I95" s="86">
        <f t="shared" si="43"/>
        <v>5703.5</v>
      </c>
      <c r="J95" s="87">
        <v>492213122.17000002</v>
      </c>
      <c r="K95" s="88">
        <v>1388268.83</v>
      </c>
      <c r="L95" s="86">
        <f t="shared" si="44"/>
        <v>559.5</v>
      </c>
      <c r="M95" s="87">
        <v>77427944.38000001</v>
      </c>
      <c r="N95" s="88">
        <v>180185.72000000003</v>
      </c>
      <c r="O95" s="86">
        <f t="shared" si="45"/>
        <v>2</v>
      </c>
      <c r="P95" s="84">
        <v>1272419</v>
      </c>
      <c r="Q95" s="86">
        <f t="shared" si="46"/>
        <v>226</v>
      </c>
      <c r="R95" s="87">
        <v>461598</v>
      </c>
      <c r="S95" s="89">
        <v>1023</v>
      </c>
      <c r="T95" s="86">
        <f t="shared" si="47"/>
        <v>376</v>
      </c>
      <c r="U95" s="87">
        <v>5337821</v>
      </c>
      <c r="V95" s="88">
        <v>15438</v>
      </c>
      <c r="W95" s="86">
        <f t="shared" si="48"/>
        <v>18138</v>
      </c>
      <c r="X95" s="112"/>
      <c r="Y95" s="112"/>
      <c r="AA95" s="141"/>
      <c r="AB95" s="129"/>
      <c r="AE95" s="112"/>
      <c r="AF95" s="112"/>
      <c r="AH95" s="151"/>
      <c r="AI95" s="152"/>
    </row>
    <row r="96" spans="1:35" x14ac:dyDescent="0.2">
      <c r="A96" s="74">
        <v>2021</v>
      </c>
      <c r="B96" s="75" t="s">
        <v>72</v>
      </c>
      <c r="C96" s="83"/>
      <c r="D96" s="77">
        <v>104046184.96943997</v>
      </c>
      <c r="E96" s="77"/>
      <c r="F96" s="78"/>
      <c r="G96" s="79">
        <v>54770.5</v>
      </c>
      <c r="H96" s="77"/>
      <c r="I96" s="79">
        <v>5732</v>
      </c>
      <c r="J96" s="80"/>
      <c r="K96" s="81"/>
      <c r="L96" s="79">
        <v>541.5</v>
      </c>
      <c r="M96" s="80"/>
      <c r="N96" s="81"/>
      <c r="O96" s="79">
        <v>2</v>
      </c>
      <c r="P96" s="77"/>
      <c r="Q96" s="79">
        <v>224</v>
      </c>
      <c r="R96" s="80"/>
      <c r="S96" s="82"/>
      <c r="T96" s="79">
        <v>341.5</v>
      </c>
      <c r="U96" s="80"/>
      <c r="V96" s="81"/>
      <c r="W96" s="79">
        <v>18334.5</v>
      </c>
      <c r="Y96" s="112"/>
      <c r="AA96" s="141"/>
      <c r="AB96" s="129"/>
      <c r="AE96" s="112"/>
      <c r="AF96" s="112"/>
      <c r="AH96" s="151"/>
      <c r="AI96" s="151"/>
    </row>
    <row r="97" spans="1:35" x14ac:dyDescent="0.2">
      <c r="A97" s="74">
        <v>2021</v>
      </c>
      <c r="B97" s="75" t="s">
        <v>73</v>
      </c>
      <c r="C97" s="83"/>
      <c r="D97" s="84">
        <v>97687812.67583999</v>
      </c>
      <c r="E97" s="84"/>
      <c r="F97" s="85"/>
      <c r="G97" s="86">
        <f t="shared" ref="G97:G107" si="49">G96</f>
        <v>54770.5</v>
      </c>
      <c r="H97" s="84"/>
      <c r="I97" s="86">
        <f t="shared" ref="I97:I107" si="50">I96</f>
        <v>5732</v>
      </c>
      <c r="J97" s="87"/>
      <c r="K97" s="88"/>
      <c r="L97" s="86">
        <f t="shared" ref="L97:L107" si="51">L96</f>
        <v>541.5</v>
      </c>
      <c r="M97" s="87"/>
      <c r="N97" s="88"/>
      <c r="O97" s="86">
        <f t="shared" ref="O97:O107" si="52">O96</f>
        <v>2</v>
      </c>
      <c r="P97" s="84"/>
      <c r="Q97" s="86">
        <f t="shared" ref="Q97:Q107" si="53">Q96</f>
        <v>224</v>
      </c>
      <c r="R97" s="87"/>
      <c r="S97" s="89"/>
      <c r="T97" s="86">
        <f t="shared" ref="T97:T107" si="54">T96</f>
        <v>341.5</v>
      </c>
      <c r="U97" s="87"/>
      <c r="V97" s="88"/>
      <c r="W97" s="86">
        <f t="shared" ref="W97:W107" si="55">W96</f>
        <v>18334.5</v>
      </c>
      <c r="Y97" s="112"/>
      <c r="AA97" s="141"/>
      <c r="AB97" s="129"/>
      <c r="AE97" s="112"/>
      <c r="AF97" s="112"/>
      <c r="AH97" s="151"/>
      <c r="AI97" s="151"/>
    </row>
    <row r="98" spans="1:35" x14ac:dyDescent="0.2">
      <c r="A98" s="74">
        <v>2021</v>
      </c>
      <c r="B98" s="75" t="s">
        <v>74</v>
      </c>
      <c r="C98" s="83"/>
      <c r="D98" s="84">
        <v>98587575.805620015</v>
      </c>
      <c r="E98" s="84"/>
      <c r="F98" s="85"/>
      <c r="G98" s="86">
        <f t="shared" si="49"/>
        <v>54770.5</v>
      </c>
      <c r="H98" s="84"/>
      <c r="I98" s="86">
        <f t="shared" si="50"/>
        <v>5732</v>
      </c>
      <c r="J98" s="87"/>
      <c r="K98" s="88"/>
      <c r="L98" s="86">
        <f t="shared" si="51"/>
        <v>541.5</v>
      </c>
      <c r="M98" s="87"/>
      <c r="N98" s="88"/>
      <c r="O98" s="86">
        <f t="shared" si="52"/>
        <v>2</v>
      </c>
      <c r="P98" s="84"/>
      <c r="Q98" s="86">
        <f t="shared" si="53"/>
        <v>224</v>
      </c>
      <c r="R98" s="87"/>
      <c r="S98" s="89"/>
      <c r="T98" s="86">
        <f t="shared" si="54"/>
        <v>341.5</v>
      </c>
      <c r="U98" s="87"/>
      <c r="V98" s="88"/>
      <c r="W98" s="86">
        <f t="shared" si="55"/>
        <v>18334.5</v>
      </c>
      <c r="Y98" s="112"/>
      <c r="AA98" s="141"/>
      <c r="AB98" s="129"/>
      <c r="AE98" s="112"/>
      <c r="AF98" s="112"/>
      <c r="AH98" s="151"/>
      <c r="AI98" s="151"/>
    </row>
    <row r="99" spans="1:35" x14ac:dyDescent="0.2">
      <c r="A99" s="74">
        <v>2021</v>
      </c>
      <c r="B99" s="75" t="s">
        <v>75</v>
      </c>
      <c r="C99" s="83"/>
      <c r="D99" s="84">
        <v>88565909.468879998</v>
      </c>
      <c r="E99" s="84"/>
      <c r="F99" s="85"/>
      <c r="G99" s="86">
        <f t="shared" si="49"/>
        <v>54770.5</v>
      </c>
      <c r="H99" s="84"/>
      <c r="I99" s="86">
        <f t="shared" si="50"/>
        <v>5732</v>
      </c>
      <c r="J99" s="87"/>
      <c r="K99" s="88"/>
      <c r="L99" s="86">
        <f t="shared" si="51"/>
        <v>541.5</v>
      </c>
      <c r="M99" s="87"/>
      <c r="N99" s="88"/>
      <c r="O99" s="86">
        <f t="shared" si="52"/>
        <v>2</v>
      </c>
      <c r="P99" s="84"/>
      <c r="Q99" s="86">
        <f t="shared" si="53"/>
        <v>224</v>
      </c>
      <c r="R99" s="87"/>
      <c r="S99" s="89"/>
      <c r="T99" s="86">
        <f t="shared" si="54"/>
        <v>341.5</v>
      </c>
      <c r="U99" s="87"/>
      <c r="V99" s="88"/>
      <c r="W99" s="86">
        <f t="shared" si="55"/>
        <v>18334.5</v>
      </c>
      <c r="Y99" s="112"/>
      <c r="AA99" s="141"/>
      <c r="AB99" s="129"/>
      <c r="AE99" s="112"/>
      <c r="AF99" s="112"/>
      <c r="AH99" s="151"/>
      <c r="AI99" s="151"/>
    </row>
    <row r="100" spans="1:35" x14ac:dyDescent="0.2">
      <c r="A100" s="74">
        <v>2021</v>
      </c>
      <c r="B100" s="75" t="s">
        <v>43</v>
      </c>
      <c r="C100" s="83"/>
      <c r="D100" s="84">
        <v>93367567.454999998</v>
      </c>
      <c r="E100" s="84"/>
      <c r="F100" s="85"/>
      <c r="G100" s="86">
        <f t="shared" si="49"/>
        <v>54770.5</v>
      </c>
      <c r="H100" s="84"/>
      <c r="I100" s="86">
        <f t="shared" si="50"/>
        <v>5732</v>
      </c>
      <c r="J100" s="87"/>
      <c r="K100" s="88"/>
      <c r="L100" s="86">
        <f t="shared" si="51"/>
        <v>541.5</v>
      </c>
      <c r="M100" s="87"/>
      <c r="N100" s="88"/>
      <c r="O100" s="86">
        <f t="shared" si="52"/>
        <v>2</v>
      </c>
      <c r="P100" s="84"/>
      <c r="Q100" s="86">
        <f t="shared" si="53"/>
        <v>224</v>
      </c>
      <c r="R100" s="87"/>
      <c r="S100" s="89"/>
      <c r="T100" s="86">
        <f t="shared" si="54"/>
        <v>341.5</v>
      </c>
      <c r="U100" s="87"/>
      <c r="V100" s="88"/>
      <c r="W100" s="86">
        <f t="shared" si="55"/>
        <v>18334.5</v>
      </c>
      <c r="Y100" s="112"/>
      <c r="AA100" s="141"/>
      <c r="AB100" s="129"/>
      <c r="AE100" s="112"/>
      <c r="AF100" s="112"/>
      <c r="AH100" s="151"/>
      <c r="AI100" s="151"/>
    </row>
    <row r="101" spans="1:35" x14ac:dyDescent="0.2">
      <c r="A101" s="74">
        <v>2021</v>
      </c>
      <c r="B101" s="75" t="s">
        <v>76</v>
      </c>
      <c r="C101" s="83"/>
      <c r="D101" s="84">
        <v>113508662.69369999</v>
      </c>
      <c r="E101" s="84"/>
      <c r="F101" s="85"/>
      <c r="G101" s="86">
        <f t="shared" si="49"/>
        <v>54770.5</v>
      </c>
      <c r="H101" s="84"/>
      <c r="I101" s="86">
        <f t="shared" si="50"/>
        <v>5732</v>
      </c>
      <c r="J101" s="87"/>
      <c r="K101" s="88"/>
      <c r="L101" s="86">
        <f t="shared" si="51"/>
        <v>541.5</v>
      </c>
      <c r="M101" s="87"/>
      <c r="N101" s="88"/>
      <c r="O101" s="86">
        <f t="shared" si="52"/>
        <v>2</v>
      </c>
      <c r="P101" s="84"/>
      <c r="Q101" s="86">
        <f t="shared" si="53"/>
        <v>224</v>
      </c>
      <c r="R101" s="87"/>
      <c r="S101" s="89"/>
      <c r="T101" s="86">
        <f t="shared" si="54"/>
        <v>341.5</v>
      </c>
      <c r="U101" s="87"/>
      <c r="V101" s="88"/>
      <c r="W101" s="86">
        <f t="shared" si="55"/>
        <v>18334.5</v>
      </c>
      <c r="Y101" s="112"/>
      <c r="AA101" s="141"/>
      <c r="AB101" s="129"/>
      <c r="AE101" s="112"/>
      <c r="AF101" s="112"/>
      <c r="AH101" s="151"/>
      <c r="AI101" s="151"/>
    </row>
    <row r="102" spans="1:35" x14ac:dyDescent="0.2">
      <c r="A102" s="74">
        <v>2021</v>
      </c>
      <c r="B102" s="75" t="s">
        <v>77</v>
      </c>
      <c r="C102" s="83"/>
      <c r="D102" s="84">
        <v>117927718.07169999</v>
      </c>
      <c r="E102" s="84"/>
      <c r="F102" s="85"/>
      <c r="G102" s="86">
        <f t="shared" si="49"/>
        <v>54770.5</v>
      </c>
      <c r="H102" s="84"/>
      <c r="I102" s="86">
        <f t="shared" si="50"/>
        <v>5732</v>
      </c>
      <c r="J102" s="87"/>
      <c r="K102" s="88"/>
      <c r="L102" s="86">
        <f t="shared" si="51"/>
        <v>541.5</v>
      </c>
      <c r="M102" s="87"/>
      <c r="N102" s="88"/>
      <c r="O102" s="86">
        <f t="shared" si="52"/>
        <v>2</v>
      </c>
      <c r="P102" s="84"/>
      <c r="Q102" s="86">
        <f t="shared" si="53"/>
        <v>224</v>
      </c>
      <c r="R102" s="87"/>
      <c r="S102" s="89"/>
      <c r="T102" s="86">
        <f t="shared" si="54"/>
        <v>341.5</v>
      </c>
      <c r="U102" s="87"/>
      <c r="V102" s="88"/>
      <c r="W102" s="86">
        <f t="shared" si="55"/>
        <v>18334.5</v>
      </c>
      <c r="Y102" s="112"/>
      <c r="AA102" s="141"/>
      <c r="AB102" s="129"/>
      <c r="AE102" s="112"/>
      <c r="AF102" s="112"/>
      <c r="AH102" s="151"/>
      <c r="AI102" s="151"/>
    </row>
    <row r="103" spans="1:35" x14ac:dyDescent="0.2">
      <c r="A103" s="74">
        <v>2021</v>
      </c>
      <c r="B103" s="75" t="s">
        <v>78</v>
      </c>
      <c r="C103" s="83"/>
      <c r="D103" s="84">
        <v>130508463.65386</v>
      </c>
      <c r="E103" s="84"/>
      <c r="F103" s="85"/>
      <c r="G103" s="86">
        <f t="shared" si="49"/>
        <v>54770.5</v>
      </c>
      <c r="H103" s="84"/>
      <c r="I103" s="86">
        <f t="shared" si="50"/>
        <v>5732</v>
      </c>
      <c r="J103" s="87"/>
      <c r="K103" s="88"/>
      <c r="L103" s="86">
        <f t="shared" si="51"/>
        <v>541.5</v>
      </c>
      <c r="M103" s="87"/>
      <c r="N103" s="88"/>
      <c r="O103" s="86">
        <f t="shared" si="52"/>
        <v>2</v>
      </c>
      <c r="P103" s="84"/>
      <c r="Q103" s="86">
        <f t="shared" si="53"/>
        <v>224</v>
      </c>
      <c r="R103" s="87"/>
      <c r="S103" s="89"/>
      <c r="T103" s="86">
        <f t="shared" si="54"/>
        <v>341.5</v>
      </c>
      <c r="U103" s="87"/>
      <c r="V103" s="88"/>
      <c r="W103" s="86">
        <f t="shared" si="55"/>
        <v>18334.5</v>
      </c>
      <c r="Y103" s="112"/>
      <c r="AA103" s="141"/>
      <c r="AB103" s="129"/>
      <c r="AE103" s="112"/>
      <c r="AF103" s="112"/>
      <c r="AH103" s="151"/>
      <c r="AI103" s="151"/>
    </row>
    <row r="104" spans="1:35" x14ac:dyDescent="0.2">
      <c r="A104" s="74">
        <v>2021</v>
      </c>
      <c r="B104" s="75" t="s">
        <v>79</v>
      </c>
      <c r="C104" s="83"/>
      <c r="D104" s="84">
        <v>102665813.36771999</v>
      </c>
      <c r="E104" s="84"/>
      <c r="F104" s="85"/>
      <c r="G104" s="86">
        <f t="shared" si="49"/>
        <v>54770.5</v>
      </c>
      <c r="H104" s="84"/>
      <c r="I104" s="86">
        <f t="shared" si="50"/>
        <v>5732</v>
      </c>
      <c r="J104" s="87"/>
      <c r="K104" s="88"/>
      <c r="L104" s="86">
        <f t="shared" si="51"/>
        <v>541.5</v>
      </c>
      <c r="M104" s="87"/>
      <c r="N104" s="88"/>
      <c r="O104" s="86">
        <f t="shared" si="52"/>
        <v>2</v>
      </c>
      <c r="P104" s="84"/>
      <c r="Q104" s="86">
        <f t="shared" si="53"/>
        <v>224</v>
      </c>
      <c r="R104" s="87"/>
      <c r="S104" s="89"/>
      <c r="T104" s="86">
        <f t="shared" si="54"/>
        <v>341.5</v>
      </c>
      <c r="U104" s="87"/>
      <c r="V104" s="88"/>
      <c r="W104" s="86">
        <f t="shared" si="55"/>
        <v>18334.5</v>
      </c>
      <c r="Y104" s="112"/>
      <c r="AA104" s="141"/>
      <c r="AB104" s="129"/>
      <c r="AE104" s="112"/>
      <c r="AF104" s="112"/>
      <c r="AH104" s="151"/>
      <c r="AI104" s="151"/>
    </row>
    <row r="105" spans="1:35" x14ac:dyDescent="0.2">
      <c r="A105" s="74">
        <v>2021</v>
      </c>
      <c r="B105" s="75" t="s">
        <v>80</v>
      </c>
      <c r="C105" s="83"/>
      <c r="D105" s="84">
        <v>97643894.774719983</v>
      </c>
      <c r="E105" s="84"/>
      <c r="F105" s="85"/>
      <c r="G105" s="86">
        <f t="shared" si="49"/>
        <v>54770.5</v>
      </c>
      <c r="H105" s="84"/>
      <c r="I105" s="86">
        <f t="shared" si="50"/>
        <v>5732</v>
      </c>
      <c r="J105" s="87"/>
      <c r="K105" s="88"/>
      <c r="L105" s="86">
        <f t="shared" si="51"/>
        <v>541.5</v>
      </c>
      <c r="M105" s="87"/>
      <c r="N105" s="88"/>
      <c r="O105" s="86">
        <f t="shared" si="52"/>
        <v>2</v>
      </c>
      <c r="P105" s="84"/>
      <c r="Q105" s="86">
        <f t="shared" si="53"/>
        <v>224</v>
      </c>
      <c r="R105" s="87"/>
      <c r="S105" s="89"/>
      <c r="T105" s="86">
        <f t="shared" si="54"/>
        <v>341.5</v>
      </c>
      <c r="U105" s="87"/>
      <c r="V105" s="88"/>
      <c r="W105" s="86">
        <f t="shared" si="55"/>
        <v>18334.5</v>
      </c>
      <c r="Y105" s="112"/>
      <c r="AA105" s="141"/>
      <c r="AB105" s="129"/>
      <c r="AE105" s="112"/>
      <c r="AF105" s="112"/>
      <c r="AH105" s="151"/>
      <c r="AI105" s="151"/>
    </row>
    <row r="106" spans="1:35" x14ac:dyDescent="0.2">
      <c r="A106" s="74">
        <v>2021</v>
      </c>
      <c r="B106" s="75" t="s">
        <v>81</v>
      </c>
      <c r="C106" s="83"/>
      <c r="D106" s="84">
        <v>98863391.719999999</v>
      </c>
      <c r="E106" s="84"/>
      <c r="F106" s="85"/>
      <c r="G106" s="86">
        <f t="shared" si="49"/>
        <v>54770.5</v>
      </c>
      <c r="H106" s="84"/>
      <c r="I106" s="86">
        <f t="shared" si="50"/>
        <v>5732</v>
      </c>
      <c r="J106" s="87"/>
      <c r="K106" s="88"/>
      <c r="L106" s="86">
        <f t="shared" si="51"/>
        <v>541.5</v>
      </c>
      <c r="M106" s="87"/>
      <c r="N106" s="88"/>
      <c r="O106" s="86">
        <f t="shared" si="52"/>
        <v>2</v>
      </c>
      <c r="P106" s="84"/>
      <c r="Q106" s="86">
        <f t="shared" si="53"/>
        <v>224</v>
      </c>
      <c r="R106" s="87"/>
      <c r="S106" s="89"/>
      <c r="T106" s="86">
        <f t="shared" si="54"/>
        <v>341.5</v>
      </c>
      <c r="U106" s="87"/>
      <c r="V106" s="88"/>
      <c r="W106" s="86">
        <f t="shared" si="55"/>
        <v>18334.5</v>
      </c>
      <c r="Y106" s="112"/>
      <c r="AA106" s="141"/>
      <c r="AB106" s="129"/>
      <c r="AE106" s="112"/>
      <c r="AF106" s="112"/>
      <c r="AH106" s="151"/>
      <c r="AI106" s="151"/>
    </row>
    <row r="107" spans="1:35" x14ac:dyDescent="0.2">
      <c r="A107" s="74">
        <v>2021</v>
      </c>
      <c r="B107" s="75" t="s">
        <v>82</v>
      </c>
      <c r="C107" s="83"/>
      <c r="D107" s="84">
        <v>104617631.75</v>
      </c>
      <c r="E107" s="84"/>
      <c r="F107" s="85">
        <v>447806289</v>
      </c>
      <c r="G107" s="86">
        <f t="shared" si="49"/>
        <v>54770.5</v>
      </c>
      <c r="H107" s="84">
        <v>153599300</v>
      </c>
      <c r="I107" s="86">
        <f t="shared" si="50"/>
        <v>5732</v>
      </c>
      <c r="J107" s="87">
        <v>509952255.57999998</v>
      </c>
      <c r="K107" s="88">
        <v>1369361.6800000002</v>
      </c>
      <c r="L107" s="86">
        <f t="shared" si="51"/>
        <v>541.5</v>
      </c>
      <c r="M107" s="87">
        <v>81637911.159999996</v>
      </c>
      <c r="N107" s="88">
        <v>189298.78</v>
      </c>
      <c r="O107" s="86">
        <f t="shared" si="52"/>
        <v>2</v>
      </c>
      <c r="P107" s="84">
        <v>1247052</v>
      </c>
      <c r="Q107" s="86">
        <f t="shared" si="53"/>
        <v>224</v>
      </c>
      <c r="R107" s="87">
        <v>357348</v>
      </c>
      <c r="S107" s="89">
        <v>860</v>
      </c>
      <c r="T107" s="86">
        <f t="shared" si="54"/>
        <v>341.5</v>
      </c>
      <c r="U107" s="87">
        <v>5360221</v>
      </c>
      <c r="V107" s="88">
        <v>15533</v>
      </c>
      <c r="W107" s="86">
        <f t="shared" si="55"/>
        <v>18334.5</v>
      </c>
      <c r="X107" s="112"/>
      <c r="Y107" s="112"/>
      <c r="AA107" s="141"/>
      <c r="AB107" s="129"/>
      <c r="AE107" s="112"/>
      <c r="AF107" s="112"/>
      <c r="AH107" s="151"/>
      <c r="AI107" s="152"/>
    </row>
    <row r="108" spans="1:35" x14ac:dyDescent="0.2">
      <c r="A108" s="74">
        <v>2022</v>
      </c>
      <c r="B108" s="75" t="s">
        <v>72</v>
      </c>
      <c r="C108" s="83"/>
      <c r="D108" s="77">
        <v>115048969.70999999</v>
      </c>
      <c r="E108" s="77"/>
      <c r="F108" s="78"/>
      <c r="G108" s="79">
        <v>55652</v>
      </c>
      <c r="H108" s="77"/>
      <c r="I108" s="79">
        <v>5798.5</v>
      </c>
      <c r="J108" s="80"/>
      <c r="K108" s="81"/>
      <c r="L108" s="79">
        <v>521</v>
      </c>
      <c r="M108" s="80"/>
      <c r="N108" s="81"/>
      <c r="O108" s="79">
        <v>3</v>
      </c>
      <c r="P108" s="77"/>
      <c r="Q108" s="79">
        <v>224</v>
      </c>
      <c r="R108" s="80"/>
      <c r="S108" s="82"/>
      <c r="T108" s="79">
        <v>323</v>
      </c>
      <c r="U108" s="80"/>
      <c r="V108" s="81"/>
      <c r="W108" s="79">
        <v>18584.5</v>
      </c>
      <c r="Y108" s="112"/>
      <c r="AA108" s="141"/>
      <c r="AB108" s="129"/>
      <c r="AE108" s="112"/>
      <c r="AF108" s="112"/>
      <c r="AH108" s="151"/>
      <c r="AI108" s="151"/>
    </row>
    <row r="109" spans="1:35" x14ac:dyDescent="0.2">
      <c r="A109" s="74">
        <v>2022</v>
      </c>
      <c r="B109" s="75" t="s">
        <v>73</v>
      </c>
      <c r="C109" s="83"/>
      <c r="D109" s="84">
        <v>103279027.06999999</v>
      </c>
      <c r="E109" s="84"/>
      <c r="F109" s="85"/>
      <c r="G109" s="86">
        <f t="shared" ref="G109:G119" si="56">G108</f>
        <v>55652</v>
      </c>
      <c r="H109" s="84"/>
      <c r="I109" s="86">
        <f t="shared" ref="I109:I119" si="57">I108</f>
        <v>5798.5</v>
      </c>
      <c r="J109" s="87"/>
      <c r="K109" s="88"/>
      <c r="L109" s="86">
        <f t="shared" ref="L109:L119" si="58">L108</f>
        <v>521</v>
      </c>
      <c r="M109" s="87"/>
      <c r="N109" s="88"/>
      <c r="O109" s="86">
        <f t="shared" ref="O109:O119" si="59">O108</f>
        <v>3</v>
      </c>
      <c r="P109" s="84"/>
      <c r="Q109" s="86">
        <f t="shared" ref="Q109:Q119" si="60">Q108</f>
        <v>224</v>
      </c>
      <c r="R109" s="87"/>
      <c r="S109" s="89"/>
      <c r="T109" s="86">
        <f t="shared" ref="T109:T119" si="61">T108</f>
        <v>323</v>
      </c>
      <c r="U109" s="87"/>
      <c r="V109" s="88"/>
      <c r="W109" s="86">
        <f t="shared" ref="W109:W119" si="62">W108</f>
        <v>18584.5</v>
      </c>
      <c r="Y109" s="112"/>
      <c r="AA109" s="141"/>
      <c r="AB109" s="129"/>
      <c r="AE109" s="112"/>
      <c r="AF109" s="112"/>
      <c r="AH109" s="151"/>
      <c r="AI109" s="151"/>
    </row>
    <row r="110" spans="1:35" x14ac:dyDescent="0.2">
      <c r="A110" s="74">
        <v>2022</v>
      </c>
      <c r="B110" s="75" t="s">
        <v>74</v>
      </c>
      <c r="C110" s="83"/>
      <c r="D110" s="84">
        <v>106094515.68000001</v>
      </c>
      <c r="E110" s="84"/>
      <c r="F110" s="85"/>
      <c r="G110" s="86">
        <f t="shared" si="56"/>
        <v>55652</v>
      </c>
      <c r="H110" s="84"/>
      <c r="I110" s="86">
        <f t="shared" si="57"/>
        <v>5798.5</v>
      </c>
      <c r="J110" s="87"/>
      <c r="K110" s="88"/>
      <c r="L110" s="86">
        <f t="shared" si="58"/>
        <v>521</v>
      </c>
      <c r="M110" s="87"/>
      <c r="N110" s="88"/>
      <c r="O110" s="86">
        <f t="shared" si="59"/>
        <v>3</v>
      </c>
      <c r="P110" s="84"/>
      <c r="Q110" s="86">
        <f t="shared" si="60"/>
        <v>224</v>
      </c>
      <c r="R110" s="87"/>
      <c r="S110" s="89"/>
      <c r="T110" s="86">
        <f t="shared" si="61"/>
        <v>323</v>
      </c>
      <c r="U110" s="87"/>
      <c r="V110" s="88"/>
      <c r="W110" s="86">
        <f t="shared" si="62"/>
        <v>18584.5</v>
      </c>
      <c r="Y110" s="112"/>
      <c r="AA110" s="141"/>
      <c r="AB110" s="129"/>
      <c r="AE110" s="112"/>
      <c r="AF110" s="112"/>
      <c r="AH110" s="151"/>
      <c r="AI110" s="151"/>
    </row>
    <row r="111" spans="1:35" x14ac:dyDescent="0.2">
      <c r="A111" s="74">
        <v>2022</v>
      </c>
      <c r="B111" s="75" t="s">
        <v>75</v>
      </c>
      <c r="C111" s="83"/>
      <c r="D111" s="84">
        <v>93143888.519999996</v>
      </c>
      <c r="E111" s="84"/>
      <c r="F111" s="85"/>
      <c r="G111" s="86">
        <f t="shared" si="56"/>
        <v>55652</v>
      </c>
      <c r="H111" s="84"/>
      <c r="I111" s="86">
        <f t="shared" si="57"/>
        <v>5798.5</v>
      </c>
      <c r="J111" s="87"/>
      <c r="K111" s="88"/>
      <c r="L111" s="86">
        <f t="shared" si="58"/>
        <v>521</v>
      </c>
      <c r="M111" s="87"/>
      <c r="N111" s="88"/>
      <c r="O111" s="86">
        <f t="shared" si="59"/>
        <v>3</v>
      </c>
      <c r="P111" s="84"/>
      <c r="Q111" s="86">
        <f t="shared" si="60"/>
        <v>224</v>
      </c>
      <c r="R111" s="87"/>
      <c r="S111" s="89"/>
      <c r="T111" s="86">
        <f t="shared" si="61"/>
        <v>323</v>
      </c>
      <c r="U111" s="87"/>
      <c r="V111" s="88"/>
      <c r="W111" s="86">
        <f t="shared" si="62"/>
        <v>18584.5</v>
      </c>
      <c r="Y111" s="112"/>
      <c r="AA111" s="141"/>
      <c r="AB111" s="129"/>
      <c r="AE111" s="112"/>
      <c r="AF111" s="112"/>
      <c r="AH111" s="151"/>
      <c r="AI111" s="151"/>
    </row>
    <row r="112" spans="1:35" x14ac:dyDescent="0.2">
      <c r="A112" s="74">
        <v>2022</v>
      </c>
      <c r="B112" s="75" t="s">
        <v>43</v>
      </c>
      <c r="C112" s="83"/>
      <c r="D112" s="84">
        <v>97889856.38000001</v>
      </c>
      <c r="E112" s="84"/>
      <c r="F112" s="85"/>
      <c r="G112" s="86">
        <f t="shared" si="56"/>
        <v>55652</v>
      </c>
      <c r="H112" s="84"/>
      <c r="I112" s="86">
        <f t="shared" si="57"/>
        <v>5798.5</v>
      </c>
      <c r="J112" s="87"/>
      <c r="K112" s="88"/>
      <c r="L112" s="86">
        <f t="shared" si="58"/>
        <v>521</v>
      </c>
      <c r="M112" s="87"/>
      <c r="N112" s="88"/>
      <c r="O112" s="86">
        <f t="shared" si="59"/>
        <v>3</v>
      </c>
      <c r="P112" s="84"/>
      <c r="Q112" s="86">
        <f t="shared" si="60"/>
        <v>224</v>
      </c>
      <c r="R112" s="87"/>
      <c r="S112" s="89"/>
      <c r="T112" s="86">
        <f t="shared" si="61"/>
        <v>323</v>
      </c>
      <c r="U112" s="87"/>
      <c r="V112" s="88"/>
      <c r="W112" s="86">
        <f t="shared" si="62"/>
        <v>18584.5</v>
      </c>
      <c r="Y112" s="112"/>
      <c r="AA112" s="141"/>
      <c r="AB112" s="129"/>
      <c r="AE112" s="112"/>
      <c r="AF112" s="112"/>
      <c r="AH112" s="151"/>
      <c r="AI112" s="151"/>
    </row>
    <row r="113" spans="1:35" x14ac:dyDescent="0.2">
      <c r="A113" s="74">
        <v>2022</v>
      </c>
      <c r="B113" s="75" t="s">
        <v>76</v>
      </c>
      <c r="C113" s="83"/>
      <c r="D113" s="84">
        <v>109702407.65000001</v>
      </c>
      <c r="E113" s="84"/>
      <c r="F113" s="85"/>
      <c r="G113" s="86">
        <f t="shared" si="56"/>
        <v>55652</v>
      </c>
      <c r="H113" s="84"/>
      <c r="I113" s="86">
        <f t="shared" si="57"/>
        <v>5798.5</v>
      </c>
      <c r="J113" s="87"/>
      <c r="K113" s="88"/>
      <c r="L113" s="86">
        <f t="shared" si="58"/>
        <v>521</v>
      </c>
      <c r="M113" s="87"/>
      <c r="N113" s="88"/>
      <c r="O113" s="86">
        <f t="shared" si="59"/>
        <v>3</v>
      </c>
      <c r="P113" s="84"/>
      <c r="Q113" s="86">
        <f t="shared" si="60"/>
        <v>224</v>
      </c>
      <c r="R113" s="87"/>
      <c r="S113" s="89"/>
      <c r="T113" s="86">
        <f t="shared" si="61"/>
        <v>323</v>
      </c>
      <c r="U113" s="87"/>
      <c r="V113" s="88"/>
      <c r="W113" s="86">
        <f t="shared" si="62"/>
        <v>18584.5</v>
      </c>
      <c r="Y113" s="112"/>
      <c r="AA113" s="141"/>
      <c r="AB113" s="129"/>
      <c r="AE113" s="112"/>
      <c r="AF113" s="112"/>
      <c r="AH113" s="151"/>
      <c r="AI113" s="151"/>
    </row>
    <row r="114" spans="1:35" x14ac:dyDescent="0.2">
      <c r="A114" s="74">
        <v>2022</v>
      </c>
      <c r="B114" s="75" t="s">
        <v>77</v>
      </c>
      <c r="C114" s="83"/>
      <c r="D114" s="84">
        <v>124312236.88</v>
      </c>
      <c r="E114" s="84"/>
      <c r="F114" s="85"/>
      <c r="G114" s="86">
        <f t="shared" si="56"/>
        <v>55652</v>
      </c>
      <c r="H114" s="84"/>
      <c r="I114" s="86">
        <f t="shared" si="57"/>
        <v>5798.5</v>
      </c>
      <c r="J114" s="87"/>
      <c r="K114" s="88"/>
      <c r="L114" s="86">
        <f t="shared" si="58"/>
        <v>521</v>
      </c>
      <c r="M114" s="87"/>
      <c r="N114" s="88"/>
      <c r="O114" s="86">
        <f t="shared" si="59"/>
        <v>3</v>
      </c>
      <c r="P114" s="84"/>
      <c r="Q114" s="86">
        <f t="shared" si="60"/>
        <v>224</v>
      </c>
      <c r="R114" s="87"/>
      <c r="S114" s="89"/>
      <c r="T114" s="86">
        <f t="shared" si="61"/>
        <v>323</v>
      </c>
      <c r="U114" s="87"/>
      <c r="V114" s="88"/>
      <c r="W114" s="86">
        <f t="shared" si="62"/>
        <v>18584.5</v>
      </c>
      <c r="Y114" s="112"/>
      <c r="AA114" s="141"/>
      <c r="AB114" s="129"/>
      <c r="AE114" s="112"/>
      <c r="AF114" s="112"/>
      <c r="AH114" s="151"/>
      <c r="AI114" s="151"/>
    </row>
    <row r="115" spans="1:35" x14ac:dyDescent="0.2">
      <c r="A115" s="74">
        <v>2022</v>
      </c>
      <c r="B115" s="75" t="s">
        <v>78</v>
      </c>
      <c r="C115" s="83"/>
      <c r="D115" s="84">
        <v>126147600.72</v>
      </c>
      <c r="E115" s="84"/>
      <c r="F115" s="85"/>
      <c r="G115" s="86">
        <f t="shared" si="56"/>
        <v>55652</v>
      </c>
      <c r="H115" s="84"/>
      <c r="I115" s="86">
        <f t="shared" si="57"/>
        <v>5798.5</v>
      </c>
      <c r="J115" s="87"/>
      <c r="K115" s="88"/>
      <c r="L115" s="86">
        <f t="shared" si="58"/>
        <v>521</v>
      </c>
      <c r="M115" s="87"/>
      <c r="N115" s="88"/>
      <c r="O115" s="86">
        <f t="shared" si="59"/>
        <v>3</v>
      </c>
      <c r="P115" s="84"/>
      <c r="Q115" s="86">
        <f t="shared" si="60"/>
        <v>224</v>
      </c>
      <c r="R115" s="87"/>
      <c r="S115" s="89"/>
      <c r="T115" s="86">
        <f t="shared" si="61"/>
        <v>323</v>
      </c>
      <c r="U115" s="87"/>
      <c r="V115" s="88"/>
      <c r="W115" s="86">
        <f t="shared" si="62"/>
        <v>18584.5</v>
      </c>
      <c r="Y115" s="112"/>
      <c r="AA115" s="141"/>
      <c r="AB115" s="129"/>
      <c r="AE115" s="112"/>
      <c r="AF115" s="112"/>
      <c r="AH115" s="151"/>
      <c r="AI115" s="151"/>
    </row>
    <row r="116" spans="1:35" x14ac:dyDescent="0.2">
      <c r="A116" s="74">
        <v>2022</v>
      </c>
      <c r="B116" s="75" t="s">
        <v>79</v>
      </c>
      <c r="C116" s="83"/>
      <c r="D116" s="84">
        <v>108217059.48999999</v>
      </c>
      <c r="E116" s="84"/>
      <c r="F116" s="85"/>
      <c r="G116" s="86">
        <f t="shared" si="56"/>
        <v>55652</v>
      </c>
      <c r="H116" s="84"/>
      <c r="I116" s="86">
        <f t="shared" si="57"/>
        <v>5798.5</v>
      </c>
      <c r="J116" s="87"/>
      <c r="K116" s="88"/>
      <c r="L116" s="86">
        <f t="shared" si="58"/>
        <v>521</v>
      </c>
      <c r="M116" s="87"/>
      <c r="N116" s="88"/>
      <c r="O116" s="86">
        <f t="shared" si="59"/>
        <v>3</v>
      </c>
      <c r="P116" s="84"/>
      <c r="Q116" s="86">
        <f t="shared" si="60"/>
        <v>224</v>
      </c>
      <c r="R116" s="87"/>
      <c r="S116" s="89"/>
      <c r="T116" s="86">
        <f t="shared" si="61"/>
        <v>323</v>
      </c>
      <c r="U116" s="87"/>
      <c r="V116" s="88"/>
      <c r="W116" s="86">
        <f t="shared" si="62"/>
        <v>18584.5</v>
      </c>
      <c r="Y116" s="112"/>
      <c r="AA116" s="141"/>
      <c r="AB116" s="129"/>
      <c r="AE116" s="112"/>
      <c r="AF116" s="112"/>
      <c r="AH116" s="151"/>
      <c r="AI116" s="151"/>
    </row>
    <row r="117" spans="1:35" x14ac:dyDescent="0.2">
      <c r="A117" s="74">
        <v>2022</v>
      </c>
      <c r="B117" s="75" t="s">
        <v>80</v>
      </c>
      <c r="C117" s="83"/>
      <c r="D117" s="84">
        <v>98159215.599999994</v>
      </c>
      <c r="E117" s="84"/>
      <c r="F117" s="85"/>
      <c r="G117" s="86">
        <f t="shared" si="56"/>
        <v>55652</v>
      </c>
      <c r="H117" s="84"/>
      <c r="I117" s="86">
        <f t="shared" si="57"/>
        <v>5798.5</v>
      </c>
      <c r="J117" s="87"/>
      <c r="K117" s="88"/>
      <c r="L117" s="86">
        <f t="shared" si="58"/>
        <v>521</v>
      </c>
      <c r="M117" s="87"/>
      <c r="N117" s="88"/>
      <c r="O117" s="86">
        <f t="shared" si="59"/>
        <v>3</v>
      </c>
      <c r="P117" s="84"/>
      <c r="Q117" s="86">
        <f t="shared" si="60"/>
        <v>224</v>
      </c>
      <c r="R117" s="87"/>
      <c r="S117" s="89"/>
      <c r="T117" s="86">
        <f t="shared" si="61"/>
        <v>323</v>
      </c>
      <c r="U117" s="87"/>
      <c r="V117" s="88"/>
      <c r="W117" s="86">
        <f t="shared" si="62"/>
        <v>18584.5</v>
      </c>
      <c r="Y117" s="112"/>
      <c r="AA117" s="141"/>
      <c r="AB117" s="129"/>
      <c r="AE117" s="112"/>
      <c r="AF117" s="112"/>
      <c r="AH117" s="151"/>
      <c r="AI117" s="151"/>
    </row>
    <row r="118" spans="1:35" x14ac:dyDescent="0.2">
      <c r="A118" s="74">
        <v>2022</v>
      </c>
      <c r="B118" s="75" t="s">
        <v>81</v>
      </c>
      <c r="C118" s="83"/>
      <c r="D118" s="84">
        <v>101487092.63</v>
      </c>
      <c r="E118" s="84"/>
      <c r="F118" s="85"/>
      <c r="G118" s="86">
        <f t="shared" si="56"/>
        <v>55652</v>
      </c>
      <c r="H118" s="84"/>
      <c r="I118" s="86">
        <f t="shared" si="57"/>
        <v>5798.5</v>
      </c>
      <c r="J118" s="87"/>
      <c r="K118" s="88"/>
      <c r="L118" s="86">
        <f t="shared" si="58"/>
        <v>521</v>
      </c>
      <c r="M118" s="87"/>
      <c r="N118" s="88"/>
      <c r="O118" s="86">
        <f t="shared" si="59"/>
        <v>3</v>
      </c>
      <c r="P118" s="84"/>
      <c r="Q118" s="86">
        <f t="shared" si="60"/>
        <v>224</v>
      </c>
      <c r="R118" s="87"/>
      <c r="S118" s="89"/>
      <c r="T118" s="86">
        <f t="shared" si="61"/>
        <v>323</v>
      </c>
      <c r="U118" s="87"/>
      <c r="V118" s="88"/>
      <c r="W118" s="86">
        <f t="shared" si="62"/>
        <v>18584.5</v>
      </c>
      <c r="Y118" s="112"/>
      <c r="AA118" s="141"/>
      <c r="AB118" s="129"/>
      <c r="AE118" s="112"/>
      <c r="AF118" s="112"/>
      <c r="AH118" s="151"/>
      <c r="AI118" s="151"/>
    </row>
    <row r="119" spans="1:35" x14ac:dyDescent="0.2">
      <c r="A119" s="74">
        <v>2022</v>
      </c>
      <c r="B119" s="75" t="s">
        <v>82</v>
      </c>
      <c r="C119" s="83"/>
      <c r="D119" s="84">
        <v>107898869.66999999</v>
      </c>
      <c r="E119" s="84"/>
      <c r="F119" s="85">
        <v>447775679</v>
      </c>
      <c r="G119" s="86">
        <f t="shared" si="56"/>
        <v>55652</v>
      </c>
      <c r="H119" s="84">
        <v>158958811</v>
      </c>
      <c r="I119" s="86">
        <f t="shared" si="57"/>
        <v>5798.5</v>
      </c>
      <c r="J119" s="87">
        <v>527626633.36000001</v>
      </c>
      <c r="K119" s="88">
        <v>1416160.24</v>
      </c>
      <c r="L119" s="86">
        <f t="shared" si="58"/>
        <v>521</v>
      </c>
      <c r="M119" s="87">
        <v>101920233.49000001</v>
      </c>
      <c r="N119" s="88">
        <v>228226.57</v>
      </c>
      <c r="O119" s="86">
        <f t="shared" si="59"/>
        <v>3</v>
      </c>
      <c r="P119" s="84">
        <v>1247677</v>
      </c>
      <c r="Q119" s="86">
        <f t="shared" si="60"/>
        <v>224</v>
      </c>
      <c r="R119" s="87">
        <v>378834</v>
      </c>
      <c r="S119" s="89">
        <v>913</v>
      </c>
      <c r="T119" s="86">
        <f t="shared" si="61"/>
        <v>323</v>
      </c>
      <c r="U119" s="87">
        <v>5385057</v>
      </c>
      <c r="V119" s="88">
        <v>15621</v>
      </c>
      <c r="W119" s="86">
        <f t="shared" si="62"/>
        <v>18584.5</v>
      </c>
      <c r="X119" s="112"/>
      <c r="Y119" s="112"/>
      <c r="AA119" s="141"/>
      <c r="AB119" s="129"/>
      <c r="AE119" s="112"/>
      <c r="AF119" s="112"/>
      <c r="AH119" s="151"/>
      <c r="AI119" s="152"/>
    </row>
    <row r="120" spans="1:35" x14ac:dyDescent="0.2">
      <c r="A120" s="74">
        <v>2023</v>
      </c>
      <c r="B120" s="75" t="s">
        <v>72</v>
      </c>
      <c r="C120" s="83"/>
      <c r="D120" s="77">
        <v>109159973.71000001</v>
      </c>
      <c r="E120" s="77"/>
      <c r="F120" s="78"/>
      <c r="G120" s="79">
        <v>56302</v>
      </c>
      <c r="H120" s="77"/>
      <c r="I120" s="79">
        <v>5860</v>
      </c>
      <c r="J120" s="80"/>
      <c r="K120" s="81"/>
      <c r="L120" s="79">
        <v>512</v>
      </c>
      <c r="M120" s="80"/>
      <c r="N120" s="81"/>
      <c r="O120" s="79">
        <v>4</v>
      </c>
      <c r="P120" s="77"/>
      <c r="Q120" s="79">
        <v>224</v>
      </c>
      <c r="R120" s="80"/>
      <c r="S120" s="82"/>
      <c r="T120" s="79">
        <v>308</v>
      </c>
      <c r="U120" s="80"/>
      <c r="V120" s="81"/>
      <c r="W120" s="79">
        <v>18793</v>
      </c>
      <c r="Y120" s="112"/>
      <c r="AA120" s="141"/>
      <c r="AB120" s="129"/>
      <c r="AE120" s="112"/>
      <c r="AF120" s="112"/>
      <c r="AH120" s="151"/>
      <c r="AI120" s="151"/>
    </row>
    <row r="121" spans="1:35" x14ac:dyDescent="0.2">
      <c r="A121" s="74">
        <v>2023</v>
      </c>
      <c r="B121" s="75" t="s">
        <v>73</v>
      </c>
      <c r="C121" s="83"/>
      <c r="D121" s="84">
        <v>98764635.64000003</v>
      </c>
      <c r="E121" s="84"/>
      <c r="F121" s="85"/>
      <c r="G121" s="86">
        <f t="shared" ref="G121:G131" si="63">G120</f>
        <v>56302</v>
      </c>
      <c r="H121" s="84"/>
      <c r="I121" s="86">
        <f t="shared" ref="I121:I131" si="64">I120</f>
        <v>5860</v>
      </c>
      <c r="J121" s="87"/>
      <c r="K121" s="88"/>
      <c r="L121" s="86">
        <f t="shared" ref="L121:L131" si="65">L120</f>
        <v>512</v>
      </c>
      <c r="M121" s="87"/>
      <c r="N121" s="88"/>
      <c r="O121" s="86">
        <f t="shared" ref="O121:O131" si="66">O120</f>
        <v>4</v>
      </c>
      <c r="P121" s="84"/>
      <c r="Q121" s="86">
        <f t="shared" ref="Q121:Q131" si="67">Q120</f>
        <v>224</v>
      </c>
      <c r="R121" s="87"/>
      <c r="S121" s="89"/>
      <c r="T121" s="86">
        <f t="shared" ref="T121:T131" si="68">T120</f>
        <v>308</v>
      </c>
      <c r="U121" s="87"/>
      <c r="V121" s="88"/>
      <c r="W121" s="86">
        <f t="shared" ref="W121:W131" si="69">W120</f>
        <v>18793</v>
      </c>
      <c r="Y121" s="112"/>
      <c r="AA121" s="141"/>
      <c r="AB121" s="129"/>
      <c r="AE121" s="112"/>
      <c r="AF121" s="112"/>
      <c r="AH121" s="151"/>
      <c r="AI121" s="151"/>
    </row>
    <row r="122" spans="1:35" x14ac:dyDescent="0.2">
      <c r="A122" s="74">
        <v>2023</v>
      </c>
      <c r="B122" s="75" t="s">
        <v>74</v>
      </c>
      <c r="C122" s="83"/>
      <c r="D122" s="84">
        <v>105254657.88</v>
      </c>
      <c r="E122" s="84"/>
      <c r="F122" s="85"/>
      <c r="G122" s="86">
        <f t="shared" si="63"/>
        <v>56302</v>
      </c>
      <c r="H122" s="84"/>
      <c r="I122" s="86">
        <f t="shared" si="64"/>
        <v>5860</v>
      </c>
      <c r="J122" s="87"/>
      <c r="K122" s="88"/>
      <c r="L122" s="86">
        <f t="shared" si="65"/>
        <v>512</v>
      </c>
      <c r="M122" s="87"/>
      <c r="N122" s="88"/>
      <c r="O122" s="86">
        <f t="shared" si="66"/>
        <v>4</v>
      </c>
      <c r="P122" s="84"/>
      <c r="Q122" s="86">
        <f t="shared" si="67"/>
        <v>224</v>
      </c>
      <c r="R122" s="87"/>
      <c r="S122" s="89"/>
      <c r="T122" s="86">
        <f t="shared" si="68"/>
        <v>308</v>
      </c>
      <c r="U122" s="87"/>
      <c r="V122" s="88"/>
      <c r="W122" s="86">
        <f t="shared" si="69"/>
        <v>18793</v>
      </c>
      <c r="Y122" s="112"/>
      <c r="AA122" s="141"/>
      <c r="AB122" s="129"/>
      <c r="AE122" s="112"/>
      <c r="AF122" s="112"/>
      <c r="AH122" s="151"/>
      <c r="AI122" s="151"/>
    </row>
    <row r="123" spans="1:35" x14ac:dyDescent="0.2">
      <c r="A123" s="74">
        <v>2023</v>
      </c>
      <c r="B123" s="75" t="s">
        <v>75</v>
      </c>
      <c r="C123" s="83"/>
      <c r="D123" s="84">
        <v>93768436.560000002</v>
      </c>
      <c r="E123" s="84"/>
      <c r="F123" s="85"/>
      <c r="G123" s="86">
        <f t="shared" si="63"/>
        <v>56302</v>
      </c>
      <c r="H123" s="84"/>
      <c r="I123" s="86">
        <f t="shared" si="64"/>
        <v>5860</v>
      </c>
      <c r="J123" s="87"/>
      <c r="K123" s="88"/>
      <c r="L123" s="86">
        <f t="shared" si="65"/>
        <v>512</v>
      </c>
      <c r="M123" s="87"/>
      <c r="N123" s="88"/>
      <c r="O123" s="86">
        <f t="shared" si="66"/>
        <v>4</v>
      </c>
      <c r="P123" s="84"/>
      <c r="Q123" s="86">
        <f t="shared" si="67"/>
        <v>224</v>
      </c>
      <c r="R123" s="87"/>
      <c r="S123" s="89"/>
      <c r="T123" s="86">
        <f t="shared" si="68"/>
        <v>308</v>
      </c>
      <c r="U123" s="87"/>
      <c r="V123" s="88"/>
      <c r="W123" s="86">
        <f t="shared" si="69"/>
        <v>18793</v>
      </c>
      <c r="Y123" s="112"/>
      <c r="AA123" s="141"/>
      <c r="AB123" s="129"/>
      <c r="AE123" s="112"/>
      <c r="AF123" s="112"/>
      <c r="AH123" s="151"/>
      <c r="AI123" s="151"/>
    </row>
    <row r="124" spans="1:35" x14ac:dyDescent="0.2">
      <c r="A124" s="74">
        <v>2023</v>
      </c>
      <c r="B124" s="75" t="s">
        <v>43</v>
      </c>
      <c r="C124" s="83"/>
      <c r="D124" s="84">
        <v>99703860.189999998</v>
      </c>
      <c r="E124" s="84"/>
      <c r="F124" s="85"/>
      <c r="G124" s="86">
        <f t="shared" si="63"/>
        <v>56302</v>
      </c>
      <c r="H124" s="84"/>
      <c r="I124" s="86">
        <f t="shared" si="64"/>
        <v>5860</v>
      </c>
      <c r="J124" s="87"/>
      <c r="K124" s="88"/>
      <c r="L124" s="86">
        <f t="shared" si="65"/>
        <v>512</v>
      </c>
      <c r="M124" s="87"/>
      <c r="N124" s="88"/>
      <c r="O124" s="86">
        <f t="shared" si="66"/>
        <v>4</v>
      </c>
      <c r="P124" s="84"/>
      <c r="Q124" s="86">
        <f t="shared" si="67"/>
        <v>224</v>
      </c>
      <c r="R124" s="87"/>
      <c r="S124" s="89"/>
      <c r="T124" s="86">
        <f t="shared" si="68"/>
        <v>308</v>
      </c>
      <c r="U124" s="87"/>
      <c r="V124" s="88"/>
      <c r="W124" s="86">
        <f t="shared" si="69"/>
        <v>18793</v>
      </c>
      <c r="Y124" s="112"/>
      <c r="AA124" s="141"/>
      <c r="AB124" s="129"/>
      <c r="AE124" s="112"/>
      <c r="AF124" s="112"/>
      <c r="AH124" s="151"/>
      <c r="AI124" s="151"/>
    </row>
    <row r="125" spans="1:35" x14ac:dyDescent="0.2">
      <c r="A125" s="74">
        <v>2023</v>
      </c>
      <c r="B125" s="75" t="s">
        <v>76</v>
      </c>
      <c r="C125" s="83"/>
      <c r="D125" s="84">
        <v>106677864.72</v>
      </c>
      <c r="E125" s="84"/>
      <c r="F125" s="85"/>
      <c r="G125" s="86">
        <f t="shared" si="63"/>
        <v>56302</v>
      </c>
      <c r="H125" s="84"/>
      <c r="I125" s="86">
        <f t="shared" si="64"/>
        <v>5860</v>
      </c>
      <c r="J125" s="87"/>
      <c r="K125" s="88"/>
      <c r="L125" s="86">
        <f t="shared" si="65"/>
        <v>512</v>
      </c>
      <c r="M125" s="87"/>
      <c r="N125" s="88"/>
      <c r="O125" s="86">
        <f t="shared" si="66"/>
        <v>4</v>
      </c>
      <c r="P125" s="84"/>
      <c r="Q125" s="86">
        <f t="shared" si="67"/>
        <v>224</v>
      </c>
      <c r="R125" s="87"/>
      <c r="S125" s="89"/>
      <c r="T125" s="86">
        <f t="shared" si="68"/>
        <v>308</v>
      </c>
      <c r="U125" s="87"/>
      <c r="V125" s="88"/>
      <c r="W125" s="86">
        <f t="shared" si="69"/>
        <v>18793</v>
      </c>
      <c r="Y125" s="112"/>
      <c r="AA125" s="141"/>
      <c r="AB125" s="129"/>
      <c r="AE125" s="112"/>
      <c r="AF125" s="112"/>
      <c r="AH125" s="151"/>
      <c r="AI125" s="151"/>
    </row>
    <row r="126" spans="1:35" x14ac:dyDescent="0.2">
      <c r="A126" s="74">
        <v>2023</v>
      </c>
      <c r="B126" s="75" t="s">
        <v>77</v>
      </c>
      <c r="C126" s="83"/>
      <c r="D126" s="84">
        <v>123730259.39</v>
      </c>
      <c r="E126" s="84"/>
      <c r="F126" s="85"/>
      <c r="G126" s="86">
        <f t="shared" si="63"/>
        <v>56302</v>
      </c>
      <c r="H126" s="84"/>
      <c r="I126" s="86">
        <f t="shared" si="64"/>
        <v>5860</v>
      </c>
      <c r="J126" s="87"/>
      <c r="K126" s="88"/>
      <c r="L126" s="86">
        <f t="shared" si="65"/>
        <v>512</v>
      </c>
      <c r="M126" s="87"/>
      <c r="N126" s="88"/>
      <c r="O126" s="86">
        <f t="shared" si="66"/>
        <v>4</v>
      </c>
      <c r="P126" s="84"/>
      <c r="Q126" s="86">
        <f t="shared" si="67"/>
        <v>224</v>
      </c>
      <c r="R126" s="87"/>
      <c r="S126" s="89"/>
      <c r="T126" s="86">
        <f t="shared" si="68"/>
        <v>308</v>
      </c>
      <c r="U126" s="87"/>
      <c r="V126" s="88"/>
      <c r="W126" s="86">
        <f t="shared" si="69"/>
        <v>18793</v>
      </c>
      <c r="Y126" s="112"/>
      <c r="AA126" s="141"/>
      <c r="AB126" s="129"/>
      <c r="AE126" s="112"/>
      <c r="AF126" s="112"/>
      <c r="AH126" s="151"/>
      <c r="AI126" s="151"/>
    </row>
    <row r="127" spans="1:35" x14ac:dyDescent="0.2">
      <c r="A127" s="74">
        <v>2023</v>
      </c>
      <c r="B127" s="75" t="s">
        <v>78</v>
      </c>
      <c r="C127" s="83"/>
      <c r="D127" s="84">
        <v>118372301.53000002</v>
      </c>
      <c r="E127" s="84"/>
      <c r="F127" s="85"/>
      <c r="G127" s="86">
        <f t="shared" si="63"/>
        <v>56302</v>
      </c>
      <c r="H127" s="84"/>
      <c r="I127" s="86">
        <f t="shared" si="64"/>
        <v>5860</v>
      </c>
      <c r="J127" s="87"/>
      <c r="K127" s="88"/>
      <c r="L127" s="86">
        <f t="shared" si="65"/>
        <v>512</v>
      </c>
      <c r="M127" s="87"/>
      <c r="N127" s="88"/>
      <c r="O127" s="86">
        <f t="shared" si="66"/>
        <v>4</v>
      </c>
      <c r="P127" s="84"/>
      <c r="Q127" s="86">
        <f t="shared" si="67"/>
        <v>224</v>
      </c>
      <c r="R127" s="87"/>
      <c r="S127" s="89"/>
      <c r="T127" s="86">
        <f t="shared" si="68"/>
        <v>308</v>
      </c>
      <c r="U127" s="87"/>
      <c r="V127" s="88"/>
      <c r="W127" s="86">
        <f t="shared" si="69"/>
        <v>18793</v>
      </c>
      <c r="Y127" s="112"/>
      <c r="AA127" s="141"/>
      <c r="AB127" s="129"/>
      <c r="AE127" s="112"/>
      <c r="AF127" s="112"/>
      <c r="AH127" s="151"/>
      <c r="AI127" s="151"/>
    </row>
    <row r="128" spans="1:35" x14ac:dyDescent="0.2">
      <c r="A128" s="74">
        <v>2023</v>
      </c>
      <c r="B128" s="75" t="s">
        <v>79</v>
      </c>
      <c r="C128" s="83"/>
      <c r="D128" s="84">
        <v>107470986.69999999</v>
      </c>
      <c r="E128" s="84"/>
      <c r="F128" s="85"/>
      <c r="G128" s="86">
        <f t="shared" si="63"/>
        <v>56302</v>
      </c>
      <c r="H128" s="84"/>
      <c r="I128" s="86">
        <f t="shared" si="64"/>
        <v>5860</v>
      </c>
      <c r="J128" s="87"/>
      <c r="K128" s="88"/>
      <c r="L128" s="86">
        <f t="shared" si="65"/>
        <v>512</v>
      </c>
      <c r="M128" s="87"/>
      <c r="N128" s="88"/>
      <c r="O128" s="86">
        <f t="shared" si="66"/>
        <v>4</v>
      </c>
      <c r="P128" s="84"/>
      <c r="Q128" s="86">
        <f t="shared" si="67"/>
        <v>224</v>
      </c>
      <c r="R128" s="87"/>
      <c r="S128" s="89"/>
      <c r="T128" s="86">
        <f t="shared" si="68"/>
        <v>308</v>
      </c>
      <c r="U128" s="87"/>
      <c r="V128" s="88"/>
      <c r="W128" s="86">
        <f t="shared" si="69"/>
        <v>18793</v>
      </c>
      <c r="Y128" s="112"/>
      <c r="AA128" s="141"/>
      <c r="AB128" s="129"/>
      <c r="AE128" s="112"/>
      <c r="AF128" s="112"/>
      <c r="AH128" s="151"/>
      <c r="AI128" s="151"/>
    </row>
    <row r="129" spans="1:35" x14ac:dyDescent="0.2">
      <c r="A129" s="74">
        <v>2023</v>
      </c>
      <c r="B129" s="75" t="s">
        <v>80</v>
      </c>
      <c r="C129" s="83"/>
      <c r="D129" s="84">
        <v>101567452.83999999</v>
      </c>
      <c r="E129" s="84"/>
      <c r="F129" s="85"/>
      <c r="G129" s="86">
        <f t="shared" si="63"/>
        <v>56302</v>
      </c>
      <c r="H129" s="84"/>
      <c r="I129" s="86">
        <f t="shared" si="64"/>
        <v>5860</v>
      </c>
      <c r="J129" s="87"/>
      <c r="K129" s="88"/>
      <c r="L129" s="86">
        <f t="shared" si="65"/>
        <v>512</v>
      </c>
      <c r="M129" s="87"/>
      <c r="N129" s="88"/>
      <c r="O129" s="86">
        <f t="shared" si="66"/>
        <v>4</v>
      </c>
      <c r="P129" s="84"/>
      <c r="Q129" s="86">
        <f t="shared" si="67"/>
        <v>224</v>
      </c>
      <c r="R129" s="87"/>
      <c r="S129" s="89"/>
      <c r="T129" s="86">
        <f t="shared" si="68"/>
        <v>308</v>
      </c>
      <c r="U129" s="87"/>
      <c r="V129" s="88"/>
      <c r="W129" s="86">
        <f t="shared" si="69"/>
        <v>18793</v>
      </c>
      <c r="Y129" s="112"/>
      <c r="AA129" s="141"/>
      <c r="AB129" s="129"/>
      <c r="AE129" s="112"/>
      <c r="AF129" s="112"/>
      <c r="AH129" s="151"/>
      <c r="AI129" s="151"/>
    </row>
    <row r="130" spans="1:35" x14ac:dyDescent="0.2">
      <c r="A130" s="74">
        <v>2023</v>
      </c>
      <c r="B130" s="75" t="s">
        <v>81</v>
      </c>
      <c r="C130" s="83"/>
      <c r="D130" s="84">
        <v>103573335.30000001</v>
      </c>
      <c r="E130" s="84"/>
      <c r="F130" s="85"/>
      <c r="G130" s="86">
        <f t="shared" si="63"/>
        <v>56302</v>
      </c>
      <c r="H130" s="84"/>
      <c r="I130" s="86">
        <f t="shared" si="64"/>
        <v>5860</v>
      </c>
      <c r="J130" s="87"/>
      <c r="K130" s="88"/>
      <c r="L130" s="86">
        <f t="shared" si="65"/>
        <v>512</v>
      </c>
      <c r="M130" s="87"/>
      <c r="N130" s="88"/>
      <c r="O130" s="86">
        <f t="shared" si="66"/>
        <v>4</v>
      </c>
      <c r="P130" s="84"/>
      <c r="Q130" s="86">
        <f t="shared" si="67"/>
        <v>224</v>
      </c>
      <c r="R130" s="87"/>
      <c r="S130" s="89"/>
      <c r="T130" s="86">
        <f t="shared" si="68"/>
        <v>308</v>
      </c>
      <c r="U130" s="87"/>
      <c r="V130" s="88"/>
      <c r="W130" s="86">
        <f t="shared" si="69"/>
        <v>18793</v>
      </c>
      <c r="Y130" s="112"/>
      <c r="AA130" s="141"/>
      <c r="AB130" s="129"/>
      <c r="AE130" s="112"/>
      <c r="AF130" s="112"/>
      <c r="AH130" s="151"/>
      <c r="AI130" s="151"/>
    </row>
    <row r="131" spans="1:35" x14ac:dyDescent="0.2">
      <c r="A131" s="74">
        <v>2023</v>
      </c>
      <c r="B131" s="75" t="s">
        <v>82</v>
      </c>
      <c r="C131" s="83"/>
      <c r="D131" s="84">
        <v>103900094.45</v>
      </c>
      <c r="E131" s="84"/>
      <c r="F131" s="85">
        <v>429855844</v>
      </c>
      <c r="G131" s="86">
        <f t="shared" si="63"/>
        <v>56302</v>
      </c>
      <c r="H131" s="84">
        <v>159307883</v>
      </c>
      <c r="I131" s="86">
        <f t="shared" si="64"/>
        <v>5860</v>
      </c>
      <c r="J131" s="87">
        <v>523144015.48000002</v>
      </c>
      <c r="K131" s="88">
        <v>1409639.32</v>
      </c>
      <c r="L131" s="86">
        <f t="shared" si="65"/>
        <v>512</v>
      </c>
      <c r="M131" s="87">
        <v>103677541</v>
      </c>
      <c r="N131" s="88">
        <v>239895</v>
      </c>
      <c r="O131" s="86">
        <f t="shared" si="66"/>
        <v>4</v>
      </c>
      <c r="P131" s="84">
        <v>1250514</v>
      </c>
      <c r="Q131" s="86">
        <f t="shared" si="67"/>
        <v>224</v>
      </c>
      <c r="R131" s="87">
        <v>365715</v>
      </c>
      <c r="S131" s="89">
        <v>876</v>
      </c>
      <c r="T131" s="86">
        <f t="shared" si="68"/>
        <v>308</v>
      </c>
      <c r="U131" s="87">
        <v>5413099</v>
      </c>
      <c r="V131" s="88">
        <v>15696</v>
      </c>
      <c r="W131" s="86">
        <f t="shared" si="69"/>
        <v>18793</v>
      </c>
      <c r="X131" s="112"/>
      <c r="Y131" s="112"/>
      <c r="AA131" s="141"/>
      <c r="AB131" s="129"/>
      <c r="AE131" s="112"/>
      <c r="AF131" s="112"/>
      <c r="AH131" s="151"/>
      <c r="AI131" s="152"/>
    </row>
    <row r="132" spans="1:35" x14ac:dyDescent="0.2">
      <c r="A132" s="74">
        <v>2024</v>
      </c>
      <c r="B132" s="75" t="s">
        <v>72</v>
      </c>
      <c r="C132" s="83"/>
      <c r="D132" s="77">
        <v>114889567.74999997</v>
      </c>
      <c r="E132" s="77"/>
      <c r="F132" s="78"/>
      <c r="G132" s="79">
        <v>56797</v>
      </c>
      <c r="H132" s="77"/>
      <c r="I132" s="79">
        <v>5889</v>
      </c>
      <c r="J132" s="80"/>
      <c r="K132" s="81"/>
      <c r="L132" s="79">
        <v>508.5</v>
      </c>
      <c r="M132" s="80"/>
      <c r="N132" s="81"/>
      <c r="O132" s="79">
        <v>4</v>
      </c>
      <c r="P132" s="77"/>
      <c r="Q132" s="79">
        <v>225</v>
      </c>
      <c r="R132" s="80"/>
      <c r="S132" s="82"/>
      <c r="T132" s="79">
        <v>304</v>
      </c>
      <c r="U132" s="80"/>
      <c r="V132" s="81"/>
      <c r="W132" s="79">
        <v>18884.5</v>
      </c>
      <c r="Y132" s="112"/>
      <c r="AA132" s="141"/>
      <c r="AB132" s="129"/>
      <c r="AE132" s="112"/>
      <c r="AF132" s="112"/>
      <c r="AH132" s="151"/>
      <c r="AI132" s="151"/>
    </row>
    <row r="133" spans="1:35" x14ac:dyDescent="0.2">
      <c r="A133" s="74">
        <v>2024</v>
      </c>
      <c r="B133" s="75" t="s">
        <v>73</v>
      </c>
      <c r="C133" s="83"/>
      <c r="D133" s="84">
        <v>103465923.86999999</v>
      </c>
      <c r="E133" s="84"/>
      <c r="F133" s="85"/>
      <c r="G133" s="86">
        <f t="shared" ref="G133:G143" si="70">G132</f>
        <v>56797</v>
      </c>
      <c r="H133" s="84"/>
      <c r="I133" s="86">
        <f t="shared" ref="I133:I143" si="71">I132</f>
        <v>5889</v>
      </c>
      <c r="J133" s="87"/>
      <c r="K133" s="88"/>
      <c r="L133" s="86">
        <f t="shared" ref="L133:L143" si="72">L132</f>
        <v>508.5</v>
      </c>
      <c r="M133" s="87"/>
      <c r="N133" s="88"/>
      <c r="O133" s="86">
        <f t="shared" ref="O133:O143" si="73">O132</f>
        <v>4</v>
      </c>
      <c r="P133" s="84"/>
      <c r="Q133" s="86">
        <f t="shared" ref="Q133:Q143" si="74">Q132</f>
        <v>225</v>
      </c>
      <c r="R133" s="87"/>
      <c r="S133" s="89"/>
      <c r="T133" s="86">
        <f t="shared" ref="T133:T143" si="75">T132</f>
        <v>304</v>
      </c>
      <c r="U133" s="87"/>
      <c r="V133" s="88"/>
      <c r="W133" s="86">
        <f t="shared" ref="W133:W143" si="76">W132</f>
        <v>18884.5</v>
      </c>
      <c r="Y133" s="112"/>
      <c r="AA133" s="141"/>
      <c r="AB133" s="129"/>
      <c r="AE133" s="112"/>
      <c r="AF133" s="112"/>
      <c r="AH133" s="151"/>
      <c r="AI133" s="151"/>
    </row>
    <row r="134" spans="1:35" x14ac:dyDescent="0.2">
      <c r="A134" s="74">
        <v>2024</v>
      </c>
      <c r="B134" s="75" t="s">
        <v>74</v>
      </c>
      <c r="C134" s="83"/>
      <c r="D134" s="84">
        <v>104383760.00000003</v>
      </c>
      <c r="E134" s="84"/>
      <c r="F134" s="85"/>
      <c r="G134" s="86">
        <f t="shared" si="70"/>
        <v>56797</v>
      </c>
      <c r="H134" s="84"/>
      <c r="I134" s="86">
        <f t="shared" si="71"/>
        <v>5889</v>
      </c>
      <c r="J134" s="87"/>
      <c r="K134" s="88"/>
      <c r="L134" s="86">
        <f t="shared" si="72"/>
        <v>508.5</v>
      </c>
      <c r="M134" s="87"/>
      <c r="N134" s="88"/>
      <c r="O134" s="86">
        <f t="shared" si="73"/>
        <v>4</v>
      </c>
      <c r="P134" s="84"/>
      <c r="Q134" s="86">
        <f t="shared" si="74"/>
        <v>225</v>
      </c>
      <c r="R134" s="87"/>
      <c r="S134" s="89"/>
      <c r="T134" s="86">
        <f t="shared" si="75"/>
        <v>304</v>
      </c>
      <c r="U134" s="87"/>
      <c r="V134" s="88"/>
      <c r="W134" s="86">
        <f t="shared" si="76"/>
        <v>18884.5</v>
      </c>
      <c r="Y134" s="112"/>
      <c r="AA134" s="141"/>
      <c r="AB134" s="129"/>
      <c r="AE134" s="112"/>
      <c r="AF134" s="112"/>
      <c r="AH134" s="151"/>
      <c r="AI134" s="151"/>
    </row>
    <row r="135" spans="1:35" x14ac:dyDescent="0.2">
      <c r="A135" s="74">
        <v>2024</v>
      </c>
      <c r="B135" s="75" t="s">
        <v>75</v>
      </c>
      <c r="C135" s="83"/>
      <c r="D135" s="84">
        <v>96290702.249999985</v>
      </c>
      <c r="E135" s="84"/>
      <c r="F135" s="85"/>
      <c r="G135" s="86">
        <f t="shared" si="70"/>
        <v>56797</v>
      </c>
      <c r="H135" s="84"/>
      <c r="I135" s="86">
        <f t="shared" si="71"/>
        <v>5889</v>
      </c>
      <c r="J135" s="87"/>
      <c r="K135" s="88"/>
      <c r="L135" s="86">
        <f t="shared" si="72"/>
        <v>508.5</v>
      </c>
      <c r="M135" s="87"/>
      <c r="N135" s="88"/>
      <c r="O135" s="86">
        <f t="shared" si="73"/>
        <v>4</v>
      </c>
      <c r="P135" s="84"/>
      <c r="Q135" s="86">
        <f t="shared" si="74"/>
        <v>225</v>
      </c>
      <c r="R135" s="87"/>
      <c r="S135" s="89"/>
      <c r="T135" s="86">
        <f t="shared" si="75"/>
        <v>304</v>
      </c>
      <c r="U135" s="87"/>
      <c r="V135" s="88"/>
      <c r="W135" s="86">
        <f t="shared" si="76"/>
        <v>18884.5</v>
      </c>
      <c r="Y135" s="112"/>
      <c r="AA135" s="141"/>
      <c r="AB135" s="129"/>
      <c r="AE135" s="112"/>
      <c r="AF135" s="112"/>
      <c r="AH135" s="151"/>
      <c r="AI135" s="151"/>
    </row>
    <row r="136" spans="1:35" x14ac:dyDescent="0.2">
      <c r="A136" s="74">
        <v>2024</v>
      </c>
      <c r="B136" s="75" t="s">
        <v>43</v>
      </c>
      <c r="C136" s="83"/>
      <c r="D136" s="84">
        <v>103034309.11999999</v>
      </c>
      <c r="E136" s="84"/>
      <c r="F136" s="85"/>
      <c r="G136" s="86">
        <f t="shared" si="70"/>
        <v>56797</v>
      </c>
      <c r="H136" s="84"/>
      <c r="I136" s="86">
        <f t="shared" si="71"/>
        <v>5889</v>
      </c>
      <c r="J136" s="87"/>
      <c r="K136" s="88"/>
      <c r="L136" s="86">
        <f t="shared" si="72"/>
        <v>508.5</v>
      </c>
      <c r="M136" s="87"/>
      <c r="N136" s="88"/>
      <c r="O136" s="86">
        <f t="shared" si="73"/>
        <v>4</v>
      </c>
      <c r="P136" s="84"/>
      <c r="Q136" s="86">
        <f t="shared" si="74"/>
        <v>225</v>
      </c>
      <c r="R136" s="87"/>
      <c r="S136" s="89"/>
      <c r="T136" s="86">
        <f t="shared" si="75"/>
        <v>304</v>
      </c>
      <c r="U136" s="87"/>
      <c r="V136" s="88"/>
      <c r="W136" s="86">
        <f t="shared" si="76"/>
        <v>18884.5</v>
      </c>
      <c r="Y136" s="112"/>
      <c r="AA136" s="141"/>
      <c r="AB136" s="129"/>
      <c r="AE136" s="112"/>
      <c r="AF136" s="112"/>
      <c r="AH136" s="151"/>
      <c r="AI136" s="151"/>
    </row>
    <row r="137" spans="1:35" x14ac:dyDescent="0.2">
      <c r="A137" s="74">
        <v>2024</v>
      </c>
      <c r="B137" s="75" t="s">
        <v>76</v>
      </c>
      <c r="C137" s="83"/>
      <c r="D137" s="84">
        <v>115554806.21000001</v>
      </c>
      <c r="E137" s="84"/>
      <c r="F137" s="85"/>
      <c r="G137" s="86">
        <f t="shared" si="70"/>
        <v>56797</v>
      </c>
      <c r="H137" s="84"/>
      <c r="I137" s="86">
        <f t="shared" si="71"/>
        <v>5889</v>
      </c>
      <c r="J137" s="87"/>
      <c r="K137" s="88"/>
      <c r="L137" s="86">
        <f t="shared" si="72"/>
        <v>508.5</v>
      </c>
      <c r="M137" s="87"/>
      <c r="N137" s="88"/>
      <c r="O137" s="86">
        <f t="shared" si="73"/>
        <v>4</v>
      </c>
      <c r="P137" s="84"/>
      <c r="Q137" s="86">
        <f t="shared" si="74"/>
        <v>225</v>
      </c>
      <c r="R137" s="87"/>
      <c r="S137" s="89"/>
      <c r="T137" s="86">
        <f t="shared" si="75"/>
        <v>304</v>
      </c>
      <c r="U137" s="87"/>
      <c r="V137" s="88"/>
      <c r="W137" s="86">
        <f t="shared" si="76"/>
        <v>18884.5</v>
      </c>
      <c r="Y137" s="112"/>
      <c r="AA137" s="141"/>
      <c r="AB137" s="129"/>
      <c r="AE137" s="112"/>
      <c r="AF137" s="112"/>
      <c r="AH137" s="151"/>
      <c r="AI137" s="151"/>
    </row>
    <row r="138" spans="1:35" x14ac:dyDescent="0.2">
      <c r="A138" s="74">
        <v>2024</v>
      </c>
      <c r="B138" s="75" t="s">
        <v>77</v>
      </c>
      <c r="C138" s="83"/>
      <c r="D138" s="84">
        <v>127431775.88</v>
      </c>
      <c r="E138" s="84"/>
      <c r="F138" s="85"/>
      <c r="G138" s="86">
        <f t="shared" si="70"/>
        <v>56797</v>
      </c>
      <c r="H138" s="84"/>
      <c r="I138" s="86">
        <f t="shared" si="71"/>
        <v>5889</v>
      </c>
      <c r="J138" s="87"/>
      <c r="K138" s="88"/>
      <c r="L138" s="86">
        <f t="shared" si="72"/>
        <v>508.5</v>
      </c>
      <c r="M138" s="87"/>
      <c r="N138" s="88"/>
      <c r="O138" s="86">
        <f t="shared" si="73"/>
        <v>4</v>
      </c>
      <c r="P138" s="84"/>
      <c r="Q138" s="86">
        <f t="shared" si="74"/>
        <v>225</v>
      </c>
      <c r="R138" s="87"/>
      <c r="S138" s="89"/>
      <c r="T138" s="86">
        <f t="shared" si="75"/>
        <v>304</v>
      </c>
      <c r="U138" s="87"/>
      <c r="V138" s="88"/>
      <c r="W138" s="86">
        <f t="shared" si="76"/>
        <v>18884.5</v>
      </c>
      <c r="Y138" s="112"/>
      <c r="AA138" s="141"/>
      <c r="AB138" s="129"/>
      <c r="AE138" s="112"/>
      <c r="AF138" s="112"/>
      <c r="AH138" s="151"/>
      <c r="AI138" s="151"/>
    </row>
    <row r="139" spans="1:35" x14ac:dyDescent="0.2">
      <c r="A139" s="74">
        <v>2024</v>
      </c>
      <c r="B139" s="75" t="s">
        <v>78</v>
      </c>
      <c r="C139" s="83"/>
      <c r="D139" s="84">
        <v>124968723.37</v>
      </c>
      <c r="E139" s="84"/>
      <c r="F139" s="85"/>
      <c r="G139" s="86">
        <f t="shared" si="70"/>
        <v>56797</v>
      </c>
      <c r="H139" s="84"/>
      <c r="I139" s="86">
        <f t="shared" si="71"/>
        <v>5889</v>
      </c>
      <c r="J139" s="87"/>
      <c r="K139" s="88"/>
      <c r="L139" s="86">
        <f t="shared" si="72"/>
        <v>508.5</v>
      </c>
      <c r="M139" s="87"/>
      <c r="N139" s="88"/>
      <c r="O139" s="86">
        <f t="shared" si="73"/>
        <v>4</v>
      </c>
      <c r="P139" s="84"/>
      <c r="Q139" s="86">
        <f t="shared" si="74"/>
        <v>225</v>
      </c>
      <c r="R139" s="87"/>
      <c r="S139" s="89"/>
      <c r="T139" s="86">
        <f t="shared" si="75"/>
        <v>304</v>
      </c>
      <c r="U139" s="87"/>
      <c r="V139" s="88"/>
      <c r="W139" s="86">
        <f t="shared" si="76"/>
        <v>18884.5</v>
      </c>
      <c r="Y139" s="112"/>
      <c r="AA139" s="141"/>
      <c r="AB139" s="129"/>
      <c r="AE139" s="112"/>
      <c r="AF139" s="112"/>
      <c r="AH139" s="151"/>
      <c r="AI139" s="151"/>
    </row>
    <row r="140" spans="1:35" x14ac:dyDescent="0.2">
      <c r="A140" s="74">
        <v>2024</v>
      </c>
      <c r="B140" s="75" t="s">
        <v>79</v>
      </c>
      <c r="C140" s="83"/>
      <c r="D140" s="84">
        <v>110181971.18999998</v>
      </c>
      <c r="E140" s="84"/>
      <c r="F140" s="85"/>
      <c r="G140" s="86">
        <f t="shared" si="70"/>
        <v>56797</v>
      </c>
      <c r="H140" s="84"/>
      <c r="I140" s="86">
        <f t="shared" si="71"/>
        <v>5889</v>
      </c>
      <c r="J140" s="87"/>
      <c r="K140" s="88"/>
      <c r="L140" s="86">
        <f t="shared" si="72"/>
        <v>508.5</v>
      </c>
      <c r="M140" s="87"/>
      <c r="N140" s="88"/>
      <c r="O140" s="86">
        <f t="shared" si="73"/>
        <v>4</v>
      </c>
      <c r="P140" s="84"/>
      <c r="Q140" s="86">
        <f t="shared" si="74"/>
        <v>225</v>
      </c>
      <c r="R140" s="87"/>
      <c r="S140" s="89"/>
      <c r="T140" s="86">
        <f t="shared" si="75"/>
        <v>304</v>
      </c>
      <c r="U140" s="87"/>
      <c r="V140" s="88"/>
      <c r="W140" s="86">
        <f t="shared" si="76"/>
        <v>18884.5</v>
      </c>
      <c r="Y140" s="112"/>
      <c r="AA140" s="141"/>
      <c r="AB140" s="129"/>
      <c r="AE140" s="112"/>
      <c r="AF140" s="112"/>
      <c r="AH140" s="151"/>
      <c r="AI140" s="151"/>
    </row>
    <row r="141" spans="1:35" x14ac:dyDescent="0.2">
      <c r="A141" s="74">
        <v>2024</v>
      </c>
      <c r="B141" s="75" t="s">
        <v>80</v>
      </c>
      <c r="C141" s="83"/>
      <c r="D141" s="84">
        <v>99255142.859999985</v>
      </c>
      <c r="E141" s="84"/>
      <c r="F141" s="85"/>
      <c r="G141" s="86">
        <f t="shared" si="70"/>
        <v>56797</v>
      </c>
      <c r="H141" s="84"/>
      <c r="I141" s="86">
        <f t="shared" si="71"/>
        <v>5889</v>
      </c>
      <c r="J141" s="87"/>
      <c r="K141" s="88"/>
      <c r="L141" s="86">
        <f t="shared" si="72"/>
        <v>508.5</v>
      </c>
      <c r="M141" s="87"/>
      <c r="N141" s="88"/>
      <c r="O141" s="86">
        <f t="shared" si="73"/>
        <v>4</v>
      </c>
      <c r="P141" s="84"/>
      <c r="Q141" s="86">
        <f t="shared" si="74"/>
        <v>225</v>
      </c>
      <c r="R141" s="87"/>
      <c r="S141" s="89"/>
      <c r="T141" s="86">
        <f t="shared" si="75"/>
        <v>304</v>
      </c>
      <c r="U141" s="87"/>
      <c r="V141" s="89"/>
      <c r="W141" s="86">
        <f t="shared" si="76"/>
        <v>18884.5</v>
      </c>
      <c r="Y141" s="112"/>
      <c r="AA141" s="141"/>
      <c r="AB141" s="129"/>
      <c r="AE141" s="112"/>
      <c r="AF141" s="112"/>
      <c r="AH141" s="151"/>
      <c r="AI141" s="151"/>
    </row>
    <row r="142" spans="1:35" x14ac:dyDescent="0.2">
      <c r="A142" s="74">
        <v>2024</v>
      </c>
      <c r="B142" s="75" t="s">
        <v>81</v>
      </c>
      <c r="C142" s="83"/>
      <c r="D142" s="84">
        <v>100050319.93000001</v>
      </c>
      <c r="E142" s="84"/>
      <c r="F142" s="85"/>
      <c r="G142" s="86">
        <f t="shared" si="70"/>
        <v>56797</v>
      </c>
      <c r="H142" s="84"/>
      <c r="I142" s="86">
        <f t="shared" si="71"/>
        <v>5889</v>
      </c>
      <c r="J142" s="87"/>
      <c r="K142" s="88"/>
      <c r="L142" s="86">
        <f t="shared" si="72"/>
        <v>508.5</v>
      </c>
      <c r="M142" s="87"/>
      <c r="N142" s="88"/>
      <c r="O142" s="86">
        <f t="shared" si="73"/>
        <v>4</v>
      </c>
      <c r="P142" s="84"/>
      <c r="Q142" s="86">
        <f t="shared" si="74"/>
        <v>225</v>
      </c>
      <c r="R142" s="87"/>
      <c r="S142" s="89"/>
      <c r="T142" s="86">
        <f t="shared" si="75"/>
        <v>304</v>
      </c>
      <c r="U142" s="87"/>
      <c r="V142" s="89"/>
      <c r="W142" s="86">
        <f t="shared" si="76"/>
        <v>18884.5</v>
      </c>
      <c r="Y142" s="112"/>
      <c r="AA142" s="141"/>
      <c r="AB142" s="129"/>
      <c r="AE142" s="112"/>
      <c r="AF142" s="112"/>
      <c r="AH142" s="151"/>
      <c r="AI142" s="151"/>
    </row>
    <row r="143" spans="1:35" ht="13.5" thickBot="1" x14ac:dyDescent="0.25">
      <c r="A143" s="74">
        <v>2024</v>
      </c>
      <c r="B143" s="75" t="s">
        <v>82</v>
      </c>
      <c r="C143" s="83"/>
      <c r="D143" s="90">
        <v>109118061.53199999</v>
      </c>
      <c r="E143" s="90"/>
      <c r="F143" s="153">
        <v>452835509.43999988</v>
      </c>
      <c r="G143" s="91">
        <f t="shared" si="70"/>
        <v>56797</v>
      </c>
      <c r="H143" s="90">
        <v>165653053.61000001</v>
      </c>
      <c r="I143" s="91">
        <f t="shared" si="71"/>
        <v>5889</v>
      </c>
      <c r="J143" s="154">
        <v>525118764.23000008</v>
      </c>
      <c r="K143" s="155">
        <v>1416608.47</v>
      </c>
      <c r="L143" s="91">
        <f t="shared" si="72"/>
        <v>508.5</v>
      </c>
      <c r="M143" s="154">
        <v>108051126.57999998</v>
      </c>
      <c r="N143" s="155">
        <v>256331.52999999997</v>
      </c>
      <c r="O143" s="91">
        <f t="shared" si="73"/>
        <v>4</v>
      </c>
      <c r="P143" s="90">
        <v>1238523</v>
      </c>
      <c r="Q143" s="91">
        <f t="shared" si="74"/>
        <v>225</v>
      </c>
      <c r="R143" s="154">
        <v>358166</v>
      </c>
      <c r="S143" s="156">
        <v>855.48759471555218</v>
      </c>
      <c r="T143" s="91">
        <f t="shared" si="75"/>
        <v>304</v>
      </c>
      <c r="U143" s="154">
        <v>5361272.29</v>
      </c>
      <c r="V143" s="156">
        <v>15532.919999999998</v>
      </c>
      <c r="W143" s="91">
        <f t="shared" si="76"/>
        <v>18884.5</v>
      </c>
      <c r="X143" s="112"/>
      <c r="Y143" s="112"/>
      <c r="AA143" s="141"/>
      <c r="AB143" s="129"/>
      <c r="AE143" s="112"/>
      <c r="AF143" s="112"/>
      <c r="AH143" s="151"/>
      <c r="AI143" s="152"/>
    </row>
    <row r="144" spans="1:35" x14ac:dyDescent="0.2">
      <c r="AE144" s="112"/>
      <c r="AF144" s="150"/>
    </row>
    <row r="145" spans="10:32" x14ac:dyDescent="0.2">
      <c r="AE145" s="112"/>
      <c r="AF145" s="112"/>
    </row>
    <row r="146" spans="10:32" x14ac:dyDescent="0.2">
      <c r="AE146" s="112"/>
      <c r="AF146" s="112"/>
    </row>
    <row r="147" spans="10:32" x14ac:dyDescent="0.2">
      <c r="J147" s="112"/>
      <c r="AE147" s="112"/>
      <c r="AF147" s="112"/>
    </row>
    <row r="148" spans="10:32" x14ac:dyDescent="0.2">
      <c r="AE148" s="112"/>
      <c r="AF148" s="112"/>
    </row>
    <row r="149" spans="10:32" x14ac:dyDescent="0.2">
      <c r="AE149" s="112"/>
      <c r="AF149" s="112"/>
    </row>
    <row r="150" spans="10:32" x14ac:dyDescent="0.2">
      <c r="AE150" s="112"/>
      <c r="AF150" s="112"/>
    </row>
    <row r="151" spans="10:32" x14ac:dyDescent="0.2">
      <c r="AE151" s="112"/>
      <c r="AF151" s="112"/>
    </row>
    <row r="152" spans="10:32" x14ac:dyDescent="0.2">
      <c r="AE152" s="112"/>
      <c r="AF152" s="112"/>
    </row>
    <row r="153" spans="10:32" x14ac:dyDescent="0.2">
      <c r="AE153" s="112"/>
      <c r="AF153" s="112"/>
    </row>
    <row r="154" spans="10:32" x14ac:dyDescent="0.2">
      <c r="AE154" s="112"/>
      <c r="AF154" s="112"/>
    </row>
    <row r="155" spans="10:32" x14ac:dyDescent="0.2">
      <c r="AE155" s="112"/>
      <c r="AF155" s="112"/>
    </row>
    <row r="156" spans="10:32" x14ac:dyDescent="0.2">
      <c r="AE156" s="112"/>
      <c r="AF156" s="150"/>
    </row>
    <row r="157" spans="10:32" x14ac:dyDescent="0.2">
      <c r="AE157" s="112"/>
      <c r="AF157" s="112"/>
    </row>
    <row r="158" spans="10:32" x14ac:dyDescent="0.2">
      <c r="AE158" s="112"/>
      <c r="AF158" s="112"/>
    </row>
    <row r="159" spans="10:32" x14ac:dyDescent="0.2">
      <c r="AE159" s="112"/>
      <c r="AF159" s="112"/>
    </row>
    <row r="160" spans="10:32" x14ac:dyDescent="0.2">
      <c r="AE160" s="112"/>
      <c r="AF160" s="112"/>
    </row>
    <row r="161" spans="31:32" x14ac:dyDescent="0.2">
      <c r="AE161" s="112"/>
      <c r="AF161" s="112"/>
    </row>
    <row r="162" spans="31:32" x14ac:dyDescent="0.2">
      <c r="AE162" s="112"/>
      <c r="AF162" s="112"/>
    </row>
    <row r="163" spans="31:32" x14ac:dyDescent="0.2">
      <c r="AE163" s="112"/>
      <c r="AF163" s="112"/>
    </row>
    <row r="164" spans="31:32" x14ac:dyDescent="0.2">
      <c r="AE164" s="112"/>
      <c r="AF164" s="112"/>
    </row>
    <row r="165" spans="31:32" x14ac:dyDescent="0.2">
      <c r="AE165" s="112"/>
      <c r="AF165" s="112"/>
    </row>
    <row r="166" spans="31:32" x14ac:dyDescent="0.2">
      <c r="AE166" s="112"/>
      <c r="AF166" s="112"/>
    </row>
    <row r="167" spans="31:32" x14ac:dyDescent="0.2">
      <c r="AE167" s="112"/>
      <c r="AF167" s="112"/>
    </row>
    <row r="168" spans="31:32" x14ac:dyDescent="0.2">
      <c r="AE168" s="112"/>
      <c r="AF168" s="150"/>
    </row>
  </sheetData>
  <sheetProtection selectLockedCells="1" selectUnlockedCells="1"/>
  <mergeCells count="11">
    <mergeCell ref="A3:H3"/>
    <mergeCell ref="F20:W20"/>
    <mergeCell ref="A20:B20"/>
    <mergeCell ref="D20:E20"/>
    <mergeCell ref="U21:W21"/>
    <mergeCell ref="F21:G21"/>
    <mergeCell ref="H21:I21"/>
    <mergeCell ref="J21:L21"/>
    <mergeCell ref="P21:Q21"/>
    <mergeCell ref="R21:T21"/>
    <mergeCell ref="M21:O21"/>
  </mergeCells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77"/>
  <sheetViews>
    <sheetView tabSelected="1" zoomScale="90" zoomScaleNormal="9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O15" sqref="O15"/>
    </sheetView>
  </sheetViews>
  <sheetFormatPr defaultRowHeight="12.75" x14ac:dyDescent="0.2"/>
  <cols>
    <col min="1" max="1" width="42.5703125" customWidth="1"/>
    <col min="2" max="10" width="13.5703125" customWidth="1"/>
    <col min="11" max="13" width="13.5703125" bestFit="1" customWidth="1"/>
    <col min="14" max="14" width="12" bestFit="1" customWidth="1"/>
    <col min="15" max="15" width="11" customWidth="1"/>
  </cols>
  <sheetData>
    <row r="1" spans="1:14" ht="15.75" x14ac:dyDescent="0.25">
      <c r="A1" s="23" t="s">
        <v>105</v>
      </c>
    </row>
    <row r="2" spans="1:14" x14ac:dyDescent="0.2">
      <c r="L2" s="25" t="s">
        <v>106</v>
      </c>
      <c r="M2" s="25" t="s">
        <v>107</v>
      </c>
    </row>
    <row r="3" spans="1:14" ht="25.5" x14ac:dyDescent="0.2">
      <c r="B3" s="25" t="s">
        <v>87</v>
      </c>
      <c r="C3" s="25" t="s">
        <v>109</v>
      </c>
      <c r="D3" s="25" t="s">
        <v>110</v>
      </c>
      <c r="E3" s="25" t="s">
        <v>111</v>
      </c>
      <c r="F3" s="25" t="s">
        <v>112</v>
      </c>
      <c r="G3" s="25" t="s">
        <v>113</v>
      </c>
      <c r="H3" s="25" t="s">
        <v>60</v>
      </c>
      <c r="I3" s="25" t="s">
        <v>61</v>
      </c>
      <c r="J3" s="25" t="s">
        <v>97</v>
      </c>
      <c r="K3" s="25" t="s">
        <v>108</v>
      </c>
      <c r="L3" s="25" t="s">
        <v>86</v>
      </c>
      <c r="M3" s="25" t="s">
        <v>86</v>
      </c>
    </row>
    <row r="4" spans="1:14" x14ac:dyDescent="0.2">
      <c r="A4" s="11" t="s">
        <v>38</v>
      </c>
      <c r="B4" s="18">
        <f>+'Power Purchased Model'!B152</f>
        <v>1231015857.4130769</v>
      </c>
      <c r="C4" s="18">
        <f>+'Power Purchased Model'!B153</f>
        <v>1210096646.9295385</v>
      </c>
      <c r="D4" s="18">
        <f>+'Power Purchased Model'!B154</f>
        <v>1188982964.0009999</v>
      </c>
      <c r="E4" s="18">
        <f>+'Power Purchased Model'!B155</f>
        <v>1250101306.4174209</v>
      </c>
      <c r="F4" s="18">
        <f>+'Power Purchased Model'!B156</f>
        <v>1224321309.6899998</v>
      </c>
      <c r="G4" s="18">
        <f>+'Power Purchased Model'!B157</f>
        <v>1208016677.0331349</v>
      </c>
      <c r="H4" s="18">
        <f>+'Power Purchased Model'!B158</f>
        <v>1247990626.4064798</v>
      </c>
      <c r="I4" s="18">
        <f>+'Power Purchased Model'!B159</f>
        <v>1291380740</v>
      </c>
      <c r="J4" s="18">
        <f>+'Power Purchased Model'!B160</f>
        <v>1271943858.9100001</v>
      </c>
      <c r="K4" s="18">
        <f>+'Power Purchased Model'!B161</f>
        <v>1308625063.9620001</v>
      </c>
    </row>
    <row r="5" spans="1:14" x14ac:dyDescent="0.2">
      <c r="A5" s="11" t="s">
        <v>39</v>
      </c>
      <c r="B5" s="18">
        <f>+'Power Purchased Model'!I152</f>
        <v>1199063315.6184342</v>
      </c>
      <c r="C5" s="18">
        <f>+'Power Purchased Model'!I153</f>
        <v>1234463415.012821</v>
      </c>
      <c r="D5" s="18">
        <f>+'Power Purchased Model'!I154</f>
        <v>1213060463.1429799</v>
      </c>
      <c r="E5" s="18">
        <f>+'Power Purchased Model'!I155</f>
        <v>1265520593.3952279</v>
      </c>
      <c r="F5" s="18">
        <f>+'Power Purchased Model'!I156</f>
        <v>1234831313.4750786</v>
      </c>
      <c r="G5" s="18">
        <f>+'Power Purchased Model'!I157</f>
        <v>1193727392.6835506</v>
      </c>
      <c r="H5" s="18">
        <f>+'Power Purchased Model'!I158</f>
        <v>1245247088.4116158</v>
      </c>
      <c r="I5" s="18">
        <f>+'Power Purchased Model'!I159</f>
        <v>1293544336.379257</v>
      </c>
      <c r="J5" s="18">
        <f>+'Power Purchased Model'!I160</f>
        <v>1274798029.3695586</v>
      </c>
      <c r="K5" s="18">
        <f>+'Power Purchased Model'!I161</f>
        <v>1278219103.2741249</v>
      </c>
      <c r="L5" s="18">
        <f>+'Power Purchased Model'!I162</f>
        <v>1282056223.6225464</v>
      </c>
      <c r="M5" s="18">
        <f>+'Power Purchased Model'!I163</f>
        <v>1275076683.9281175</v>
      </c>
    </row>
    <row r="6" spans="1:14" x14ac:dyDescent="0.2">
      <c r="A6" s="11" t="s">
        <v>4</v>
      </c>
      <c r="B6" s="24">
        <f t="shared" ref="B6:K6" si="0">(B5-B4)/B4</f>
        <v>-2.5956238989308784E-2</v>
      </c>
      <c r="C6" s="24">
        <f t="shared" si="0"/>
        <v>2.0136216512218218E-2</v>
      </c>
      <c r="D6" s="24">
        <f t="shared" si="0"/>
        <v>2.0250499688370373E-2</v>
      </c>
      <c r="E6" s="24">
        <f t="shared" si="0"/>
        <v>1.2334429936719382E-2</v>
      </c>
      <c r="F6" s="24">
        <f t="shared" si="0"/>
        <v>8.5843509394930937E-3</v>
      </c>
      <c r="G6" s="24">
        <f t="shared" si="0"/>
        <v>-1.1828714471623472E-2</v>
      </c>
      <c r="H6" s="24">
        <f t="shared" si="0"/>
        <v>-2.1983642639719606E-3</v>
      </c>
      <c r="I6" s="24">
        <f t="shared" si="0"/>
        <v>1.6754132319310908E-3</v>
      </c>
      <c r="J6" s="24">
        <f t="shared" si="0"/>
        <v>2.2439437397845418E-3</v>
      </c>
      <c r="K6" s="24">
        <f t="shared" si="0"/>
        <v>-2.32350438068319E-2</v>
      </c>
    </row>
    <row r="7" spans="1:14" x14ac:dyDescent="0.2">
      <c r="A7" s="11"/>
      <c r="B7" s="24"/>
      <c r="C7" s="24"/>
      <c r="D7" s="24"/>
      <c r="E7" s="24"/>
      <c r="F7" s="24"/>
      <c r="G7" s="24"/>
      <c r="H7" s="24"/>
      <c r="I7" s="24"/>
      <c r="J7" s="24"/>
      <c r="K7" s="24"/>
      <c r="L7" s="18"/>
      <c r="M7" s="18"/>
    </row>
    <row r="8" spans="1:14" x14ac:dyDescent="0.2">
      <c r="A8" s="11"/>
      <c r="B8" s="24"/>
      <c r="C8" s="24"/>
      <c r="D8" s="24"/>
      <c r="E8" s="24"/>
      <c r="F8" s="24"/>
      <c r="G8" s="24"/>
      <c r="H8" s="24"/>
      <c r="I8" s="24"/>
      <c r="J8" s="24"/>
      <c r="K8" s="24"/>
      <c r="L8" s="30"/>
      <c r="M8" s="30"/>
    </row>
    <row r="9" spans="1:14" x14ac:dyDescent="0.2">
      <c r="A9" s="11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4" x14ac:dyDescent="0.2">
      <c r="A10" s="11" t="s">
        <v>49</v>
      </c>
      <c r="B10" s="5">
        <f>'Rate Class Energy Model'!G3</f>
        <v>1148834612.5799999</v>
      </c>
      <c r="C10" s="5">
        <f>'Rate Class Energy Model'!G4</f>
        <v>1164182008.5108311</v>
      </c>
      <c r="D10" s="5">
        <f>'Rate Class Energy Model'!G5</f>
        <v>1150940105.9500003</v>
      </c>
      <c r="E10" s="5">
        <f>'Rate Class Energy Model'!G6</f>
        <v>1205049799.5299997</v>
      </c>
      <c r="F10" s="5">
        <f>'Rate Class Energy Model'!G7</f>
        <v>1172895488.78</v>
      </c>
      <c r="G10" s="5">
        <f>'Rate Class Energy Model'!G8</f>
        <v>1159425253.5500002</v>
      </c>
      <c r="H10" s="5">
        <f>'Rate Class Energy Model'!G9</f>
        <v>1199960376.74</v>
      </c>
      <c r="I10" s="5">
        <f>'Rate Class Energy Model'!G10</f>
        <v>1243292924.8500001</v>
      </c>
      <c r="J10" s="5">
        <f>'Rate Class Energy Model'!G11</f>
        <v>1223014611.48</v>
      </c>
      <c r="K10" s="5">
        <f>'Rate Class Energy Model'!G12</f>
        <v>1258616415.1499999</v>
      </c>
      <c r="L10" s="5">
        <f>'Rate Class Energy Model'!G31</f>
        <v>1229717868.7081606</v>
      </c>
      <c r="M10" s="5">
        <f>'Rate Class Energy Model'!G32</f>
        <v>1223023260.0635059</v>
      </c>
    </row>
    <row r="11" spans="1:14" x14ac:dyDescent="0.2">
      <c r="A11" s="11"/>
      <c r="L11" s="50"/>
      <c r="M11" s="5"/>
    </row>
    <row r="12" spans="1:14" ht="15.75" x14ac:dyDescent="0.25">
      <c r="A12" s="23" t="s">
        <v>40</v>
      </c>
      <c r="C12" s="1"/>
      <c r="E12" s="1"/>
      <c r="H12" s="30"/>
    </row>
    <row r="13" spans="1:14" x14ac:dyDescent="0.2">
      <c r="A13" s="22" t="str">
        <f>'Rate Class Energy Model'!H2</f>
        <v>Residential</v>
      </c>
      <c r="C13" s="1"/>
      <c r="D13" s="1"/>
      <c r="E13" s="1"/>
      <c r="H13" s="5"/>
      <c r="I13" s="5"/>
      <c r="J13" s="5"/>
      <c r="K13" s="5"/>
      <c r="L13" s="5"/>
      <c r="M13" s="5"/>
    </row>
    <row r="14" spans="1:14" x14ac:dyDescent="0.2">
      <c r="A14" t="s">
        <v>32</v>
      </c>
      <c r="B14" s="5">
        <f>'Rate Class Customer Model'!B3</f>
        <v>50511.5</v>
      </c>
      <c r="C14" s="5">
        <f>'Rate Class Customer Model'!B4</f>
        <v>51680.5</v>
      </c>
      <c r="D14" s="5">
        <f>'Rate Class Customer Model'!B5</f>
        <v>52149</v>
      </c>
      <c r="E14" s="5">
        <f>'Rate Class Customer Model'!B6</f>
        <v>52685.5</v>
      </c>
      <c r="F14" s="5">
        <f>'Rate Class Customer Model'!B7</f>
        <v>53245</v>
      </c>
      <c r="G14" s="5">
        <f>'Rate Class Customer Model'!B8</f>
        <v>53932.5</v>
      </c>
      <c r="H14" s="5">
        <f>'Rate Class Customer Model'!B9</f>
        <v>54770.5</v>
      </c>
      <c r="I14" s="5">
        <f>'Rate Class Customer Model'!B10</f>
        <v>55652</v>
      </c>
      <c r="J14" s="5">
        <f>'Rate Class Customer Model'!B11</f>
        <v>56302</v>
      </c>
      <c r="K14" s="5">
        <f>'Rate Class Customer Model'!B12</f>
        <v>56797</v>
      </c>
      <c r="L14" s="5">
        <f>'Rate Class Customer Model'!B13</f>
        <v>57541.987197835493</v>
      </c>
      <c r="M14" s="5">
        <f>'Rate Class Customer Model'!B14</f>
        <v>58296.746142857257</v>
      </c>
      <c r="N14" s="144"/>
    </row>
    <row r="15" spans="1:14" x14ac:dyDescent="0.2">
      <c r="A15" t="s">
        <v>33</v>
      </c>
      <c r="B15" s="5">
        <f>'Rate Class Energy Model'!H3</f>
        <v>396832649.18000001</v>
      </c>
      <c r="C15" s="5">
        <f>'Rate Class Energy Model'!H4</f>
        <v>405183154.93929309</v>
      </c>
      <c r="D15" s="5">
        <f>'Rate Class Energy Model'!H5</f>
        <v>387000724.86000001</v>
      </c>
      <c r="E15" s="29">
        <f>'Rate Class Energy Model'!H6</f>
        <v>425242692</v>
      </c>
      <c r="F15" s="5">
        <f>'Rate Class Energy Model'!H7</f>
        <v>411936659</v>
      </c>
      <c r="G15" s="5">
        <f>'Rate Class Energy Model'!H8</f>
        <v>439168361</v>
      </c>
      <c r="H15" s="5">
        <f>'Rate Class Energy Model'!H9</f>
        <v>447806289</v>
      </c>
      <c r="I15" s="5">
        <f>'Rate Class Energy Model'!H10</f>
        <v>447775679</v>
      </c>
      <c r="J15" s="5">
        <f>'Rate Class Energy Model'!H11</f>
        <v>429855844</v>
      </c>
      <c r="K15" s="5">
        <f>'Rate Class Energy Model'!H12</f>
        <v>452835509.43999988</v>
      </c>
      <c r="L15" s="5">
        <f>'Rate Class Energy Model'!H31</f>
        <v>444972212.90665436</v>
      </c>
      <c r="M15" s="5">
        <f>'Rate Class Energy Model'!H32</f>
        <v>448377107.1259684</v>
      </c>
      <c r="N15" s="144"/>
    </row>
    <row r="16" spans="1:14" x14ac:dyDescent="0.2">
      <c r="C16" s="29"/>
      <c r="F16" s="30"/>
      <c r="G16" s="30"/>
      <c r="I16" s="30"/>
      <c r="J16" s="30"/>
      <c r="K16" s="30"/>
      <c r="L16" s="30"/>
      <c r="M16" s="30"/>
      <c r="N16" s="144"/>
    </row>
    <row r="17" spans="1:14" x14ac:dyDescent="0.2">
      <c r="A17" s="22" t="str">
        <f>'Rate Class Energy Model'!I2</f>
        <v>General Service &lt; 50 kW</v>
      </c>
      <c r="C17" s="41"/>
      <c r="D17" s="1"/>
      <c r="E17" s="1"/>
      <c r="F17" s="1"/>
      <c r="G17" s="5"/>
      <c r="H17" s="5"/>
      <c r="I17" s="5"/>
      <c r="J17" s="5"/>
      <c r="K17" s="5"/>
      <c r="L17" s="5"/>
      <c r="M17" s="5"/>
      <c r="N17" s="157"/>
    </row>
    <row r="18" spans="1:14" ht="13.5" customHeight="1" x14ac:dyDescent="0.2">
      <c r="A18" t="s">
        <v>32</v>
      </c>
      <c r="B18" s="5">
        <f>'Rate Class Customer Model'!C3</f>
        <v>5527</v>
      </c>
      <c r="C18" s="5">
        <f>'Rate Class Customer Model'!C4</f>
        <v>5637.5</v>
      </c>
      <c r="D18" s="5">
        <f>'Rate Class Customer Model'!C5</f>
        <v>5654.5</v>
      </c>
      <c r="E18" s="5">
        <f>'Rate Class Customer Model'!C6</f>
        <v>5686</v>
      </c>
      <c r="F18" s="5">
        <f>'Rate Class Customer Model'!C7</f>
        <v>5693.5</v>
      </c>
      <c r="G18" s="5">
        <f>'Rate Class Customer Model'!C8</f>
        <v>5703.5</v>
      </c>
      <c r="H18" s="5">
        <f>'Rate Class Customer Model'!C9</f>
        <v>5732</v>
      </c>
      <c r="I18" s="5">
        <f>'Rate Class Customer Model'!C10</f>
        <v>5798.5</v>
      </c>
      <c r="J18" s="5">
        <f>'Rate Class Customer Model'!C11</f>
        <v>5860</v>
      </c>
      <c r="K18" s="5">
        <f>'Rate Class Customer Model'!C12</f>
        <v>5889</v>
      </c>
      <c r="L18" s="5">
        <f>'Rate Class Customer Model'!C13</f>
        <v>5930.6582333784327</v>
      </c>
      <c r="M18" s="5">
        <f>'Rate Class Customer Model'!C14</f>
        <v>5972.6111531905917</v>
      </c>
      <c r="N18" s="144"/>
    </row>
    <row r="19" spans="1:14" x14ac:dyDescent="0.2">
      <c r="A19" t="s">
        <v>33</v>
      </c>
      <c r="B19" s="5">
        <f>'Rate Class Energy Model'!I3</f>
        <v>152529020.18000001</v>
      </c>
      <c r="C19" s="5">
        <f>'Rate Class Energy Model'!I4</f>
        <v>152498210.56566197</v>
      </c>
      <c r="D19" s="5">
        <f>'Rate Class Energy Model'!I5</f>
        <v>152138066.16999999</v>
      </c>
      <c r="E19" s="5">
        <f>'Rate Class Energy Model'!I6</f>
        <v>158043644</v>
      </c>
      <c r="F19" s="5">
        <f>'Rate Class Energy Model'!I7</f>
        <v>153655138</v>
      </c>
      <c r="G19" s="5">
        <f>'Rate Class Energy Model'!I8</f>
        <v>143543988</v>
      </c>
      <c r="H19" s="5">
        <f>'Rate Class Energy Model'!I9</f>
        <v>153599300</v>
      </c>
      <c r="I19" s="5">
        <f>'Rate Class Energy Model'!I10</f>
        <v>158958811</v>
      </c>
      <c r="J19" s="5">
        <f>'Rate Class Energy Model'!I11</f>
        <v>159307883</v>
      </c>
      <c r="K19" s="5">
        <f>'Rate Class Energy Model'!I12</f>
        <v>165653053.61000001</v>
      </c>
      <c r="L19" s="5">
        <f>'Rate Class Energy Model'!I31</f>
        <v>161805673.95154744</v>
      </c>
      <c r="M19" s="5">
        <f>'Rate Class Energy Model'!I32</f>
        <v>162071320.30087325</v>
      </c>
      <c r="N19" s="144"/>
    </row>
    <row r="20" spans="1:14" x14ac:dyDescent="0.2">
      <c r="B20" s="5"/>
      <c r="C20" s="1"/>
      <c r="G20" s="30"/>
      <c r="I20" s="30"/>
      <c r="J20" s="30"/>
      <c r="K20" s="30"/>
      <c r="L20" s="30"/>
      <c r="M20" s="30"/>
      <c r="N20" s="157"/>
    </row>
    <row r="21" spans="1:14" x14ac:dyDescent="0.2">
      <c r="A21" s="22" t="str">
        <f>'Rate Class Energy Model'!J2</f>
        <v>General Service &gt; 50 to 4999 kW</v>
      </c>
      <c r="B21" s="5"/>
      <c r="C21" s="1"/>
      <c r="D21" s="1"/>
      <c r="E21" s="1"/>
      <c r="F21" s="1"/>
      <c r="N21" s="157"/>
    </row>
    <row r="22" spans="1:14" x14ac:dyDescent="0.2">
      <c r="A22" t="s">
        <v>32</v>
      </c>
      <c r="B22" s="5">
        <f>'Rate Class Customer Model'!D3</f>
        <v>597.5</v>
      </c>
      <c r="C22" s="5">
        <f>'Rate Class Customer Model'!D4</f>
        <v>583.5</v>
      </c>
      <c r="D22" s="5">
        <f>'Rate Class Customer Model'!D5</f>
        <v>562.5</v>
      </c>
      <c r="E22" s="5">
        <f>'Rate Class Customer Model'!D6</f>
        <v>549</v>
      </c>
      <c r="F22" s="5">
        <f>'Rate Class Customer Model'!D7</f>
        <v>556.5</v>
      </c>
      <c r="G22" s="5">
        <f>'Rate Class Customer Model'!D8</f>
        <v>559.5</v>
      </c>
      <c r="H22" s="5">
        <f>'Rate Class Customer Model'!D9</f>
        <v>541.5</v>
      </c>
      <c r="I22" s="5">
        <f>'Rate Class Customer Model'!D10</f>
        <v>521</v>
      </c>
      <c r="J22" s="5">
        <f>'Rate Class Customer Model'!D11</f>
        <v>512</v>
      </c>
      <c r="K22" s="5">
        <f>'Rate Class Customer Model'!D12</f>
        <v>508.5</v>
      </c>
      <c r="L22" s="5">
        <f>'Rate Class Customer Model'!D13</f>
        <v>499.46833760326018</v>
      </c>
      <c r="M22" s="5">
        <f>'Rate Class Customer Model'!D14</f>
        <v>490.5970900062228</v>
      </c>
      <c r="N22" s="144"/>
    </row>
    <row r="23" spans="1:14" x14ac:dyDescent="0.2">
      <c r="A23" t="s">
        <v>33</v>
      </c>
      <c r="B23" s="5">
        <f>'Rate Class Energy Model'!J3</f>
        <v>526568935.87000006</v>
      </c>
      <c r="C23" s="5">
        <f>'Rate Class Energy Model'!J4</f>
        <v>527388658.34421581</v>
      </c>
      <c r="D23" s="5">
        <f>'Rate Class Energy Model'!J5</f>
        <v>535305319.84000009</v>
      </c>
      <c r="E23" s="5">
        <f>'Rate Class Energy Model'!J6</f>
        <v>535709795.42999995</v>
      </c>
      <c r="F23" s="5">
        <f>'Rate Class Energy Model'!J7</f>
        <v>517080386.50000006</v>
      </c>
      <c r="G23" s="5">
        <f>'Rate Class Energy Model'!J8</f>
        <v>492213122.17000002</v>
      </c>
      <c r="H23" s="5">
        <f>'Rate Class Energy Model'!J9</f>
        <v>509952255.57999998</v>
      </c>
      <c r="I23" s="5">
        <f>'Rate Class Energy Model'!J10</f>
        <v>527626633.36000001</v>
      </c>
      <c r="J23" s="5">
        <f>'Rate Class Energy Model'!J11</f>
        <v>523144015.48000002</v>
      </c>
      <c r="K23" s="5">
        <f>'Rate Class Energy Model'!J12</f>
        <v>525118764.23000008</v>
      </c>
      <c r="L23" s="5">
        <f>'Rate Class Energy Model'!J31</f>
        <v>507933867.69208497</v>
      </c>
      <c r="M23" s="5">
        <f>'Rate Class Energy Model'!J32</f>
        <v>497570107.03472197</v>
      </c>
      <c r="N23" s="144"/>
    </row>
    <row r="24" spans="1:14" x14ac:dyDescent="0.2">
      <c r="A24" t="s">
        <v>34</v>
      </c>
      <c r="B24" s="5">
        <f>'Rate Class Load Model'!B2</f>
        <v>1406752.2499999998</v>
      </c>
      <c r="C24" s="5">
        <f>'Rate Class Load Model'!B3</f>
        <v>1384770.92</v>
      </c>
      <c r="D24" s="5">
        <f>'Rate Class Load Model'!B4</f>
        <v>1472726.2</v>
      </c>
      <c r="E24" s="5">
        <f>'Rate Class Load Model'!B5</f>
        <v>1449719.46</v>
      </c>
      <c r="F24" s="5">
        <f>'Rate Class Load Model'!B6</f>
        <v>1406359.4300000002</v>
      </c>
      <c r="G24" s="5">
        <f>'Rate Class Load Model'!B7</f>
        <v>1388268.83</v>
      </c>
      <c r="H24" s="5">
        <f>'Rate Class Load Model'!B8</f>
        <v>1369361.6800000002</v>
      </c>
      <c r="I24" s="5">
        <f>'Rate Class Load Model'!B9</f>
        <v>1416160.24</v>
      </c>
      <c r="J24" s="5">
        <f>'Rate Class Load Model'!B10</f>
        <v>1409639.32</v>
      </c>
      <c r="K24" s="5">
        <f>'Rate Class Load Model'!B11</f>
        <v>1416608.47</v>
      </c>
      <c r="L24" s="5">
        <f>'Rate Class Load Model'!B12</f>
        <v>1374287.2606890427</v>
      </c>
      <c r="M24" s="5">
        <f>'Rate Class Load Model'!B13</f>
        <v>1346246.6334535333</v>
      </c>
      <c r="N24" s="144"/>
    </row>
    <row r="25" spans="1:14" x14ac:dyDescent="0.2">
      <c r="B25" s="5"/>
      <c r="C25" s="5"/>
      <c r="D25" s="5"/>
      <c r="E25" s="5"/>
      <c r="F25" s="5"/>
      <c r="G25" s="5"/>
      <c r="H25" s="5"/>
      <c r="I25" s="5"/>
      <c r="K25" s="5"/>
      <c r="L25" s="5"/>
      <c r="M25" s="5"/>
      <c r="N25" s="157"/>
    </row>
    <row r="26" spans="1:14" x14ac:dyDescent="0.2">
      <c r="A26" s="127" t="str">
        <f>Inputs!M21</f>
        <v>Large Use</v>
      </c>
      <c r="B26" s="5"/>
      <c r="C26" s="1"/>
      <c r="D26" s="1"/>
      <c r="E26" s="1"/>
      <c r="F26" s="1"/>
      <c r="N26" s="157"/>
    </row>
    <row r="27" spans="1:14" x14ac:dyDescent="0.2">
      <c r="A27" t="s">
        <v>32</v>
      </c>
      <c r="B27" s="5">
        <f>'Rate Class Customer Model'!E3</f>
        <v>2</v>
      </c>
      <c r="C27" s="5">
        <f>'Rate Class Customer Model'!E4</f>
        <v>2</v>
      </c>
      <c r="D27" s="5">
        <f>'Rate Class Customer Model'!E5</f>
        <v>2</v>
      </c>
      <c r="E27" s="5">
        <f>'Rate Class Customer Model'!E6</f>
        <v>2</v>
      </c>
      <c r="F27" s="5">
        <f>'Rate Class Customer Model'!E7</f>
        <v>2</v>
      </c>
      <c r="G27" s="5">
        <f>'Rate Class Customer Model'!E8</f>
        <v>2</v>
      </c>
      <c r="H27" s="5">
        <f>'Rate Class Customer Model'!E9</f>
        <v>2</v>
      </c>
      <c r="I27" s="5">
        <f>'Rate Class Customer Model'!E10</f>
        <v>3</v>
      </c>
      <c r="J27" s="5">
        <f>'Rate Class Customer Model'!E11</f>
        <v>4</v>
      </c>
      <c r="K27" s="5">
        <f>'Rate Class Customer Model'!E12</f>
        <v>4</v>
      </c>
      <c r="L27" s="5">
        <f>'Rate Class Customer Model'!E13</f>
        <v>4</v>
      </c>
      <c r="M27" s="5">
        <f>'Rate Class Customer Model'!E14</f>
        <v>4</v>
      </c>
      <c r="N27" s="144"/>
    </row>
    <row r="28" spans="1:14" x14ac:dyDescent="0.2">
      <c r="A28" t="s">
        <v>33</v>
      </c>
      <c r="B28" s="5">
        <f>SUMIF(Inputs!$A24:$A143,'Load Forecast Summary'!B77,Inputs!$M24:$M143)</f>
        <v>60621606.239999995</v>
      </c>
      <c r="C28" s="5">
        <f>SUMIF(Inputs!$A24:$A143,'Load Forecast Summary'!C77,Inputs!$M24:$M143)</f>
        <v>68820300.615814403</v>
      </c>
      <c r="D28" s="5">
        <f>SUMIF(Inputs!$A24:$A143,'Load Forecast Summary'!D77,Inputs!$M24:$M143)</f>
        <v>68876378.480000004</v>
      </c>
      <c r="E28" s="5">
        <f>SUMIF(Inputs!$A24:$A143,'Load Forecast Summary'!E77,Inputs!$M24:$M143)</f>
        <v>78736784.100000009</v>
      </c>
      <c r="F28" s="5">
        <f>SUMIF(Inputs!$A24:$A143,'Load Forecast Summary'!F77,Inputs!$M24:$M143)</f>
        <v>83222289.280000001</v>
      </c>
      <c r="G28" s="5">
        <f>SUMIF(Inputs!$A24:$A143,'Load Forecast Summary'!G77,Inputs!$M24:$M143)</f>
        <v>77427944.38000001</v>
      </c>
      <c r="H28" s="5">
        <f>SUMIF(Inputs!$A24:$A143,'Load Forecast Summary'!H77,Inputs!$M24:$M143)</f>
        <v>81637911.159999996</v>
      </c>
      <c r="I28" s="5">
        <f>SUMIF(Inputs!$A24:$A143,'Load Forecast Summary'!I77,Inputs!$M24:$M143)</f>
        <v>101920233.49000001</v>
      </c>
      <c r="J28" s="5">
        <f>SUMIF(Inputs!$A24:$A143,'Load Forecast Summary'!J77,Inputs!$M24:$M143)</f>
        <v>103677541</v>
      </c>
      <c r="K28" s="5">
        <f>SUMIF(Inputs!$A24:$A143,'Load Forecast Summary'!K77,Inputs!$M24:$M143)</f>
        <v>108051126.57999998</v>
      </c>
      <c r="L28" s="5">
        <f>'Rate Class Energy Model'!K31</f>
        <v>108051126.57999998</v>
      </c>
      <c r="M28" s="5">
        <f>'Rate Class Energy Model'!K32</f>
        <v>108051126.57999998</v>
      </c>
      <c r="N28" s="144"/>
    </row>
    <row r="29" spans="1:14" x14ac:dyDescent="0.2">
      <c r="A29" t="s">
        <v>34</v>
      </c>
      <c r="B29" s="5">
        <f>'Rate Class Load Model'!C2</f>
        <v>147250.81</v>
      </c>
      <c r="C29" s="5">
        <f>'Rate Class Load Model'!C3</f>
        <v>227700.89</v>
      </c>
      <c r="D29" s="5">
        <f>'Rate Class Load Model'!C4</f>
        <v>235754.21</v>
      </c>
      <c r="E29" s="5">
        <f>'Rate Class Load Model'!C5</f>
        <v>248845.94</v>
      </c>
      <c r="F29" s="5">
        <f>'Rate Class Load Model'!C6</f>
        <v>192285.66</v>
      </c>
      <c r="G29" s="5">
        <f>'Rate Class Load Model'!C7</f>
        <v>180185.72000000003</v>
      </c>
      <c r="H29" s="5">
        <f>'Rate Class Load Model'!C8</f>
        <v>189298.78</v>
      </c>
      <c r="I29" s="5">
        <f>'Rate Class Load Model'!C9</f>
        <v>228226.57</v>
      </c>
      <c r="J29" s="5">
        <f>'Rate Class Load Model'!C10</f>
        <v>239895</v>
      </c>
      <c r="K29" s="5">
        <f>'Rate Class Load Model'!C11</f>
        <v>256331.52999999997</v>
      </c>
      <c r="L29" s="5">
        <f>'Rate Class Load Model'!C12</f>
        <v>249433.8850940101</v>
      </c>
      <c r="M29" s="5">
        <f>'Rate Class Load Model'!C13</f>
        <v>249433.8850940101</v>
      </c>
      <c r="N29" s="144"/>
    </row>
    <row r="30" spans="1:14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</row>
    <row r="31" spans="1:14" x14ac:dyDescent="0.2">
      <c r="A31" s="22" t="str">
        <f>'Rate Class Energy Model'!L2</f>
        <v>USL</v>
      </c>
      <c r="E31" s="1"/>
      <c r="F31" s="1"/>
      <c r="H31" s="1"/>
      <c r="K31" s="5"/>
      <c r="N31" s="30"/>
    </row>
    <row r="32" spans="1:14" x14ac:dyDescent="0.2">
      <c r="A32" t="s">
        <v>35</v>
      </c>
      <c r="B32" s="5">
        <f>'Rate Class Customer Model'!F3</f>
        <v>250.5</v>
      </c>
      <c r="C32" s="5">
        <f>'Rate Class Customer Model'!F4</f>
        <v>257.5</v>
      </c>
      <c r="D32" s="5">
        <f>'Rate Class Customer Model'!F5</f>
        <v>246</v>
      </c>
      <c r="E32" s="5">
        <f>'Rate Class Customer Model'!F6</f>
        <v>228</v>
      </c>
      <c r="F32" s="5">
        <f>'Rate Class Customer Model'!F7</f>
        <v>228</v>
      </c>
      <c r="G32" s="5">
        <f>'Rate Class Customer Model'!F8</f>
        <v>226</v>
      </c>
      <c r="H32" s="5">
        <f>'Rate Class Customer Model'!F9</f>
        <v>224</v>
      </c>
      <c r="I32" s="5">
        <f>'Rate Class Customer Model'!F10</f>
        <v>224</v>
      </c>
      <c r="J32" s="5">
        <f>'Rate Class Customer Model'!F11</f>
        <v>224</v>
      </c>
      <c r="K32" s="5">
        <f>'Rate Class Customer Model'!F12</f>
        <v>225</v>
      </c>
      <c r="L32" s="5">
        <f>'Rate Class Customer Model'!F13</f>
        <v>222.33198170620236</v>
      </c>
      <c r="M32" s="5">
        <f>'Rate Class Customer Model'!F14</f>
        <v>219.69560039736487</v>
      </c>
      <c r="N32" s="30"/>
    </row>
    <row r="33" spans="1:14" x14ac:dyDescent="0.2">
      <c r="A33" t="s">
        <v>33</v>
      </c>
      <c r="B33" s="5">
        <f>'Rate Class Energy Model'!L3</f>
        <v>1247803</v>
      </c>
      <c r="C33" s="5">
        <f>'Rate Class Energy Model'!L4</f>
        <v>1254320.98</v>
      </c>
      <c r="D33" s="5">
        <f>'Rate Class Energy Model'!L5</f>
        <v>1348220.9</v>
      </c>
      <c r="E33" s="5">
        <f>'Rate Class Energy Model'!L6</f>
        <v>1344468</v>
      </c>
      <c r="F33" s="5">
        <f>'Rate Class Energy Model'!L7</f>
        <v>1276935</v>
      </c>
      <c r="G33" s="5">
        <f>'Rate Class Energy Model'!L8</f>
        <v>1272419</v>
      </c>
      <c r="H33" s="5">
        <f>'Rate Class Energy Model'!L9</f>
        <v>1247052</v>
      </c>
      <c r="I33" s="5">
        <f>'Rate Class Energy Model'!L10</f>
        <v>1247677</v>
      </c>
      <c r="J33" s="5">
        <f>'Rate Class Energy Model'!L11</f>
        <v>1250514</v>
      </c>
      <c r="K33" s="5">
        <f>'Rate Class Energy Model'!L12</f>
        <v>1238523</v>
      </c>
      <c r="L33" s="5">
        <f>'Rate Class Energy Model'!L31</f>
        <v>1223836.7687942707</v>
      </c>
      <c r="M33" s="5">
        <f>'Rate Class Energy Model'!L32</f>
        <v>1209324.6848486469</v>
      </c>
      <c r="N33" s="30"/>
    </row>
    <row r="34" spans="1:14" x14ac:dyDescent="0.2">
      <c r="H34" s="5"/>
      <c r="I34" s="5"/>
      <c r="K34" s="5"/>
      <c r="L34" s="5"/>
      <c r="M34" s="5"/>
    </row>
    <row r="35" spans="1:14" x14ac:dyDescent="0.2">
      <c r="A35" s="22" t="str">
        <f>'Rate Class Energy Model'!M2</f>
        <v>Sentinel Lighting</v>
      </c>
      <c r="E35" s="1"/>
      <c r="G35" s="1"/>
      <c r="K35" s="15"/>
    </row>
    <row r="36" spans="1:14" x14ac:dyDescent="0.2">
      <c r="A36" t="s">
        <v>35</v>
      </c>
      <c r="B36" s="5">
        <f>'Rate Class Customer Model'!G3</f>
        <v>521.5</v>
      </c>
      <c r="C36" s="5">
        <f>'Rate Class Customer Model'!G4</f>
        <v>519.5</v>
      </c>
      <c r="D36" s="5">
        <f>'Rate Class Customer Model'!G5</f>
        <v>451</v>
      </c>
      <c r="E36" s="5">
        <f>'Rate Class Customer Model'!G6</f>
        <v>381.5</v>
      </c>
      <c r="F36" s="5">
        <f>'Rate Class Customer Model'!G7</f>
        <v>393</v>
      </c>
      <c r="G36" s="5">
        <f>'Rate Class Customer Model'!G8</f>
        <v>376</v>
      </c>
      <c r="H36" s="5">
        <f>'Rate Class Customer Model'!G9</f>
        <v>341.5</v>
      </c>
      <c r="I36" s="5">
        <f>'Rate Class Customer Model'!G10</f>
        <v>323</v>
      </c>
      <c r="J36" s="5">
        <f>'Rate Class Customer Model'!G11</f>
        <v>308</v>
      </c>
      <c r="K36" s="5">
        <f>'Rate Class Customer Model'!G12</f>
        <v>304</v>
      </c>
      <c r="L36" s="5">
        <f>'Rate Class Customer Model'!G13</f>
        <v>286.30654777765699</v>
      </c>
      <c r="M36" s="5">
        <f>'Rate Class Customer Model'!G14</f>
        <v>269.642892435394</v>
      </c>
    </row>
    <row r="37" spans="1:14" x14ac:dyDescent="0.2">
      <c r="A37" t="s">
        <v>33</v>
      </c>
      <c r="B37" s="5">
        <f>'Rate Class Energy Model'!M3</f>
        <v>452830</v>
      </c>
      <c r="C37" s="5">
        <f>'Rate Class Energy Model'!M4</f>
        <v>434815.05158768682</v>
      </c>
      <c r="D37" s="5">
        <f>'Rate Class Energy Model'!M5</f>
        <v>423108.89999999997</v>
      </c>
      <c r="E37" s="5">
        <f>'Rate Class Energy Model'!M6</f>
        <v>420751</v>
      </c>
      <c r="F37" s="5">
        <f>'Rate Class Energy Model'!M7</f>
        <v>423572</v>
      </c>
      <c r="G37" s="5">
        <f>'Rate Class Energy Model'!M8</f>
        <v>461598</v>
      </c>
      <c r="H37" s="5">
        <f>'Rate Class Energy Model'!M9</f>
        <v>357348</v>
      </c>
      <c r="I37" s="5">
        <f>'Rate Class Energy Model'!M10</f>
        <v>378834</v>
      </c>
      <c r="J37" s="5">
        <f>'Rate Class Energy Model'!M11</f>
        <v>365715</v>
      </c>
      <c r="K37" s="5">
        <f>'Rate Class Energy Model'!M12</f>
        <v>358166</v>
      </c>
      <c r="L37" s="5">
        <f>'Rate Class Energy Model'!M31</f>
        <v>337319.97036622465</v>
      </c>
      <c r="M37" s="5">
        <f>'Rate Class Energy Model'!M32</f>
        <v>317687.22438162932</v>
      </c>
    </row>
    <row r="38" spans="1:14" x14ac:dyDescent="0.2">
      <c r="A38" t="s">
        <v>34</v>
      </c>
      <c r="B38" s="5">
        <f>'Rate Class Load Model'!D2</f>
        <v>1257.4000000000001</v>
      </c>
      <c r="C38" s="5">
        <f>'Rate Class Load Model'!D3</f>
        <v>1210.9222222222222</v>
      </c>
      <c r="D38" s="5">
        <f>'Rate Class Load Model'!D4</f>
        <v>1177.0800000000002</v>
      </c>
      <c r="E38" s="5">
        <f>'Rate Class Load Model'!D5</f>
        <v>1039</v>
      </c>
      <c r="F38" s="5">
        <f>'Rate Class Load Model'!D6</f>
        <v>1060</v>
      </c>
      <c r="G38" s="5">
        <f>'Rate Class Load Model'!D7</f>
        <v>1023</v>
      </c>
      <c r="H38" s="5">
        <f>'Rate Class Load Model'!D8</f>
        <v>860</v>
      </c>
      <c r="I38" s="5">
        <f>'Rate Class Load Model'!D9</f>
        <v>913</v>
      </c>
      <c r="J38" s="5">
        <f>'Rate Class Load Model'!D10</f>
        <v>876</v>
      </c>
      <c r="K38" s="5">
        <f>'Rate Class Load Model'!D11</f>
        <v>855.48759471555218</v>
      </c>
      <c r="L38" s="5">
        <f>'Rate Class Load Model'!D12</f>
        <v>847.76133723165003</v>
      </c>
      <c r="M38" s="5">
        <f>'Rate Class Load Model'!D13</f>
        <v>798.41980855974919</v>
      </c>
    </row>
    <row r="40" spans="1:14" x14ac:dyDescent="0.2">
      <c r="A40" s="22" t="str">
        <f>'Rate Class Energy Model'!N2</f>
        <v>Street Lighting</v>
      </c>
      <c r="E40" s="1"/>
      <c r="F40" s="1"/>
      <c r="G40" s="1"/>
      <c r="H40" s="1"/>
    </row>
    <row r="41" spans="1:14" x14ac:dyDescent="0.2">
      <c r="A41" t="s">
        <v>35</v>
      </c>
      <c r="B41" s="5">
        <f>'Rate Class Customer Model'!H3</f>
        <v>17883</v>
      </c>
      <c r="C41" s="5">
        <f>'Rate Class Customer Model'!H4</f>
        <v>17923</v>
      </c>
      <c r="D41" s="5">
        <f>'Rate Class Customer Model'!H5</f>
        <v>17946.5</v>
      </c>
      <c r="E41" s="5">
        <f>'Rate Class Customer Model'!H6</f>
        <v>18034</v>
      </c>
      <c r="F41" s="5">
        <f>'Rate Class Customer Model'!H7</f>
        <v>18074.5</v>
      </c>
      <c r="G41" s="5">
        <f>'Rate Class Customer Model'!H8</f>
        <v>18138</v>
      </c>
      <c r="H41" s="5">
        <f>'Rate Class Customer Model'!H9</f>
        <v>18334.5</v>
      </c>
      <c r="I41" s="5">
        <f>'Rate Class Customer Model'!H10</f>
        <v>18584.5</v>
      </c>
      <c r="J41" s="5">
        <f>'Rate Class Customer Model'!H11</f>
        <v>18793</v>
      </c>
      <c r="K41" s="5">
        <f>'Rate Class Customer Model'!H12</f>
        <v>18884.5</v>
      </c>
      <c r="L41" s="5">
        <f>'Rate Class Customer Model'!H13</f>
        <v>18999.183955583492</v>
      </c>
      <c r="M41" s="5">
        <f>'Rate Class Customer Model'!H14</f>
        <v>19114.564377034141</v>
      </c>
    </row>
    <row r="42" spans="1:14" x14ac:dyDescent="0.2">
      <c r="A42" t="s">
        <v>33</v>
      </c>
      <c r="B42" s="5">
        <f>'Rate Class Energy Model'!N3</f>
        <v>10581768.109999999</v>
      </c>
      <c r="C42" s="5">
        <f>'Rate Class Energy Model'!N4</f>
        <v>8602548.0142581649</v>
      </c>
      <c r="D42" s="5">
        <f>'Rate Class Energy Model'!N5</f>
        <v>5848286.7999999998</v>
      </c>
      <c r="E42" s="5">
        <f>'Rate Class Energy Model'!N6</f>
        <v>5551665</v>
      </c>
      <c r="F42" s="5">
        <f>'Rate Class Energy Model'!N7</f>
        <v>5300509</v>
      </c>
      <c r="G42" s="5">
        <f>'Rate Class Energy Model'!N8</f>
        <v>5337821</v>
      </c>
      <c r="H42" s="5">
        <f>'Rate Class Energy Model'!N9</f>
        <v>5360221</v>
      </c>
      <c r="I42" s="5">
        <f>'Rate Class Energy Model'!N10</f>
        <v>5385057</v>
      </c>
      <c r="J42" s="5">
        <f>'Rate Class Energy Model'!N11</f>
        <v>5413099</v>
      </c>
      <c r="K42" s="5">
        <f>'Rate Class Energy Model'!N12</f>
        <v>5361272.29</v>
      </c>
      <c r="L42" s="5">
        <f>'Rate Class Energy Model'!N31</f>
        <v>5393830.8387133554</v>
      </c>
      <c r="M42" s="5">
        <f>'Rate Class Energy Model'!N32</f>
        <v>5426587.112712238</v>
      </c>
    </row>
    <row r="43" spans="1:14" x14ac:dyDescent="0.2">
      <c r="A43" t="s">
        <v>34</v>
      </c>
      <c r="B43" s="5">
        <f>'Rate Class Load Model'!E2</f>
        <v>30671.940000000002</v>
      </c>
      <c r="C43" s="5">
        <f>'Rate Class Load Model'!E3</f>
        <v>25105.760000000002</v>
      </c>
      <c r="D43" s="5">
        <f>'Rate Class Load Model'!E4</f>
        <v>16202.59</v>
      </c>
      <c r="E43" s="5">
        <f>'Rate Class Load Model'!E5</f>
        <v>15561</v>
      </c>
      <c r="F43" s="5">
        <f>'Rate Class Load Model'!E6</f>
        <v>15393</v>
      </c>
      <c r="G43" s="5">
        <f>'Rate Class Load Model'!E7</f>
        <v>15438</v>
      </c>
      <c r="H43" s="5">
        <f>'Rate Class Load Model'!E8</f>
        <v>15533</v>
      </c>
      <c r="I43" s="5">
        <f>'Rate Class Load Model'!E9</f>
        <v>15621</v>
      </c>
      <c r="J43" s="5">
        <f>'Rate Class Load Model'!E10</f>
        <v>15696</v>
      </c>
      <c r="K43" s="5">
        <f>'Rate Class Load Model'!E11</f>
        <v>15532.919999999998</v>
      </c>
      <c r="L43" s="5">
        <f>'Rate Class Load Model'!E12</f>
        <v>15524.613262662875</v>
      </c>
      <c r="M43" s="5">
        <f>'Rate Class Load Model'!E13</f>
        <v>15618.892913056912</v>
      </c>
    </row>
    <row r="45" spans="1:14" x14ac:dyDescent="0.2">
      <c r="A45" s="22" t="s">
        <v>5</v>
      </c>
      <c r="C45" s="1"/>
      <c r="E45" s="1"/>
      <c r="H45" s="38"/>
    </row>
    <row r="46" spans="1:14" x14ac:dyDescent="0.2">
      <c r="A46" t="s">
        <v>37</v>
      </c>
      <c r="B46" s="5">
        <f>+B14+B18+B22+B27+B32+B36+B41</f>
        <v>75293</v>
      </c>
      <c r="C46" s="5">
        <f t="shared" ref="C46:M46" si="1">+C14+C18+C22+C27+C32+C36+C41</f>
        <v>76603.5</v>
      </c>
      <c r="D46" s="5">
        <f t="shared" si="1"/>
        <v>77011.5</v>
      </c>
      <c r="E46" s="5">
        <f t="shared" si="1"/>
        <v>77566</v>
      </c>
      <c r="F46" s="5">
        <f t="shared" si="1"/>
        <v>78192.5</v>
      </c>
      <c r="G46" s="5">
        <f t="shared" si="1"/>
        <v>78937.5</v>
      </c>
      <c r="H46" s="5">
        <f t="shared" si="1"/>
        <v>79946</v>
      </c>
      <c r="I46" s="5">
        <f t="shared" si="1"/>
        <v>81106</v>
      </c>
      <c r="J46" s="5">
        <f t="shared" si="1"/>
        <v>82003</v>
      </c>
      <c r="K46" s="5">
        <f t="shared" si="1"/>
        <v>82612</v>
      </c>
      <c r="L46" s="5">
        <f t="shared" si="1"/>
        <v>83483.936253884531</v>
      </c>
      <c r="M46" s="5">
        <f t="shared" si="1"/>
        <v>84367.857255920972</v>
      </c>
    </row>
    <row r="47" spans="1:14" x14ac:dyDescent="0.2">
      <c r="A47" t="s">
        <v>33</v>
      </c>
      <c r="B47" s="5">
        <f t="shared" ref="B47:L47" si="2">+B15+B19+B23+B28+B33+B37+B42</f>
        <v>1148834612.5799999</v>
      </c>
      <c r="C47" s="5">
        <f t="shared" si="2"/>
        <v>1164182008.5108311</v>
      </c>
      <c r="D47" s="5">
        <f t="shared" si="2"/>
        <v>1150940105.9500003</v>
      </c>
      <c r="E47" s="5">
        <f t="shared" si="2"/>
        <v>1205049799.5299997</v>
      </c>
      <c r="F47" s="5">
        <f t="shared" si="2"/>
        <v>1172895488.78</v>
      </c>
      <c r="G47" s="5">
        <f t="shared" si="2"/>
        <v>1159425253.5500002</v>
      </c>
      <c r="H47" s="5">
        <f t="shared" si="2"/>
        <v>1199960376.74</v>
      </c>
      <c r="I47" s="5">
        <f t="shared" si="2"/>
        <v>1243292924.8500001</v>
      </c>
      <c r="J47" s="5">
        <f t="shared" si="2"/>
        <v>1223014611.48</v>
      </c>
      <c r="K47" s="5">
        <f>+K15+K19+K23+K28+K33+K37+K42</f>
        <v>1258616415.1499999</v>
      </c>
      <c r="L47" s="5">
        <f t="shared" si="2"/>
        <v>1229717868.7081606</v>
      </c>
      <c r="M47" s="5">
        <f>+M15+M19+M23+M28+M33+M37+M42</f>
        <v>1223023260.0635059</v>
      </c>
      <c r="N47" s="144"/>
    </row>
    <row r="48" spans="1:14" x14ac:dyDescent="0.2">
      <c r="A48" t="s">
        <v>36</v>
      </c>
      <c r="B48" s="5">
        <f t="shared" ref="B48:M48" si="3">+B16+B20+B24+B29+B34+B38+B43</f>
        <v>1585932.3999999997</v>
      </c>
      <c r="C48" s="5">
        <f t="shared" si="3"/>
        <v>1638788.4922222223</v>
      </c>
      <c r="D48" s="5">
        <f t="shared" si="3"/>
        <v>1725860.08</v>
      </c>
      <c r="E48" s="5">
        <f t="shared" si="3"/>
        <v>1715165.4</v>
      </c>
      <c r="F48" s="5">
        <f t="shared" si="3"/>
        <v>1615098.09</v>
      </c>
      <c r="G48" s="5">
        <f t="shared" si="3"/>
        <v>1584915.55</v>
      </c>
      <c r="H48" s="5">
        <f t="shared" si="3"/>
        <v>1575053.4600000002</v>
      </c>
      <c r="I48" s="5">
        <f t="shared" si="3"/>
        <v>1660920.81</v>
      </c>
      <c r="J48" s="5">
        <f t="shared" si="3"/>
        <v>1666106.32</v>
      </c>
      <c r="K48" s="5">
        <f t="shared" si="3"/>
        <v>1689328.4075947155</v>
      </c>
      <c r="L48" s="5">
        <f t="shared" si="3"/>
        <v>1640093.5203829473</v>
      </c>
      <c r="M48" s="5">
        <f t="shared" si="3"/>
        <v>1612097.8312691601</v>
      </c>
      <c r="N48" s="144"/>
    </row>
    <row r="49" spans="1:15" x14ac:dyDescent="0.2">
      <c r="C49" s="38"/>
      <c r="D49" s="1"/>
      <c r="E49" s="1"/>
      <c r="F49" s="1"/>
    </row>
    <row r="50" spans="1:15" x14ac:dyDescent="0.2">
      <c r="A50" t="s">
        <v>37</v>
      </c>
      <c r="B50" s="5">
        <f>'Rate Class Customer Model'!I3</f>
        <v>75293</v>
      </c>
      <c r="C50" s="5">
        <f>'Rate Class Customer Model'!I4</f>
        <v>76603.5</v>
      </c>
      <c r="D50" s="5">
        <f>'Rate Class Customer Model'!I5</f>
        <v>77011.5</v>
      </c>
      <c r="E50" s="5">
        <f>'Rate Class Customer Model'!I6</f>
        <v>77566</v>
      </c>
      <c r="F50" s="5">
        <f>'Rate Class Customer Model'!I7</f>
        <v>78192.5</v>
      </c>
      <c r="G50" s="5">
        <f>'Rate Class Customer Model'!I8</f>
        <v>78937.5</v>
      </c>
      <c r="H50" s="5">
        <f>'Rate Class Customer Model'!I9</f>
        <v>79946</v>
      </c>
      <c r="I50" s="5">
        <f>'Rate Class Customer Model'!I10</f>
        <v>81106</v>
      </c>
      <c r="J50" s="5">
        <f>'Rate Class Customer Model'!I11</f>
        <v>82003</v>
      </c>
      <c r="K50" s="5">
        <f>'Rate Class Customer Model'!I12</f>
        <v>82612</v>
      </c>
      <c r="L50" s="5">
        <f>'Rate Class Customer Model'!I13</f>
        <v>83483.936253884531</v>
      </c>
      <c r="M50" s="5">
        <f>'Rate Class Customer Model'!I14</f>
        <v>84367.857255920972</v>
      </c>
    </row>
    <row r="51" spans="1:15" x14ac:dyDescent="0.2">
      <c r="A51" t="s">
        <v>33</v>
      </c>
      <c r="B51" s="5">
        <f>B10</f>
        <v>1148834612.5799999</v>
      </c>
      <c r="C51" s="5">
        <f t="shared" ref="C51:K51" si="4">C10</f>
        <v>1164182008.5108311</v>
      </c>
      <c r="D51" s="5">
        <f t="shared" si="4"/>
        <v>1150940105.9500003</v>
      </c>
      <c r="E51" s="5">
        <f t="shared" si="4"/>
        <v>1205049799.5299997</v>
      </c>
      <c r="F51" s="5">
        <f t="shared" si="4"/>
        <v>1172895488.78</v>
      </c>
      <c r="G51" s="5">
        <f t="shared" si="4"/>
        <v>1159425253.5500002</v>
      </c>
      <c r="H51" s="5">
        <f t="shared" si="4"/>
        <v>1199960376.74</v>
      </c>
      <c r="I51" s="5">
        <f t="shared" si="4"/>
        <v>1243292924.8500001</v>
      </c>
      <c r="J51" s="5">
        <f t="shared" si="4"/>
        <v>1223014611.48</v>
      </c>
      <c r="K51" s="5">
        <f t="shared" si="4"/>
        <v>1258616415.1499999</v>
      </c>
      <c r="L51" s="5">
        <f>'Rate Class Energy Model'!G13+'Rate Class Energy Model'!G43+'Rate Class Energy Model'!G47</f>
        <v>1229717868.7081606</v>
      </c>
      <c r="M51" s="5">
        <f>'Rate Class Energy Model'!G14+'Rate Class Energy Model'!G44+'Rate Class Energy Model'!G48</f>
        <v>1223023260.0635059</v>
      </c>
      <c r="N51" s="144"/>
    </row>
    <row r="52" spans="1:15" x14ac:dyDescent="0.2">
      <c r="A52" t="s">
        <v>36</v>
      </c>
      <c r="B52" s="5">
        <f>'Rate Class Load Model'!F2</f>
        <v>1585932.3999999997</v>
      </c>
      <c r="C52" s="5">
        <f>'Rate Class Load Model'!F3</f>
        <v>1638788.4922222223</v>
      </c>
      <c r="D52" s="5">
        <f>'Rate Class Load Model'!F4</f>
        <v>1725860.08</v>
      </c>
      <c r="E52" s="5">
        <f>'Rate Class Load Model'!F5</f>
        <v>1715165.4</v>
      </c>
      <c r="F52" s="5">
        <f>'Rate Class Load Model'!F6</f>
        <v>1615098.09</v>
      </c>
      <c r="G52" s="5">
        <f>'Rate Class Load Model'!F7</f>
        <v>1584915.55</v>
      </c>
      <c r="H52" s="5">
        <f>'Rate Class Load Model'!F8</f>
        <v>1575053.4600000002</v>
      </c>
      <c r="I52" s="5">
        <f>'Rate Class Load Model'!F9</f>
        <v>1660920.81</v>
      </c>
      <c r="J52" s="5">
        <f>'Rate Class Load Model'!F10</f>
        <v>1666106.32</v>
      </c>
      <c r="K52" s="5">
        <f>'Rate Class Load Model'!F11</f>
        <v>1689328.4075947155</v>
      </c>
      <c r="L52" s="5">
        <f>'Rate Class Load Model'!F12</f>
        <v>1640093.5203829473</v>
      </c>
      <c r="M52" s="5">
        <f>'Rate Class Load Model'!F13</f>
        <v>1612097.8312691601</v>
      </c>
      <c r="N52" s="144"/>
      <c r="O52" s="30"/>
    </row>
    <row r="54" spans="1:15" hidden="1" x14ac:dyDescent="0.2">
      <c r="A54" t="s">
        <v>37</v>
      </c>
      <c r="H54" s="5">
        <f>'Rate Class Load Model'!F12</f>
        <v>1640093.5203829473</v>
      </c>
      <c r="I54" s="5" t="e">
        <f>#REF!</f>
        <v>#REF!</v>
      </c>
      <c r="J54" s="5"/>
      <c r="K54" s="5"/>
      <c r="L54" s="5" t="e">
        <f>#REF!</f>
        <v>#REF!</v>
      </c>
      <c r="M54" s="5" t="e">
        <f>#REF!</f>
        <v>#REF!</v>
      </c>
    </row>
    <row r="55" spans="1:15" hidden="1" x14ac:dyDescent="0.2">
      <c r="A55" t="s">
        <v>33</v>
      </c>
      <c r="H55" s="5">
        <f>'Rate Class Load Model'!F13</f>
        <v>1612097.8312691601</v>
      </c>
      <c r="I55" s="5" t="e">
        <f>#REF!</f>
        <v>#REF!</v>
      </c>
      <c r="J55" s="5"/>
      <c r="K55" s="5"/>
      <c r="L55" s="5" t="e">
        <f>#REF!</f>
        <v>#REF!</v>
      </c>
      <c r="M55" s="5" t="e">
        <f>#REF!</f>
        <v>#REF!</v>
      </c>
    </row>
    <row r="56" spans="1:15" hidden="1" x14ac:dyDescent="0.2">
      <c r="A56" t="s">
        <v>36</v>
      </c>
      <c r="H56" s="5">
        <f>'Rate Class Load Model'!F14</f>
        <v>0</v>
      </c>
      <c r="I56" s="5" t="e">
        <f>#REF!</f>
        <v>#REF!</v>
      </c>
      <c r="J56" s="5"/>
      <c r="K56" s="5"/>
      <c r="L56" s="5" t="e">
        <f>#REF!</f>
        <v>#REF!</v>
      </c>
      <c r="M56" s="5" t="e">
        <f>#REF!</f>
        <v>#REF!</v>
      </c>
    </row>
    <row r="57" spans="1:15" hidden="1" x14ac:dyDescent="0.2">
      <c r="H57" s="5">
        <f>'Rate Class Load Model'!F15</f>
        <v>0</v>
      </c>
    </row>
    <row r="58" spans="1:15" hidden="1" x14ac:dyDescent="0.2">
      <c r="A58" t="s">
        <v>37</v>
      </c>
      <c r="H58" s="5">
        <f>'Rate Class Load Model'!F16</f>
        <v>0</v>
      </c>
      <c r="I58" s="5" t="e">
        <f>#REF!-I54</f>
        <v>#REF!</v>
      </c>
      <c r="J58" s="5"/>
      <c r="K58" s="5"/>
      <c r="L58" s="5" t="e">
        <f>#REF!-L54</f>
        <v>#REF!</v>
      </c>
      <c r="M58" s="5" t="e">
        <f>#REF!-M54</f>
        <v>#REF!</v>
      </c>
    </row>
    <row r="59" spans="1:15" hidden="1" x14ac:dyDescent="0.2">
      <c r="A59" t="s">
        <v>33</v>
      </c>
      <c r="H59" s="5">
        <f>'Rate Class Load Model'!F17</f>
        <v>0</v>
      </c>
      <c r="I59" s="5" t="e">
        <f>#REF!-I55</f>
        <v>#REF!</v>
      </c>
      <c r="J59" s="5"/>
      <c r="K59" s="5"/>
      <c r="L59" s="5" t="e">
        <f>#REF!-L55</f>
        <v>#REF!</v>
      </c>
      <c r="M59" s="5" t="e">
        <f>#REF!-M55</f>
        <v>#REF!</v>
      </c>
    </row>
    <row r="60" spans="1:15" hidden="1" x14ac:dyDescent="0.2">
      <c r="A60" t="s">
        <v>36</v>
      </c>
      <c r="H60" s="5">
        <f>'Rate Class Load Model'!F18</f>
        <v>0</v>
      </c>
      <c r="I60" s="5" t="e">
        <f>#REF!-I56</f>
        <v>#REF!</v>
      </c>
      <c r="J60" s="5"/>
      <c r="K60" s="5"/>
      <c r="L60" s="5" t="e">
        <f>#REF!-L56</f>
        <v>#REF!</v>
      </c>
      <c r="M60" s="5" t="e">
        <f>#REF!-M56</f>
        <v>#REF!</v>
      </c>
    </row>
    <row r="61" spans="1:15" hidden="1" x14ac:dyDescent="0.2">
      <c r="H61" s="5">
        <f>'Rate Class Load Model'!F19</f>
        <v>0</v>
      </c>
    </row>
    <row r="62" spans="1:15" x14ac:dyDescent="0.2">
      <c r="A62" s="37" t="s">
        <v>10</v>
      </c>
      <c r="H62" s="5"/>
    </row>
    <row r="63" spans="1:15" x14ac:dyDescent="0.2">
      <c r="A63" t="s">
        <v>37</v>
      </c>
      <c r="B63" s="5">
        <f>B46-B50</f>
        <v>0</v>
      </c>
      <c r="C63" s="5">
        <f t="shared" ref="C63:M63" si="5">C46-C50</f>
        <v>0</v>
      </c>
      <c r="D63" s="5">
        <f t="shared" si="5"/>
        <v>0</v>
      </c>
      <c r="E63" s="5">
        <f t="shared" si="5"/>
        <v>0</v>
      </c>
      <c r="F63" s="5">
        <f t="shared" si="5"/>
        <v>0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ref="J63:K65" si="6">J46-J50</f>
        <v>0</v>
      </c>
      <c r="K63" s="5">
        <f t="shared" si="6"/>
        <v>0</v>
      </c>
      <c r="L63" s="5">
        <f t="shared" si="5"/>
        <v>0</v>
      </c>
      <c r="M63" s="5">
        <f t="shared" si="5"/>
        <v>0</v>
      </c>
    </row>
    <row r="64" spans="1:15" x14ac:dyDescent="0.2">
      <c r="A64" t="s">
        <v>33</v>
      </c>
      <c r="B64" s="5">
        <f>B47-B51</f>
        <v>0</v>
      </c>
      <c r="C64" s="5">
        <f t="shared" ref="C64:M64" si="7">C47-C51</f>
        <v>0</v>
      </c>
      <c r="D64" s="5">
        <f t="shared" si="7"/>
        <v>0</v>
      </c>
      <c r="E64" s="5">
        <f t="shared" si="7"/>
        <v>0</v>
      </c>
      <c r="F64" s="5">
        <f t="shared" si="7"/>
        <v>0</v>
      </c>
      <c r="G64" s="5">
        <f t="shared" si="7"/>
        <v>0</v>
      </c>
      <c r="H64" s="5">
        <f t="shared" si="7"/>
        <v>0</v>
      </c>
      <c r="I64" s="5">
        <f t="shared" si="7"/>
        <v>0</v>
      </c>
      <c r="J64" s="5">
        <f t="shared" si="6"/>
        <v>0</v>
      </c>
      <c r="K64" s="5">
        <f t="shared" si="6"/>
        <v>0</v>
      </c>
      <c r="L64" s="5">
        <f>L47-L51</f>
        <v>0</v>
      </c>
      <c r="M64" s="5">
        <f t="shared" si="7"/>
        <v>0</v>
      </c>
    </row>
    <row r="65" spans="1:13" x14ac:dyDescent="0.2">
      <c r="A65" t="s">
        <v>36</v>
      </c>
      <c r="B65" s="5">
        <f t="shared" ref="B65:M65" si="8">B48-B52</f>
        <v>0</v>
      </c>
      <c r="C65" s="5">
        <f t="shared" si="8"/>
        <v>0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6"/>
        <v>0</v>
      </c>
      <c r="K65" s="5">
        <f t="shared" si="6"/>
        <v>0</v>
      </c>
      <c r="L65" s="5">
        <f t="shared" si="8"/>
        <v>0</v>
      </c>
      <c r="M65" s="5">
        <f t="shared" si="8"/>
        <v>0</v>
      </c>
    </row>
    <row r="67" spans="1:13" x14ac:dyDescent="0.2">
      <c r="H67" s="30">
        <f>H15+H19+H23+H28</f>
        <v>1192995755.74</v>
      </c>
      <c r="I67" s="30">
        <f t="shared" ref="I67:M67" si="9">I15+I19+I23+I28</f>
        <v>1236281356.8500001</v>
      </c>
      <c r="J67" s="30">
        <f>J15+J19+J23+J28</f>
        <v>1215985283.48</v>
      </c>
      <c r="K67" s="30">
        <f t="shared" si="9"/>
        <v>1251658453.8599999</v>
      </c>
      <c r="L67" s="30">
        <f>L15+L19+L23+L28</f>
        <v>1222762881.1302867</v>
      </c>
      <c r="M67" s="30">
        <f t="shared" si="9"/>
        <v>1216069661.0415635</v>
      </c>
    </row>
    <row r="68" spans="1:13" x14ac:dyDescent="0.2">
      <c r="H68" s="30"/>
    </row>
    <row r="69" spans="1:13" x14ac:dyDescent="0.2">
      <c r="C69" s="143">
        <f>(C47-B47)/B47</f>
        <v>1.3359099528142453E-2</v>
      </c>
      <c r="D69" s="143">
        <f t="shared" ref="D69:M69" si="10">(D47-C47)/C47</f>
        <v>-1.1374426390396871E-2</v>
      </c>
      <c r="E69" s="143">
        <f t="shared" si="10"/>
        <v>4.7013474724070574E-2</v>
      </c>
      <c r="F69" s="143">
        <f t="shared" si="10"/>
        <v>-2.6682972573034546E-2</v>
      </c>
      <c r="G69" s="143">
        <f t="shared" si="10"/>
        <v>-1.1484599743845032E-2</v>
      </c>
      <c r="H69" s="143">
        <f t="shared" si="10"/>
        <v>3.4961394075113394E-2</v>
      </c>
      <c r="I69" s="143">
        <f t="shared" si="10"/>
        <v>3.6111649142719283E-2</v>
      </c>
      <c r="J69" s="143">
        <f t="shared" si="10"/>
        <v>-1.6310165500577144E-2</v>
      </c>
      <c r="K69" s="143">
        <f t="shared" si="10"/>
        <v>2.910987598661411E-2</v>
      </c>
      <c r="L69" s="143">
        <f t="shared" si="10"/>
        <v>-2.2960566932058595E-2</v>
      </c>
      <c r="M69" s="143">
        <f t="shared" si="10"/>
        <v>-5.4440199780845262E-3</v>
      </c>
    </row>
    <row r="70" spans="1:13" x14ac:dyDescent="0.2">
      <c r="C70" s="143">
        <f>(C48-B48)/B48</f>
        <v>3.3328086507484561E-2</v>
      </c>
      <c r="D70" s="143">
        <f t="shared" ref="D70" si="11">(D48-C48)/C48</f>
        <v>5.3131681233438123E-2</v>
      </c>
      <c r="E70" s="143">
        <f t="shared" ref="E70" si="12">(E48-D48)/D48</f>
        <v>-6.1967248237181352E-3</v>
      </c>
      <c r="F70" s="143">
        <f t="shared" ref="F70" si="13">(F48-E48)/E48</f>
        <v>-5.8342658964552242E-2</v>
      </c>
      <c r="G70" s="143">
        <f t="shared" ref="G70" si="14">(G48-F48)/F48</f>
        <v>-1.8687744222395827E-2</v>
      </c>
      <c r="H70" s="143">
        <f t="shared" ref="H70" si="15">(H48-G48)/G48</f>
        <v>-6.2224703391924258E-3</v>
      </c>
      <c r="I70" s="143">
        <f t="shared" ref="I70" si="16">(I48-H48)/H48</f>
        <v>5.4517101914750149E-2</v>
      </c>
      <c r="J70" s="143">
        <f t="shared" ref="J70" si="17">(J48-I48)/I48</f>
        <v>3.1220693778892502E-3</v>
      </c>
      <c r="K70" s="143">
        <f t="shared" ref="K70" si="18">(K48-J48)/J48</f>
        <v>1.3937938603291183E-2</v>
      </c>
      <c r="L70" s="143">
        <f t="shared" ref="L70" si="19">(L48-K48)/K48</f>
        <v>-2.9144651206019421E-2</v>
      </c>
      <c r="M70" s="143">
        <f t="shared" ref="M70" si="20">(M48-L48)/L48</f>
        <v>-1.7069568756817231E-2</v>
      </c>
    </row>
    <row r="77" spans="1:13" x14ac:dyDescent="0.2">
      <c r="B77">
        <v>2015</v>
      </c>
      <c r="C77">
        <v>2016</v>
      </c>
      <c r="D77">
        <v>2017</v>
      </c>
      <c r="E77">
        <v>2018</v>
      </c>
      <c r="F77">
        <v>2019</v>
      </c>
      <c r="G77">
        <v>2020</v>
      </c>
      <c r="H77">
        <v>2021</v>
      </c>
      <c r="I77">
        <v>2022</v>
      </c>
      <c r="J77">
        <v>2023</v>
      </c>
      <c r="K77">
        <v>2024</v>
      </c>
    </row>
  </sheetData>
  <phoneticPr fontId="0" type="noConversion"/>
  <pageMargins left="0.38" right="0.75" top="0.73" bottom="0.74" header="0.5" footer="0.5"/>
  <pageSetup scale="62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D196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R37" sqref="R37"/>
    </sheetView>
  </sheetViews>
  <sheetFormatPr defaultRowHeight="12.75" x14ac:dyDescent="0.2"/>
  <cols>
    <col min="1" max="1" width="11.85546875" style="21" customWidth="1"/>
    <col min="2" max="2" width="16.85546875" style="5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2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9"/>
      <c r="AA1" s="99"/>
      <c r="AB1" s="99"/>
      <c r="AC1" s="99"/>
      <c r="AD1" s="99"/>
    </row>
    <row r="2" spans="1:30" ht="38.25" x14ac:dyDescent="0.2">
      <c r="A2" s="94" t="s">
        <v>62</v>
      </c>
      <c r="B2" s="95" t="s">
        <v>46</v>
      </c>
      <c r="C2" s="96" t="s">
        <v>118</v>
      </c>
      <c r="D2" s="96" t="s">
        <v>119</v>
      </c>
      <c r="E2" s="97" t="s">
        <v>116</v>
      </c>
      <c r="F2" s="120" t="s">
        <v>117</v>
      </c>
      <c r="G2" s="147" t="s">
        <v>115</v>
      </c>
      <c r="H2" s="147" t="s">
        <v>125</v>
      </c>
      <c r="I2" s="96" t="s">
        <v>6</v>
      </c>
      <c r="J2" s="98" t="s">
        <v>99</v>
      </c>
      <c r="K2" s="96" t="s">
        <v>100</v>
      </c>
      <c r="L2" s="96" t="s">
        <v>101</v>
      </c>
      <c r="M2" s="116" t="s">
        <v>102</v>
      </c>
      <c r="N2" s="116" t="s">
        <v>103</v>
      </c>
      <c r="O2" s="116" t="s">
        <v>104</v>
      </c>
      <c r="P2"/>
      <c r="Q2" t="s">
        <v>11</v>
      </c>
      <c r="Z2" s="99"/>
      <c r="AA2" s="99"/>
      <c r="AB2" s="99"/>
      <c r="AC2" s="99"/>
      <c r="AD2" s="99"/>
    </row>
    <row r="3" spans="1:30" ht="13.5" thickBot="1" x14ac:dyDescent="0.25">
      <c r="A3" s="42">
        <v>42035</v>
      </c>
      <c r="B3" s="43">
        <f>Inputs!D24</f>
        <v>110640792.16784623</v>
      </c>
      <c r="C3" s="124">
        <v>31</v>
      </c>
      <c r="D3" s="124">
        <v>0</v>
      </c>
      <c r="E3" s="121">
        <v>791.20000000000016</v>
      </c>
      <c r="F3" s="121">
        <v>0</v>
      </c>
      <c r="G3" s="148">
        <v>0</v>
      </c>
      <c r="H3" s="158">
        <v>21598611</v>
      </c>
      <c r="I3" s="43">
        <f t="shared" ref="I3:I34" si="0">$R$18+$R$19*C3+$R$20*D3+$R$21*E3+$R$22*F3+$R$23*G3+$R$24*H3</f>
        <v>106182271.36603138</v>
      </c>
      <c r="J3" s="26">
        <f t="shared" ref="J3:J34" si="1">I3-B3</f>
        <v>-4458520.8018148541</v>
      </c>
      <c r="K3" s="35">
        <f t="shared" ref="K3:K34" si="2">J3/B3</f>
        <v>-4.0297260300261685E-2</v>
      </c>
      <c r="L3" s="9">
        <f>ABS(K3)</f>
        <v>4.0297260300261685E-2</v>
      </c>
      <c r="M3" s="122">
        <f>J3*J3</f>
        <v>19878407740215.77</v>
      </c>
      <c r="N3" s="9"/>
      <c r="O3" s="9"/>
      <c r="P3" s="9"/>
      <c r="Z3" s="99"/>
      <c r="AA3" s="99"/>
      <c r="AB3" s="99"/>
      <c r="AC3" s="99"/>
      <c r="AD3" s="99"/>
    </row>
    <row r="4" spans="1:30" x14ac:dyDescent="0.2">
      <c r="A4" s="42">
        <v>42063</v>
      </c>
      <c r="B4" s="43">
        <f>Inputs!D25</f>
        <v>103566414.00452422</v>
      </c>
      <c r="C4" s="124">
        <v>28</v>
      </c>
      <c r="D4" s="124">
        <v>0</v>
      </c>
      <c r="E4" s="121">
        <v>878.59999999999991</v>
      </c>
      <c r="F4" s="121">
        <v>0</v>
      </c>
      <c r="G4" s="148">
        <v>0</v>
      </c>
      <c r="H4" s="158">
        <v>20903293</v>
      </c>
      <c r="I4" s="43">
        <f t="shared" si="0"/>
        <v>99060258.392116904</v>
      </c>
      <c r="J4" s="26">
        <f t="shared" si="1"/>
        <v>-4506155.6124073118</v>
      </c>
      <c r="K4" s="35">
        <f t="shared" si="2"/>
        <v>-4.3509815954528117E-2</v>
      </c>
      <c r="L4" s="9">
        <f t="shared" ref="L4:L66" si="3">ABS(K4)</f>
        <v>4.3509815954528117E-2</v>
      </c>
      <c r="M4" s="122">
        <f t="shared" ref="M4:M67" si="4">J4*J4</f>
        <v>20305438403229.914</v>
      </c>
      <c r="N4" s="122">
        <f>J4-J3</f>
        <v>-47634.810592457652</v>
      </c>
      <c r="O4" s="122">
        <f>N4*N4</f>
        <v>2269075180.1793156</v>
      </c>
      <c r="P4" s="9"/>
      <c r="Q4" s="169" t="s">
        <v>12</v>
      </c>
      <c r="R4" s="169"/>
      <c r="Z4" s="99"/>
      <c r="AA4" s="99"/>
      <c r="AB4" s="99"/>
      <c r="AC4" s="99"/>
      <c r="AD4" s="99"/>
    </row>
    <row r="5" spans="1:30" x14ac:dyDescent="0.2">
      <c r="A5" s="42">
        <v>42094</v>
      </c>
      <c r="B5" s="43">
        <f>Inputs!D26</f>
        <v>102786797.33119218</v>
      </c>
      <c r="C5" s="124">
        <v>31</v>
      </c>
      <c r="D5" s="124">
        <v>1</v>
      </c>
      <c r="E5" s="121">
        <v>606.79999999999984</v>
      </c>
      <c r="F5" s="121">
        <v>0</v>
      </c>
      <c r="G5" s="148">
        <v>0</v>
      </c>
      <c r="H5" s="158">
        <v>25026276</v>
      </c>
      <c r="I5" s="43">
        <f t="shared" si="0"/>
        <v>99615137.694178477</v>
      </c>
      <c r="J5" s="26">
        <f t="shared" si="1"/>
        <v>-3171659.6370137036</v>
      </c>
      <c r="K5" s="35">
        <f t="shared" si="2"/>
        <v>-3.085668314768298E-2</v>
      </c>
      <c r="L5" s="9">
        <f t="shared" si="3"/>
        <v>3.085668314768298E-2</v>
      </c>
      <c r="M5" s="122">
        <f t="shared" si="4"/>
        <v>10059424853061.898</v>
      </c>
      <c r="N5" s="122">
        <f t="shared" ref="N5:N68" si="5">J5-J4</f>
        <v>1334495.9753936082</v>
      </c>
      <c r="O5" s="122">
        <f t="shared" ref="O5:O68" si="6">N5*N5</f>
        <v>1780879508341.7378</v>
      </c>
      <c r="P5" s="9"/>
      <c r="Q5" t="s">
        <v>13</v>
      </c>
      <c r="R5">
        <v>0.94670337137939797</v>
      </c>
      <c r="Z5" s="99"/>
      <c r="AA5" s="99"/>
      <c r="AB5" s="99"/>
      <c r="AC5" s="99"/>
      <c r="AD5" s="99"/>
    </row>
    <row r="6" spans="1:30" x14ac:dyDescent="0.2">
      <c r="A6" s="42">
        <v>42124</v>
      </c>
      <c r="B6" s="43">
        <f>Inputs!D27</f>
        <v>90141833.681816638</v>
      </c>
      <c r="C6" s="124">
        <v>30</v>
      </c>
      <c r="D6" s="124">
        <v>1</v>
      </c>
      <c r="E6" s="121">
        <v>324.09999999999997</v>
      </c>
      <c r="F6" s="121">
        <v>0</v>
      </c>
      <c r="G6" s="148">
        <v>0</v>
      </c>
      <c r="H6" s="158">
        <v>23422446</v>
      </c>
      <c r="I6" s="43">
        <f t="shared" si="0"/>
        <v>89124949.174980447</v>
      </c>
      <c r="J6" s="26">
        <f t="shared" si="1"/>
        <v>-1016884.5068361908</v>
      </c>
      <c r="K6" s="35">
        <f t="shared" si="2"/>
        <v>-1.1280938775059734E-2</v>
      </c>
      <c r="L6" s="9">
        <f t="shared" si="3"/>
        <v>1.1280938775059734E-2</v>
      </c>
      <c r="M6" s="122">
        <f t="shared" si="4"/>
        <v>1034054100243.483</v>
      </c>
      <c r="N6" s="122">
        <f t="shared" si="5"/>
        <v>2154775.1301775128</v>
      </c>
      <c r="O6" s="122">
        <f t="shared" si="6"/>
        <v>4643055861631.5166</v>
      </c>
      <c r="P6" s="9"/>
      <c r="Q6" t="s">
        <v>14</v>
      </c>
      <c r="R6">
        <v>0.89624727338111843</v>
      </c>
      <c r="Z6" s="99"/>
      <c r="AA6" s="99"/>
      <c r="AB6" s="99"/>
      <c r="AC6" s="99"/>
      <c r="AD6" s="99"/>
    </row>
    <row r="7" spans="1:30" x14ac:dyDescent="0.2">
      <c r="A7" s="42">
        <v>42155</v>
      </c>
      <c r="B7" s="43">
        <f>Inputs!D28</f>
        <v>94347448.581504494</v>
      </c>
      <c r="C7" s="124">
        <v>31</v>
      </c>
      <c r="D7" s="124">
        <v>1</v>
      </c>
      <c r="E7" s="121">
        <v>99.000000000000014</v>
      </c>
      <c r="F7" s="121">
        <v>38.600000000000009</v>
      </c>
      <c r="G7" s="148">
        <v>0</v>
      </c>
      <c r="H7" s="158">
        <v>23563031</v>
      </c>
      <c r="I7" s="43">
        <f t="shared" si="0"/>
        <v>97005100.890641719</v>
      </c>
      <c r="J7" s="26">
        <f t="shared" si="1"/>
        <v>2657652.3091372252</v>
      </c>
      <c r="K7" s="35">
        <f t="shared" si="2"/>
        <v>2.8168777736912971E-2</v>
      </c>
      <c r="L7" s="9">
        <f t="shared" si="3"/>
        <v>2.8168777736912971E-2</v>
      </c>
      <c r="M7" s="122">
        <f t="shared" si="4"/>
        <v>7063115796262.4248</v>
      </c>
      <c r="N7" s="122">
        <f t="shared" si="5"/>
        <v>3674536.815973416</v>
      </c>
      <c r="O7" s="122">
        <f t="shared" si="6"/>
        <v>13502220811944.051</v>
      </c>
      <c r="P7" s="9"/>
      <c r="Q7" t="s">
        <v>15</v>
      </c>
      <c r="R7">
        <v>0.89073827904737257</v>
      </c>
      <c r="Z7" s="99"/>
      <c r="AA7" s="99"/>
      <c r="AB7" s="99"/>
      <c r="AC7" s="99"/>
      <c r="AD7" s="99"/>
    </row>
    <row r="8" spans="1:30" x14ac:dyDescent="0.2">
      <c r="A8" s="42">
        <v>42185</v>
      </c>
      <c r="B8" s="43">
        <f>Inputs!D29</f>
        <v>100728895.94686395</v>
      </c>
      <c r="C8" s="124">
        <v>30</v>
      </c>
      <c r="D8" s="124">
        <v>0</v>
      </c>
      <c r="E8" s="121">
        <v>30.800000000000004</v>
      </c>
      <c r="F8" s="121">
        <v>35.100000000000009</v>
      </c>
      <c r="G8" s="148">
        <v>0</v>
      </c>
      <c r="H8" s="158">
        <v>25312842</v>
      </c>
      <c r="I8" s="43">
        <f t="shared" si="0"/>
        <v>99341579.013496622</v>
      </c>
      <c r="J8" s="26">
        <f t="shared" si="1"/>
        <v>-1387316.9333673269</v>
      </c>
      <c r="K8" s="35">
        <f t="shared" si="2"/>
        <v>-1.3772780097770138E-2</v>
      </c>
      <c r="L8" s="9">
        <f t="shared" si="3"/>
        <v>1.3772780097770138E-2</v>
      </c>
      <c r="M8" s="122">
        <f t="shared" si="4"/>
        <v>1924648273607.7241</v>
      </c>
      <c r="N8" s="122">
        <f t="shared" si="5"/>
        <v>-4044969.242504552</v>
      </c>
      <c r="O8" s="122">
        <f t="shared" si="6"/>
        <v>16361776172807.85</v>
      </c>
      <c r="P8" s="9"/>
      <c r="Q8" t="s">
        <v>16</v>
      </c>
      <c r="R8">
        <v>3541439.4042932522</v>
      </c>
      <c r="Z8" s="99"/>
      <c r="AA8" s="99"/>
      <c r="AB8" s="99"/>
      <c r="AC8" s="99"/>
      <c r="AD8" s="99"/>
    </row>
    <row r="9" spans="1:30" ht="13.5" thickBot="1" x14ac:dyDescent="0.25">
      <c r="A9" s="42">
        <v>42216</v>
      </c>
      <c r="B9" s="43">
        <f>Inputs!D30</f>
        <v>115474381.0595226</v>
      </c>
      <c r="C9" s="124">
        <v>31</v>
      </c>
      <c r="D9" s="124">
        <v>0</v>
      </c>
      <c r="E9" s="121">
        <v>15.799999999999999</v>
      </c>
      <c r="F9" s="121">
        <v>70.499999999999986</v>
      </c>
      <c r="G9" s="148">
        <v>0</v>
      </c>
      <c r="H9" s="158">
        <v>23005006</v>
      </c>
      <c r="I9" s="43">
        <f t="shared" si="0"/>
        <v>108640185.37149541</v>
      </c>
      <c r="J9" s="26">
        <f t="shared" si="1"/>
        <v>-6834195.6880271882</v>
      </c>
      <c r="K9" s="35">
        <f t="shared" si="2"/>
        <v>-5.918365290483283E-2</v>
      </c>
      <c r="L9" s="9">
        <f t="shared" si="3"/>
        <v>5.918365290483283E-2</v>
      </c>
      <c r="M9" s="122">
        <f t="shared" si="4"/>
        <v>46706230702249.414</v>
      </c>
      <c r="N9" s="122">
        <f t="shared" si="5"/>
        <v>-5446878.7546598613</v>
      </c>
      <c r="O9" s="122">
        <f t="shared" si="6"/>
        <v>29668488167964.961</v>
      </c>
      <c r="P9" s="9"/>
      <c r="Q9" s="167" t="s">
        <v>17</v>
      </c>
      <c r="R9" s="167">
        <v>120</v>
      </c>
      <c r="Z9" s="99"/>
      <c r="AA9" s="99"/>
      <c r="AB9" s="99"/>
      <c r="AC9" s="99"/>
      <c r="AD9" s="99"/>
    </row>
    <row r="10" spans="1:30" x14ac:dyDescent="0.2">
      <c r="A10" s="42">
        <v>42247</v>
      </c>
      <c r="B10" s="43">
        <f>Inputs!D31</f>
        <v>113703937.40356903</v>
      </c>
      <c r="C10" s="124">
        <v>31</v>
      </c>
      <c r="D10" s="124">
        <v>0</v>
      </c>
      <c r="E10" s="121">
        <v>15.799999999999999</v>
      </c>
      <c r="F10" s="121">
        <v>66.699999999999989</v>
      </c>
      <c r="G10" s="148">
        <v>0</v>
      </c>
      <c r="H10" s="158">
        <v>24834009</v>
      </c>
      <c r="I10" s="43">
        <f t="shared" si="0"/>
        <v>109421270.28083482</v>
      </c>
      <c r="J10" s="26">
        <f t="shared" si="1"/>
        <v>-4282667.1227342039</v>
      </c>
      <c r="K10" s="35">
        <f t="shared" si="2"/>
        <v>-3.7665073176259035E-2</v>
      </c>
      <c r="L10" s="9">
        <f t="shared" si="3"/>
        <v>3.7665073176259035E-2</v>
      </c>
      <c r="M10" s="122">
        <f t="shared" si="4"/>
        <v>18341237684148.465</v>
      </c>
      <c r="N10" s="122">
        <f t="shared" si="5"/>
        <v>2551528.5652929842</v>
      </c>
      <c r="O10" s="122">
        <f t="shared" si="6"/>
        <v>6510298019506.0742</v>
      </c>
      <c r="P10" s="9"/>
      <c r="Z10" s="99"/>
      <c r="AA10" s="99"/>
      <c r="AB10" s="99"/>
      <c r="AC10" s="99"/>
      <c r="AD10" s="99"/>
    </row>
    <row r="11" spans="1:30" ht="13.5" thickBot="1" x14ac:dyDescent="0.25">
      <c r="A11" s="42">
        <v>42277</v>
      </c>
      <c r="B11" s="43">
        <f>Inputs!D32</f>
        <v>110599264.66068232</v>
      </c>
      <c r="C11" s="124">
        <v>30</v>
      </c>
      <c r="D11" s="124">
        <v>0</v>
      </c>
      <c r="E11" s="121">
        <v>37</v>
      </c>
      <c r="F11" s="121">
        <v>68.599999999999994</v>
      </c>
      <c r="G11" s="148">
        <v>0</v>
      </c>
      <c r="H11" s="158">
        <v>25273591</v>
      </c>
      <c r="I11" s="43">
        <f t="shared" si="0"/>
        <v>108003234.50164005</v>
      </c>
      <c r="J11" s="26">
        <f t="shared" si="1"/>
        <v>-2596030.159042269</v>
      </c>
      <c r="K11" s="35">
        <f t="shared" si="2"/>
        <v>-2.3472399812122343E-2</v>
      </c>
      <c r="L11" s="9">
        <f t="shared" si="3"/>
        <v>2.3472399812122343E-2</v>
      </c>
      <c r="M11" s="122">
        <f t="shared" si="4"/>
        <v>6739372586657.0283</v>
      </c>
      <c r="N11" s="122">
        <f t="shared" si="5"/>
        <v>1686636.9636919349</v>
      </c>
      <c r="O11" s="122">
        <f t="shared" si="6"/>
        <v>2844744247291.9497</v>
      </c>
      <c r="P11" s="9"/>
      <c r="Q11" t="s">
        <v>18</v>
      </c>
    </row>
    <row r="12" spans="1:30" x14ac:dyDescent="0.2">
      <c r="A12" s="42">
        <v>42308</v>
      </c>
      <c r="B12" s="43">
        <f>Inputs!D33</f>
        <v>97507362.396773115</v>
      </c>
      <c r="C12" s="124">
        <v>31</v>
      </c>
      <c r="D12" s="124">
        <v>1</v>
      </c>
      <c r="E12" s="121">
        <v>222.6</v>
      </c>
      <c r="F12" s="121">
        <v>0.8</v>
      </c>
      <c r="G12" s="148">
        <v>0</v>
      </c>
      <c r="H12" s="158">
        <v>25167538</v>
      </c>
      <c r="I12" s="43">
        <f t="shared" si="0"/>
        <v>91575098.94595097</v>
      </c>
      <c r="J12" s="26">
        <f t="shared" si="1"/>
        <v>-5932263.4508221447</v>
      </c>
      <c r="K12" s="35">
        <f t="shared" si="2"/>
        <v>-6.0839133630574603E-2</v>
      </c>
      <c r="L12" s="9">
        <f t="shared" si="3"/>
        <v>6.0839133630574603E-2</v>
      </c>
      <c r="M12" s="122">
        <f t="shared" si="4"/>
        <v>35191749649960.258</v>
      </c>
      <c r="N12" s="122">
        <f t="shared" si="5"/>
        <v>-3336233.2917798758</v>
      </c>
      <c r="O12" s="122">
        <f t="shared" si="6"/>
        <v>11130452577180.385</v>
      </c>
      <c r="P12" s="9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2">
        <v>42338</v>
      </c>
      <c r="B13" s="43">
        <f>Inputs!D34</f>
        <v>95837426.027168244</v>
      </c>
      <c r="C13" s="124">
        <v>30</v>
      </c>
      <c r="D13" s="124">
        <v>1</v>
      </c>
      <c r="E13" s="121">
        <v>326.19999999999993</v>
      </c>
      <c r="F13" s="121">
        <v>0</v>
      </c>
      <c r="G13" s="148">
        <v>0</v>
      </c>
      <c r="H13" s="158">
        <v>25246254</v>
      </c>
      <c r="I13" s="43">
        <f t="shared" si="0"/>
        <v>90918302.859864518</v>
      </c>
      <c r="J13" s="26">
        <f t="shared" si="1"/>
        <v>-4919123.1673037261</v>
      </c>
      <c r="K13" s="35">
        <f t="shared" si="2"/>
        <v>-5.1327788852647611E-2</v>
      </c>
      <c r="L13" s="9">
        <f t="shared" si="3"/>
        <v>5.1327788852647611E-2</v>
      </c>
      <c r="M13" s="122">
        <f t="shared" si="4"/>
        <v>24197772735104.242</v>
      </c>
      <c r="N13" s="122">
        <f t="shared" si="5"/>
        <v>1013140.2835184187</v>
      </c>
      <c r="O13" s="122">
        <f t="shared" si="6"/>
        <v>1026453234087.7817</v>
      </c>
      <c r="P13" s="9"/>
      <c r="Q13" t="s">
        <v>19</v>
      </c>
      <c r="R13">
        <v>6</v>
      </c>
      <c r="S13">
        <v>1.2242395414372872E+16</v>
      </c>
      <c r="T13">
        <v>2040399235728812</v>
      </c>
      <c r="U13">
        <v>162.68800058316651</v>
      </c>
      <c r="V13">
        <v>3.4385145616410428E-53</v>
      </c>
    </row>
    <row r="14" spans="1:30" x14ac:dyDescent="0.2">
      <c r="A14" s="42">
        <v>42369</v>
      </c>
      <c r="B14" s="43">
        <f>Inputs!D35</f>
        <v>95681304.151613995</v>
      </c>
      <c r="C14" s="124">
        <v>31</v>
      </c>
      <c r="D14" s="124">
        <v>0</v>
      </c>
      <c r="E14" s="121">
        <v>415.00000000000011</v>
      </c>
      <c r="F14" s="121">
        <v>0</v>
      </c>
      <c r="G14" s="148">
        <v>0</v>
      </c>
      <c r="H14" s="158">
        <v>23893646</v>
      </c>
      <c r="I14" s="43">
        <f t="shared" si="0"/>
        <v>100175927.12720281</v>
      </c>
      <c r="J14" s="26">
        <f t="shared" si="1"/>
        <v>4494622.9755888134</v>
      </c>
      <c r="K14" s="35">
        <f t="shared" si="2"/>
        <v>4.6974934292981163E-2</v>
      </c>
      <c r="L14" s="9">
        <f t="shared" si="3"/>
        <v>4.6974934292981163E-2</v>
      </c>
      <c r="M14" s="122">
        <f t="shared" si="4"/>
        <v>20201635692690.84</v>
      </c>
      <c r="N14" s="122">
        <f t="shared" si="5"/>
        <v>9413746.1428925395</v>
      </c>
      <c r="O14" s="122">
        <f t="shared" si="6"/>
        <v>88618616442824.172</v>
      </c>
      <c r="P14" s="9"/>
      <c r="Q14" t="s">
        <v>20</v>
      </c>
      <c r="R14">
        <v>113</v>
      </c>
      <c r="S14">
        <v>1417222615133746.8</v>
      </c>
      <c r="T14">
        <v>12541793054280.945</v>
      </c>
    </row>
    <row r="15" spans="1:30" ht="13.5" thickBot="1" x14ac:dyDescent="0.25">
      <c r="A15" s="42">
        <v>42400</v>
      </c>
      <c r="B15" s="43">
        <f>Inputs!D36</f>
        <v>104360489.6203077</v>
      </c>
      <c r="C15" s="124">
        <v>31</v>
      </c>
      <c r="D15" s="124">
        <f>D3</f>
        <v>0</v>
      </c>
      <c r="E15" s="121">
        <v>663</v>
      </c>
      <c r="F15" s="121">
        <v>0</v>
      </c>
      <c r="G15" s="148">
        <v>0</v>
      </c>
      <c r="H15" s="158">
        <v>23524632</v>
      </c>
      <c r="I15" s="43">
        <f t="shared" si="0"/>
        <v>105231549.48805656</v>
      </c>
      <c r="J15" s="26">
        <f t="shared" si="1"/>
        <v>871059.86774885654</v>
      </c>
      <c r="K15" s="35">
        <f t="shared" si="2"/>
        <v>8.3466441266997985E-3</v>
      </c>
      <c r="L15" s="9">
        <f t="shared" si="3"/>
        <v>8.3466441266997985E-3</v>
      </c>
      <c r="M15" s="122">
        <f t="shared" si="4"/>
        <v>758745293202.6554</v>
      </c>
      <c r="N15" s="122">
        <f t="shared" si="5"/>
        <v>-3623563.1078399569</v>
      </c>
      <c r="O15" s="122">
        <f t="shared" si="6"/>
        <v>13130209596498.768</v>
      </c>
      <c r="P15" s="9"/>
      <c r="Q15" s="167" t="s">
        <v>5</v>
      </c>
      <c r="R15" s="167">
        <v>119</v>
      </c>
      <c r="S15" s="167">
        <v>1.3659618029506618E+16</v>
      </c>
      <c r="T15" s="167"/>
      <c r="U15" s="167"/>
      <c r="V15" s="167"/>
    </row>
    <row r="16" spans="1:30" ht="13.5" thickBot="1" x14ac:dyDescent="0.25">
      <c r="A16" s="42">
        <v>42429</v>
      </c>
      <c r="B16" s="43">
        <f>Inputs!D37</f>
        <v>95757610.426384613</v>
      </c>
      <c r="C16" s="124">
        <v>28</v>
      </c>
      <c r="D16" s="124">
        <f t="shared" ref="D16:D79" si="7">D4</f>
        <v>0</v>
      </c>
      <c r="E16" s="121">
        <v>577.9</v>
      </c>
      <c r="F16" s="121">
        <v>0</v>
      </c>
      <c r="G16" s="148">
        <v>0</v>
      </c>
      <c r="H16" s="158">
        <v>24243959</v>
      </c>
      <c r="I16" s="43">
        <f t="shared" si="0"/>
        <v>95702579.175399974</v>
      </c>
      <c r="J16" s="26">
        <f t="shared" si="1"/>
        <v>-55031.250984638929</v>
      </c>
      <c r="K16" s="35">
        <f t="shared" si="2"/>
        <v>-5.7469323576056855E-4</v>
      </c>
      <c r="L16" s="9">
        <f t="shared" si="3"/>
        <v>5.7469323576056855E-4</v>
      </c>
      <c r="M16" s="122">
        <f t="shared" si="4"/>
        <v>3028438584.9343233</v>
      </c>
      <c r="N16" s="122">
        <f t="shared" si="5"/>
        <v>-926091.11873349547</v>
      </c>
      <c r="O16" s="122">
        <f t="shared" si="6"/>
        <v>857644760197.05725</v>
      </c>
      <c r="P16" s="9"/>
    </row>
    <row r="17" spans="1:25" x14ac:dyDescent="0.2">
      <c r="A17" s="42">
        <v>42460</v>
      </c>
      <c r="B17" s="43">
        <f>Inputs!D38</f>
        <v>95197213.103923097</v>
      </c>
      <c r="C17" s="124">
        <v>31</v>
      </c>
      <c r="D17" s="124">
        <f t="shared" si="7"/>
        <v>1</v>
      </c>
      <c r="E17" s="121">
        <v>437.4</v>
      </c>
      <c r="F17" s="121">
        <v>0</v>
      </c>
      <c r="G17" s="148">
        <v>0</v>
      </c>
      <c r="H17" s="158">
        <v>26157972</v>
      </c>
      <c r="I17" s="43">
        <f t="shared" si="0"/>
        <v>97004677.264562011</v>
      </c>
      <c r="J17" s="26">
        <f t="shared" si="1"/>
        <v>1807464.1606389135</v>
      </c>
      <c r="K17" s="35">
        <f t="shared" si="2"/>
        <v>1.8986523887687502E-2</v>
      </c>
      <c r="L17" s="9">
        <f t="shared" si="3"/>
        <v>1.8986523887687502E-2</v>
      </c>
      <c r="M17" s="122">
        <f t="shared" si="4"/>
        <v>3266926691994.1323</v>
      </c>
      <c r="N17" s="122">
        <f t="shared" si="5"/>
        <v>1862495.4116235524</v>
      </c>
      <c r="O17" s="122">
        <f t="shared" si="6"/>
        <v>3468889158318.7861</v>
      </c>
      <c r="P17" s="9"/>
      <c r="Q17" s="168"/>
      <c r="R17" s="168" t="s">
        <v>90</v>
      </c>
      <c r="S17" s="168" t="s">
        <v>16</v>
      </c>
      <c r="T17" s="168" t="s">
        <v>91</v>
      </c>
      <c r="U17" s="168" t="s">
        <v>92</v>
      </c>
      <c r="V17" s="168" t="s">
        <v>93</v>
      </c>
      <c r="W17" s="168" t="s">
        <v>94</v>
      </c>
      <c r="X17" s="168" t="s">
        <v>95</v>
      </c>
      <c r="Y17" s="168" t="s">
        <v>96</v>
      </c>
    </row>
    <row r="18" spans="1:25" x14ac:dyDescent="0.2">
      <c r="A18" s="42">
        <v>42490</v>
      </c>
      <c r="B18" s="43">
        <f>Inputs!D39</f>
        <v>89223506.73323077</v>
      </c>
      <c r="C18" s="124">
        <v>30</v>
      </c>
      <c r="D18" s="124">
        <f t="shared" si="7"/>
        <v>1</v>
      </c>
      <c r="E18" s="121">
        <v>371.50000000000006</v>
      </c>
      <c r="F18" s="121">
        <v>0</v>
      </c>
      <c r="G18" s="148">
        <v>0</v>
      </c>
      <c r="H18" s="158">
        <v>24474973</v>
      </c>
      <c r="I18" s="43">
        <f t="shared" si="0"/>
        <v>91167323.813212961</v>
      </c>
      <c r="J18" s="26">
        <f t="shared" si="1"/>
        <v>1943817.0799821913</v>
      </c>
      <c r="K18" s="35">
        <f t="shared" si="2"/>
        <v>2.1785930088961951E-2</v>
      </c>
      <c r="L18" s="9">
        <f t="shared" si="3"/>
        <v>2.1785930088961951E-2</v>
      </c>
      <c r="M18" s="122">
        <f t="shared" si="4"/>
        <v>3778424840430.4927</v>
      </c>
      <c r="N18" s="122">
        <f t="shared" si="5"/>
        <v>136352.91934327781</v>
      </c>
      <c r="O18" s="122">
        <f t="shared" si="6"/>
        <v>18592118613.434425</v>
      </c>
      <c r="P18" s="9"/>
      <c r="Q18" t="s">
        <v>21</v>
      </c>
      <c r="R18" s="170">
        <v>-18178492.71367266</v>
      </c>
      <c r="S18">
        <v>12873014.922626201</v>
      </c>
      <c r="T18">
        <v>-1.4121394889181174</v>
      </c>
      <c r="U18">
        <v>0.16065688270587297</v>
      </c>
      <c r="V18">
        <v>-43682257.044831544</v>
      </c>
      <c r="W18">
        <v>7325271.6174862273</v>
      </c>
      <c r="X18">
        <v>-43682257.044831544</v>
      </c>
      <c r="Y18">
        <v>7325271.6174862273</v>
      </c>
    </row>
    <row r="19" spans="1:25" x14ac:dyDescent="0.2">
      <c r="A19" s="42">
        <v>42521</v>
      </c>
      <c r="B19" s="43">
        <f>Inputs!D40</f>
        <v>92885022.863923073</v>
      </c>
      <c r="C19" s="124">
        <v>31</v>
      </c>
      <c r="D19" s="124">
        <f t="shared" si="7"/>
        <v>1</v>
      </c>
      <c r="E19" s="121">
        <v>160.6</v>
      </c>
      <c r="F19" s="121">
        <v>31.3</v>
      </c>
      <c r="G19" s="148">
        <v>0</v>
      </c>
      <c r="H19" s="158">
        <v>24878252</v>
      </c>
      <c r="I19" s="43">
        <f t="shared" si="0"/>
        <v>97742713.61012885</v>
      </c>
      <c r="J19" s="26">
        <f t="shared" si="1"/>
        <v>4857690.7462057769</v>
      </c>
      <c r="K19" s="35">
        <f t="shared" si="2"/>
        <v>5.229789040717913E-2</v>
      </c>
      <c r="L19" s="9">
        <f t="shared" si="3"/>
        <v>5.229789040717913E-2</v>
      </c>
      <c r="M19" s="122">
        <f t="shared" si="4"/>
        <v>23597159385773.238</v>
      </c>
      <c r="N19" s="122">
        <f t="shared" si="5"/>
        <v>2913873.6662235856</v>
      </c>
      <c r="O19" s="122">
        <f t="shared" si="6"/>
        <v>8490659742711.2803</v>
      </c>
      <c r="P19" s="9"/>
      <c r="Q19" t="s">
        <v>118</v>
      </c>
      <c r="R19" s="170">
        <v>2787359.073483082</v>
      </c>
      <c r="S19">
        <v>423375.73443064239</v>
      </c>
      <c r="T19">
        <v>6.5836533528109138</v>
      </c>
      <c r="U19">
        <v>1.502900899167288E-9</v>
      </c>
      <c r="V19">
        <v>1948575.3837763353</v>
      </c>
      <c r="W19">
        <v>3626142.763189829</v>
      </c>
      <c r="X19">
        <v>1948575.3837763353</v>
      </c>
      <c r="Y19">
        <v>3626142.763189829</v>
      </c>
    </row>
    <row r="20" spans="1:25" x14ac:dyDescent="0.2">
      <c r="A20" s="42">
        <v>42551</v>
      </c>
      <c r="B20" s="43">
        <f>Inputs!D41</f>
        <v>103774662.28269231</v>
      </c>
      <c r="C20" s="124">
        <v>30</v>
      </c>
      <c r="D20" s="124">
        <f t="shared" si="7"/>
        <v>0</v>
      </c>
      <c r="E20" s="121">
        <v>23.900000000000002</v>
      </c>
      <c r="F20" s="121">
        <v>53.500000000000007</v>
      </c>
      <c r="G20" s="148">
        <v>0</v>
      </c>
      <c r="H20" s="158">
        <v>26506086</v>
      </c>
      <c r="I20" s="43">
        <f t="shared" si="0"/>
        <v>105038260.57982445</v>
      </c>
      <c r="J20" s="26">
        <f t="shared" si="1"/>
        <v>1263598.2971321344</v>
      </c>
      <c r="K20" s="35">
        <f t="shared" si="2"/>
        <v>1.2176366266458852E-2</v>
      </c>
      <c r="L20" s="9">
        <f t="shared" si="3"/>
        <v>1.2176366266458852E-2</v>
      </c>
      <c r="M20" s="122">
        <f t="shared" si="4"/>
        <v>1596680656515.23</v>
      </c>
      <c r="N20" s="122">
        <f t="shared" si="5"/>
        <v>-3594092.4490736425</v>
      </c>
      <c r="O20" s="122">
        <f t="shared" si="6"/>
        <v>12917500532488.174</v>
      </c>
      <c r="P20" s="9"/>
      <c r="Q20" t="s">
        <v>119</v>
      </c>
      <c r="R20" s="170">
        <v>-5829472.1233574385</v>
      </c>
      <c r="S20">
        <v>870424.58912093635</v>
      </c>
      <c r="T20">
        <v>-6.6972741765541901</v>
      </c>
      <c r="U20">
        <v>8.6335736414302222E-10</v>
      </c>
      <c r="V20">
        <v>-7553940.2236754149</v>
      </c>
      <c r="W20">
        <v>-4105004.023039462</v>
      </c>
      <c r="X20">
        <v>-7553940.2236754149</v>
      </c>
      <c r="Y20">
        <v>-4105004.023039462</v>
      </c>
    </row>
    <row r="21" spans="1:25" x14ac:dyDescent="0.2">
      <c r="A21" s="42">
        <v>42582</v>
      </c>
      <c r="B21" s="43">
        <f>Inputs!D42</f>
        <v>118822675.50546154</v>
      </c>
      <c r="C21" s="124">
        <v>31</v>
      </c>
      <c r="D21" s="124">
        <f t="shared" si="7"/>
        <v>0</v>
      </c>
      <c r="E21" s="121">
        <v>2.9999999999999996</v>
      </c>
      <c r="F21" s="121">
        <v>120.8</v>
      </c>
      <c r="G21" s="148">
        <v>0</v>
      </c>
      <c r="H21" s="158">
        <v>21781623</v>
      </c>
      <c r="I21" s="43">
        <f t="shared" si="0"/>
        <v>120047605.11035103</v>
      </c>
      <c r="J21" s="26">
        <f t="shared" si="1"/>
        <v>1224929.6048894823</v>
      </c>
      <c r="K21" s="35">
        <f t="shared" si="2"/>
        <v>1.030888758966869E-2</v>
      </c>
      <c r="L21" s="9">
        <f t="shared" si="3"/>
        <v>1.030888758966869E-2</v>
      </c>
      <c r="M21" s="122">
        <f t="shared" si="4"/>
        <v>1500452536934.7031</v>
      </c>
      <c r="N21" s="122">
        <f t="shared" si="5"/>
        <v>-38668.692242652178</v>
      </c>
      <c r="O21" s="122">
        <f t="shared" si="6"/>
        <v>1495267759.7569487</v>
      </c>
      <c r="P21" s="9"/>
      <c r="Q21" t="s">
        <v>116</v>
      </c>
      <c r="R21" s="170">
        <v>21811.318308088921</v>
      </c>
      <c r="S21">
        <v>2365.7580737437847</v>
      </c>
      <c r="T21">
        <v>9.2195895050134027</v>
      </c>
      <c r="U21">
        <v>1.9517412487902587E-15</v>
      </c>
      <c r="V21">
        <v>17124.324877261071</v>
      </c>
      <c r="W21">
        <v>26498.311738916771</v>
      </c>
      <c r="X21">
        <v>17124.324877261071</v>
      </c>
      <c r="Y21">
        <v>26498.311738916771</v>
      </c>
    </row>
    <row r="22" spans="1:25" x14ac:dyDescent="0.2">
      <c r="A22" s="42">
        <v>42613</v>
      </c>
      <c r="B22" s="43">
        <f>Inputs!D43</f>
        <v>127445902.89861538</v>
      </c>
      <c r="C22" s="124">
        <v>31</v>
      </c>
      <c r="D22" s="124">
        <f t="shared" si="7"/>
        <v>0</v>
      </c>
      <c r="E22" s="121">
        <v>0.7</v>
      </c>
      <c r="F22" s="121">
        <v>133.39999999999998</v>
      </c>
      <c r="G22" s="148">
        <v>0</v>
      </c>
      <c r="H22" s="158">
        <v>26118386</v>
      </c>
      <c r="I22" s="43">
        <f t="shared" si="0"/>
        <v>127373970.69018535</v>
      </c>
      <c r="J22" s="26">
        <f t="shared" si="1"/>
        <v>-71932.208430022001</v>
      </c>
      <c r="K22" s="35">
        <f t="shared" si="2"/>
        <v>-5.6441365939589969E-4</v>
      </c>
      <c r="L22" s="9">
        <f t="shared" si="3"/>
        <v>5.6441365939589969E-4</v>
      </c>
      <c r="M22" s="122">
        <f t="shared" si="4"/>
        <v>5174242609.6201286</v>
      </c>
      <c r="N22" s="122">
        <f t="shared" si="5"/>
        <v>-1296861.8133195043</v>
      </c>
      <c r="O22" s="122">
        <f t="shared" si="6"/>
        <v>1681850562846.3528</v>
      </c>
      <c r="P22" s="9"/>
      <c r="Q22" t="s">
        <v>117</v>
      </c>
      <c r="R22" s="170">
        <v>255642.83969536624</v>
      </c>
      <c r="S22">
        <v>15788.924074660978</v>
      </c>
      <c r="T22">
        <v>16.191276776461127</v>
      </c>
      <c r="U22">
        <v>3.210096268680297E-31</v>
      </c>
      <c r="V22">
        <v>224362.1334223586</v>
      </c>
      <c r="W22">
        <v>286923.54596837389</v>
      </c>
      <c r="X22">
        <v>224362.1334223586</v>
      </c>
      <c r="Y22">
        <v>286923.54596837389</v>
      </c>
    </row>
    <row r="23" spans="1:25" x14ac:dyDescent="0.2">
      <c r="A23" s="42">
        <v>42643</v>
      </c>
      <c r="B23" s="43">
        <f>Inputs!D44</f>
        <v>105464824.35599998</v>
      </c>
      <c r="C23" s="124">
        <v>30</v>
      </c>
      <c r="D23" s="124">
        <f t="shared" si="7"/>
        <v>0</v>
      </c>
      <c r="E23" s="121">
        <v>32</v>
      </c>
      <c r="F23" s="121">
        <v>53.899999999999991</v>
      </c>
      <c r="G23" s="148">
        <v>0</v>
      </c>
      <c r="H23" s="158">
        <v>26028405</v>
      </c>
      <c r="I23" s="43">
        <f t="shared" si="0"/>
        <v>104859481.46003051</v>
      </c>
      <c r="J23" s="26">
        <f t="shared" si="1"/>
        <v>-605342.89596946537</v>
      </c>
      <c r="K23" s="35">
        <f t="shared" si="2"/>
        <v>-5.7397610972745811E-3</v>
      </c>
      <c r="L23" s="9">
        <f t="shared" si="3"/>
        <v>5.7397610972745811E-3</v>
      </c>
      <c r="M23" s="122">
        <f t="shared" si="4"/>
        <v>366440021700.69897</v>
      </c>
      <c r="N23" s="122">
        <f t="shared" si="5"/>
        <v>-533410.68753944337</v>
      </c>
      <c r="O23" s="122">
        <f t="shared" si="6"/>
        <v>284526961581.3017</v>
      </c>
      <c r="P23" s="9"/>
      <c r="Q23" t="s">
        <v>115</v>
      </c>
      <c r="R23" s="170">
        <v>-5909489.4160755472</v>
      </c>
      <c r="S23">
        <v>2604083.4285901096</v>
      </c>
      <c r="T23">
        <v>-2.2693164708916544</v>
      </c>
      <c r="U23">
        <v>2.5146814623619458E-2</v>
      </c>
      <c r="V23">
        <v>-11068648.359075466</v>
      </c>
      <c r="W23">
        <v>-750330.47307562828</v>
      </c>
      <c r="X23">
        <v>-11068648.359075466</v>
      </c>
      <c r="Y23">
        <v>-750330.47307562828</v>
      </c>
    </row>
    <row r="24" spans="1:25" ht="13.5" thickBot="1" x14ac:dyDescent="0.25">
      <c r="A24" s="42">
        <v>42674</v>
      </c>
      <c r="B24" s="43">
        <f>Inputs!D45</f>
        <v>93365521.291000009</v>
      </c>
      <c r="C24" s="124">
        <v>31</v>
      </c>
      <c r="D24" s="124">
        <f t="shared" si="7"/>
        <v>1</v>
      </c>
      <c r="E24" s="121">
        <v>196.2</v>
      </c>
      <c r="F24" s="121">
        <v>10.5</v>
      </c>
      <c r="G24" s="148">
        <v>0</v>
      </c>
      <c r="H24" s="158">
        <v>25248672</v>
      </c>
      <c r="I24" s="43">
        <f t="shared" si="0"/>
        <v>93556757.267324477</v>
      </c>
      <c r="J24" s="26">
        <f t="shared" si="1"/>
        <v>191235.97632446885</v>
      </c>
      <c r="K24" s="35">
        <f t="shared" si="2"/>
        <v>2.0482505070413301E-3</v>
      </c>
      <c r="L24" s="9">
        <f t="shared" si="3"/>
        <v>2.0482505070413301E-3</v>
      </c>
      <c r="M24" s="122">
        <f t="shared" si="4"/>
        <v>36571198640.772812</v>
      </c>
      <c r="N24" s="122">
        <f t="shared" si="5"/>
        <v>796578.87229393423</v>
      </c>
      <c r="O24" s="122">
        <f t="shared" si="6"/>
        <v>634537899785.07593</v>
      </c>
      <c r="P24" s="9"/>
      <c r="Q24" s="167" t="s">
        <v>125</v>
      </c>
      <c r="R24" s="173">
        <v>0.95818743882967916</v>
      </c>
      <c r="S24" s="167">
        <v>0.105322296791636</v>
      </c>
      <c r="T24" s="167">
        <v>9.0976694206100159</v>
      </c>
      <c r="U24" s="167">
        <v>3.7320179792783712E-15</v>
      </c>
      <c r="V24" s="167">
        <v>0.74952497301764809</v>
      </c>
      <c r="W24" s="167">
        <v>1.1668499046417102</v>
      </c>
      <c r="X24" s="167">
        <v>0.74952497301764809</v>
      </c>
      <c r="Y24" s="167">
        <v>1.1668499046417102</v>
      </c>
    </row>
    <row r="25" spans="1:25" x14ac:dyDescent="0.2">
      <c r="A25" s="42">
        <v>42704</v>
      </c>
      <c r="B25" s="43">
        <f>Inputs!D46</f>
        <v>88461743.387999997</v>
      </c>
      <c r="C25" s="124">
        <v>30</v>
      </c>
      <c r="D25" s="124">
        <f t="shared" si="7"/>
        <v>1</v>
      </c>
      <c r="E25" s="121">
        <v>325.70000000000005</v>
      </c>
      <c r="F25" s="121">
        <v>0</v>
      </c>
      <c r="G25" s="148">
        <v>0</v>
      </c>
      <c r="H25" s="158">
        <v>26188746</v>
      </c>
      <c r="I25" s="43">
        <f t="shared" si="0"/>
        <v>91810481.196307927</v>
      </c>
      <c r="J25" s="26">
        <f t="shared" si="1"/>
        <v>3348737.8083079308</v>
      </c>
      <c r="K25" s="35">
        <f t="shared" si="2"/>
        <v>3.7855209269617371E-2</v>
      </c>
      <c r="L25" s="9">
        <f t="shared" si="3"/>
        <v>3.7855209269617371E-2</v>
      </c>
      <c r="M25" s="122">
        <f t="shared" si="4"/>
        <v>11214044908791.004</v>
      </c>
      <c r="N25" s="122">
        <f t="shared" si="5"/>
        <v>3157501.831983462</v>
      </c>
      <c r="O25" s="122">
        <f t="shared" si="6"/>
        <v>9969817818978.918</v>
      </c>
      <c r="P25" s="9"/>
    </row>
    <row r="26" spans="1:25" x14ac:dyDescent="0.2">
      <c r="A26" s="42">
        <v>42735</v>
      </c>
      <c r="B26" s="43">
        <f>Inputs!D47</f>
        <v>95337474.459999993</v>
      </c>
      <c r="C26" s="124">
        <v>31</v>
      </c>
      <c r="D26" s="124">
        <f t="shared" si="7"/>
        <v>0</v>
      </c>
      <c r="E26" s="121">
        <v>624.80000000000007</v>
      </c>
      <c r="F26" s="121">
        <v>0</v>
      </c>
      <c r="G26" s="148">
        <v>0</v>
      </c>
      <c r="H26" s="158">
        <v>24077403</v>
      </c>
      <c r="I26" s="43">
        <f t="shared" si="0"/>
        <v>104928015.35743688</v>
      </c>
      <c r="J26" s="26">
        <f t="shared" si="1"/>
        <v>9590540.897436887</v>
      </c>
      <c r="K26" s="35">
        <f t="shared" si="2"/>
        <v>0.10059570962791464</v>
      </c>
      <c r="L26" s="9">
        <f t="shared" si="3"/>
        <v>0.10059570962791464</v>
      </c>
      <c r="M26" s="122">
        <f t="shared" si="4"/>
        <v>91978474705409.531</v>
      </c>
      <c r="N26" s="122">
        <f t="shared" si="5"/>
        <v>6241803.0891289562</v>
      </c>
      <c r="O26" s="122">
        <f t="shared" si="6"/>
        <v>38960105803459.781</v>
      </c>
      <c r="P26" s="9"/>
      <c r="Q26" t="s">
        <v>131</v>
      </c>
      <c r="R26" s="157">
        <f>L123</f>
        <v>2.5941356690704683E-2</v>
      </c>
    </row>
    <row r="27" spans="1:25" x14ac:dyDescent="0.2">
      <c r="A27" s="42">
        <v>42766</v>
      </c>
      <c r="B27" s="43">
        <f>Inputs!D48</f>
        <v>101083036.44000001</v>
      </c>
      <c r="C27" s="124">
        <v>31</v>
      </c>
      <c r="D27" s="124">
        <f t="shared" si="7"/>
        <v>0</v>
      </c>
      <c r="E27" s="121">
        <v>586.59999999999991</v>
      </c>
      <c r="F27" s="121">
        <v>0</v>
      </c>
      <c r="G27" s="148">
        <v>0</v>
      </c>
      <c r="H27" s="158">
        <v>24123511</v>
      </c>
      <c r="I27" s="43">
        <f t="shared" si="0"/>
        <v>104139003.10449745</v>
      </c>
      <c r="J27" s="26">
        <f t="shared" si="1"/>
        <v>3055966.6644974351</v>
      </c>
      <c r="K27" s="35">
        <f t="shared" si="2"/>
        <v>3.0232240464119507E-2</v>
      </c>
      <c r="L27" s="9">
        <f t="shared" si="3"/>
        <v>3.0232240464119507E-2</v>
      </c>
      <c r="M27" s="122">
        <f t="shared" si="4"/>
        <v>9338932254519.5781</v>
      </c>
      <c r="N27" s="122">
        <f t="shared" si="5"/>
        <v>-6534574.2329394519</v>
      </c>
      <c r="O27" s="122">
        <f t="shared" si="6"/>
        <v>42700660405796.227</v>
      </c>
      <c r="Q27" t="s">
        <v>132</v>
      </c>
      <c r="R27" s="30">
        <f>O123</f>
        <v>1412196530946499.8</v>
      </c>
    </row>
    <row r="28" spans="1:25" x14ac:dyDescent="0.2">
      <c r="A28" s="42">
        <v>42794</v>
      </c>
      <c r="B28" s="43">
        <f>Inputs!D49</f>
        <v>87791253.170000002</v>
      </c>
      <c r="C28" s="124">
        <v>28</v>
      </c>
      <c r="D28" s="124">
        <f t="shared" si="7"/>
        <v>0</v>
      </c>
      <c r="E28" s="121">
        <v>465.8</v>
      </c>
      <c r="F28" s="121">
        <v>0</v>
      </c>
      <c r="G28" s="148">
        <v>0</v>
      </c>
      <c r="H28" s="158">
        <v>23547398</v>
      </c>
      <c r="I28" s="43">
        <f t="shared" si="0"/>
        <v>92590094.392484561</v>
      </c>
      <c r="J28" s="26">
        <f t="shared" si="1"/>
        <v>4798841.2224845588</v>
      </c>
      <c r="K28" s="35">
        <f t="shared" si="2"/>
        <v>5.4661951495236401E-2</v>
      </c>
      <c r="L28" s="9">
        <f t="shared" si="3"/>
        <v>5.4661951495236401E-2</v>
      </c>
      <c r="M28" s="122">
        <f t="shared" si="4"/>
        <v>23028877078617.094</v>
      </c>
      <c r="N28" s="122">
        <f t="shared" si="5"/>
        <v>1742874.5579871237</v>
      </c>
      <c r="O28" s="122">
        <f t="shared" si="6"/>
        <v>3037611724878.812</v>
      </c>
      <c r="Q28" t="s">
        <v>128</v>
      </c>
      <c r="R28" s="30">
        <f>M123</f>
        <v>1417222615133747</v>
      </c>
    </row>
    <row r="29" spans="1:25" x14ac:dyDescent="0.2">
      <c r="A29" s="42">
        <v>42825</v>
      </c>
      <c r="B29" s="43">
        <f>Inputs!D50</f>
        <v>96483175.329999983</v>
      </c>
      <c r="C29" s="124">
        <v>31</v>
      </c>
      <c r="D29" s="124">
        <f t="shared" si="7"/>
        <v>1</v>
      </c>
      <c r="E29" s="121">
        <v>538.44999999999993</v>
      </c>
      <c r="F29" s="121">
        <v>0</v>
      </c>
      <c r="G29" s="148">
        <v>0</v>
      </c>
      <c r="H29" s="158">
        <v>27873176</v>
      </c>
      <c r="I29" s="43">
        <f t="shared" si="0"/>
        <v>100852197.90742481</v>
      </c>
      <c r="J29" s="26">
        <f t="shared" si="1"/>
        <v>4369022.5774248242</v>
      </c>
      <c r="K29" s="35">
        <f t="shared" si="2"/>
        <v>4.5282740358425402E-2</v>
      </c>
      <c r="L29" s="9">
        <f t="shared" si="3"/>
        <v>4.5282740358425402E-2</v>
      </c>
      <c r="M29" s="122">
        <f t="shared" si="4"/>
        <v>19088358282047.855</v>
      </c>
      <c r="N29" s="122">
        <f t="shared" si="5"/>
        <v>-429818.64505973458</v>
      </c>
      <c r="O29" s="122">
        <f t="shared" si="6"/>
        <v>184744067640.98611</v>
      </c>
    </row>
    <row r="30" spans="1:25" x14ac:dyDescent="0.2">
      <c r="A30" s="42">
        <v>42855</v>
      </c>
      <c r="B30" s="43">
        <f>Inputs!D51</f>
        <v>84555157.050000012</v>
      </c>
      <c r="C30" s="124">
        <v>30</v>
      </c>
      <c r="D30" s="124">
        <f t="shared" si="7"/>
        <v>1</v>
      </c>
      <c r="E30" s="121">
        <v>237.20000000000007</v>
      </c>
      <c r="F30" s="121">
        <v>0.2</v>
      </c>
      <c r="G30" s="148">
        <v>0</v>
      </c>
      <c r="H30" s="158">
        <v>24299797</v>
      </c>
      <c r="I30" s="43">
        <f t="shared" si="0"/>
        <v>88121340.889591262</v>
      </c>
      <c r="J30" s="26">
        <f t="shared" si="1"/>
        <v>3566183.8395912498</v>
      </c>
      <c r="K30" s="35">
        <f t="shared" si="2"/>
        <v>4.2175828938292408E-2</v>
      </c>
      <c r="L30" s="9">
        <f t="shared" si="3"/>
        <v>4.2175828938292408E-2</v>
      </c>
      <c r="M30" s="122">
        <f t="shared" si="4"/>
        <v>12717667177761.789</v>
      </c>
      <c r="N30" s="122">
        <f t="shared" si="5"/>
        <v>-802838.73783357441</v>
      </c>
      <c r="O30" s="122">
        <f t="shared" si="6"/>
        <v>644550038966.20679</v>
      </c>
      <c r="Q30" t="s">
        <v>129</v>
      </c>
      <c r="R30">
        <f>R27/R28</f>
        <v>0.99645356760922632</v>
      </c>
    </row>
    <row r="31" spans="1:25" x14ac:dyDescent="0.2">
      <c r="A31" s="42">
        <v>42886</v>
      </c>
      <c r="B31" s="43">
        <f>Inputs!D52</f>
        <v>88800673.140000001</v>
      </c>
      <c r="C31" s="124">
        <v>31</v>
      </c>
      <c r="D31" s="124">
        <f t="shared" si="7"/>
        <v>1</v>
      </c>
      <c r="E31" s="121">
        <v>177.9</v>
      </c>
      <c r="F31" s="121">
        <v>10.1</v>
      </c>
      <c r="G31" s="148">
        <v>0</v>
      </c>
      <c r="H31" s="158">
        <v>27889652</v>
      </c>
      <c r="I31" s="43">
        <f t="shared" si="0"/>
        <v>95585906.868608713</v>
      </c>
      <c r="J31" s="26">
        <f t="shared" si="1"/>
        <v>6785233.7286087126</v>
      </c>
      <c r="K31" s="35">
        <f t="shared" si="2"/>
        <v>7.640971052000195E-2</v>
      </c>
      <c r="L31" s="9">
        <f t="shared" si="3"/>
        <v>7.640971052000195E-2</v>
      </c>
      <c r="M31" s="122">
        <f t="shared" si="4"/>
        <v>46039396751849.289</v>
      </c>
      <c r="N31" s="122">
        <f t="shared" si="5"/>
        <v>3219049.8890174627</v>
      </c>
      <c r="O31" s="122">
        <f t="shared" si="6"/>
        <v>10362282187983.34</v>
      </c>
    </row>
    <row r="32" spans="1:25" x14ac:dyDescent="0.2">
      <c r="A32" s="42">
        <v>42916</v>
      </c>
      <c r="B32" s="43">
        <f>Inputs!D53</f>
        <v>101082278.53099999</v>
      </c>
      <c r="C32" s="124">
        <v>30</v>
      </c>
      <c r="D32" s="124">
        <f t="shared" si="7"/>
        <v>0</v>
      </c>
      <c r="E32" s="121">
        <v>28.000000000000004</v>
      </c>
      <c r="F32" s="121">
        <v>78.400000000000006</v>
      </c>
      <c r="G32" s="148">
        <v>0</v>
      </c>
      <c r="H32" s="158">
        <v>27692687</v>
      </c>
      <c r="I32" s="43">
        <f t="shared" si="0"/>
        <v>112630179.86640495</v>
      </c>
      <c r="J32" s="26">
        <f t="shared" si="1"/>
        <v>11547901.335404962</v>
      </c>
      <c r="K32" s="35">
        <f t="shared" si="2"/>
        <v>0.11424259032569634</v>
      </c>
      <c r="L32" s="9">
        <f t="shared" si="3"/>
        <v>0.11424259032569634</v>
      </c>
      <c r="M32" s="122">
        <f t="shared" si="4"/>
        <v>133354025252247.72</v>
      </c>
      <c r="N32" s="122">
        <f t="shared" si="5"/>
        <v>4762667.6067962497</v>
      </c>
      <c r="O32" s="122">
        <f t="shared" si="6"/>
        <v>22683002732826.316</v>
      </c>
    </row>
    <row r="33" spans="1:18" x14ac:dyDescent="0.2">
      <c r="A33" s="42">
        <v>42947</v>
      </c>
      <c r="B33" s="43">
        <f>Inputs!D54</f>
        <v>111813962.39</v>
      </c>
      <c r="C33" s="124">
        <v>31</v>
      </c>
      <c r="D33" s="124">
        <f t="shared" si="7"/>
        <v>0</v>
      </c>
      <c r="E33" s="121">
        <v>1.2</v>
      </c>
      <c r="F33" s="121">
        <v>99.7</v>
      </c>
      <c r="G33" s="148">
        <v>0</v>
      </c>
      <c r="H33" s="158">
        <v>21678298</v>
      </c>
      <c r="I33" s="43">
        <f t="shared" si="0"/>
        <v>114515276.10270716</v>
      </c>
      <c r="J33" s="26">
        <f t="shared" si="1"/>
        <v>2701313.7127071619</v>
      </c>
      <c r="K33" s="35">
        <f t="shared" si="2"/>
        <v>2.4159001746894105E-2</v>
      </c>
      <c r="L33" s="9">
        <f t="shared" si="3"/>
        <v>2.4159001746894105E-2</v>
      </c>
      <c r="M33" s="122">
        <f t="shared" si="4"/>
        <v>7297095774459.751</v>
      </c>
      <c r="N33" s="122">
        <f t="shared" si="5"/>
        <v>-8846587.6226978004</v>
      </c>
      <c r="O33" s="122">
        <f t="shared" si="6"/>
        <v>78262112566069.922</v>
      </c>
      <c r="P33"/>
      <c r="R33" s="39"/>
    </row>
    <row r="34" spans="1:18" x14ac:dyDescent="0.2">
      <c r="A34" s="42">
        <v>42978</v>
      </c>
      <c r="B34" s="43">
        <f>Inputs!D55</f>
        <v>109237608.23999998</v>
      </c>
      <c r="C34" s="124">
        <v>31</v>
      </c>
      <c r="D34" s="124">
        <f t="shared" si="7"/>
        <v>0</v>
      </c>
      <c r="E34" s="121">
        <v>20.6</v>
      </c>
      <c r="F34" s="121">
        <v>50.5</v>
      </c>
      <c r="G34" s="148">
        <v>0</v>
      </c>
      <c r="H34" s="158">
        <v>26185973</v>
      </c>
      <c r="I34" s="43">
        <f t="shared" si="0"/>
        <v>106679985.52819866</v>
      </c>
      <c r="J34" s="26">
        <f t="shared" si="1"/>
        <v>-2557622.7118013203</v>
      </c>
      <c r="K34" s="35">
        <f t="shared" si="2"/>
        <v>-2.3413389884755689E-2</v>
      </c>
      <c r="L34" s="9">
        <f t="shared" si="3"/>
        <v>2.3413389884755689E-2</v>
      </c>
      <c r="M34" s="122">
        <f t="shared" si="4"/>
        <v>6541433935921.9395</v>
      </c>
      <c r="N34" s="122">
        <f t="shared" si="5"/>
        <v>-5258936.4245084822</v>
      </c>
      <c r="O34" s="122">
        <f t="shared" si="6"/>
        <v>27656412317022.059</v>
      </c>
      <c r="P34"/>
    </row>
    <row r="35" spans="1:18" x14ac:dyDescent="0.2">
      <c r="A35" s="42">
        <v>43008</v>
      </c>
      <c r="B35" s="43">
        <f>Inputs!D56</f>
        <v>105318945.7</v>
      </c>
      <c r="C35" s="124">
        <v>30</v>
      </c>
      <c r="D35" s="124">
        <f t="shared" si="7"/>
        <v>0</v>
      </c>
      <c r="E35" s="121">
        <v>65.900000000000006</v>
      </c>
      <c r="F35" s="121">
        <v>54.199999999999996</v>
      </c>
      <c r="G35" s="148">
        <v>0</v>
      </c>
      <c r="H35" s="158">
        <v>24928173</v>
      </c>
      <c r="I35" s="43">
        <f t="shared" ref="I35:I66" si="8">$R$18+$R$19*C35+$R$20*D35+$R$21*E35+$R$22*F35+$R$23*G35+$R$24*H35</f>
        <v>104621349.52038486</v>
      </c>
      <c r="J35" s="26">
        <f t="shared" ref="J35:J66" si="9">I35-B35</f>
        <v>-697596.17961513996</v>
      </c>
      <c r="K35" s="35">
        <f t="shared" ref="K35:K66" si="10">J35/B35</f>
        <v>-6.6236532750929347E-3</v>
      </c>
      <c r="L35" s="9">
        <f t="shared" si="3"/>
        <v>6.6236532750929347E-3</v>
      </c>
      <c r="M35" s="122">
        <f t="shared" si="4"/>
        <v>486640429813.63861</v>
      </c>
      <c r="N35" s="122">
        <f t="shared" si="5"/>
        <v>1860026.5321861804</v>
      </c>
      <c r="O35" s="122">
        <f t="shared" si="6"/>
        <v>3459698700436.5479</v>
      </c>
      <c r="P35"/>
    </row>
    <row r="36" spans="1:18" x14ac:dyDescent="0.2">
      <c r="A36" s="42">
        <v>43039</v>
      </c>
      <c r="B36" s="43">
        <f>Inputs!D57</f>
        <v>99050383.330000013</v>
      </c>
      <c r="C36" s="124">
        <v>31</v>
      </c>
      <c r="D36" s="124">
        <f t="shared" si="7"/>
        <v>1</v>
      </c>
      <c r="E36" s="121">
        <v>159.30000000000001</v>
      </c>
      <c r="F36" s="121">
        <v>11.100000000000001</v>
      </c>
      <c r="G36" s="148">
        <v>0</v>
      </c>
      <c r="H36" s="158">
        <v>24596657</v>
      </c>
      <c r="I36" s="43">
        <f t="shared" si="8"/>
        <v>92280552.742644683</v>
      </c>
      <c r="J36" s="26">
        <f t="shared" si="9"/>
        <v>-6769830.5873553306</v>
      </c>
      <c r="K36" s="35">
        <f t="shared" si="10"/>
        <v>-6.8347343642282593E-2</v>
      </c>
      <c r="L36" s="9">
        <f t="shared" si="3"/>
        <v>6.8347343642282593E-2</v>
      </c>
      <c r="M36" s="122">
        <f t="shared" si="4"/>
        <v>45830606181491.82</v>
      </c>
      <c r="N36" s="122">
        <f t="shared" si="5"/>
        <v>-6072234.4077401906</v>
      </c>
      <c r="O36" s="122">
        <f t="shared" si="6"/>
        <v>36872030702543.867</v>
      </c>
      <c r="P36"/>
    </row>
    <row r="37" spans="1:18" x14ac:dyDescent="0.2">
      <c r="A37" s="42">
        <v>43069</v>
      </c>
      <c r="B37" s="43">
        <f>Inputs!D58</f>
        <v>99942861.300000012</v>
      </c>
      <c r="C37" s="124">
        <v>30</v>
      </c>
      <c r="D37" s="124">
        <f t="shared" si="7"/>
        <v>1</v>
      </c>
      <c r="E37" s="121">
        <v>425.8</v>
      </c>
      <c r="F37" s="121">
        <v>0</v>
      </c>
      <c r="G37" s="148">
        <v>0</v>
      </c>
      <c r="H37" s="158">
        <v>26874868</v>
      </c>
      <c r="I37" s="43">
        <f t="shared" si="8"/>
        <v>94651227.640852332</v>
      </c>
      <c r="J37" s="26">
        <f t="shared" si="9"/>
        <v>-5291633.6591476798</v>
      </c>
      <c r="K37" s="35">
        <f t="shared" si="10"/>
        <v>-5.2946589584459684E-2</v>
      </c>
      <c r="L37" s="9">
        <f t="shared" si="3"/>
        <v>5.2946589584459684E-2</v>
      </c>
      <c r="M37" s="122">
        <f t="shared" si="4"/>
        <v>28001386782624.664</v>
      </c>
      <c r="N37" s="122">
        <f t="shared" si="5"/>
        <v>1478196.9282076508</v>
      </c>
      <c r="O37" s="122">
        <f t="shared" si="6"/>
        <v>2185066158562.5347</v>
      </c>
      <c r="P37"/>
    </row>
    <row r="38" spans="1:18" x14ac:dyDescent="0.2">
      <c r="A38" s="42">
        <v>43100</v>
      </c>
      <c r="B38" s="43">
        <f>Inputs!D59</f>
        <v>103823629.38</v>
      </c>
      <c r="C38" s="124">
        <v>31</v>
      </c>
      <c r="D38" s="124">
        <f t="shared" si="7"/>
        <v>0</v>
      </c>
      <c r="E38" s="121">
        <v>711.9</v>
      </c>
      <c r="F38" s="121">
        <v>0</v>
      </c>
      <c r="G38" s="148">
        <v>0</v>
      </c>
      <c r="H38" s="158">
        <v>23624013</v>
      </c>
      <c r="I38" s="43">
        <f t="shared" si="8"/>
        <v>106393348.57918045</v>
      </c>
      <c r="J38" s="26">
        <f t="shared" si="9"/>
        <v>2569719.199180454</v>
      </c>
      <c r="K38" s="35">
        <f t="shared" si="10"/>
        <v>2.4750812647621336E-2</v>
      </c>
      <c r="L38" s="9">
        <f t="shared" si="3"/>
        <v>2.4750812647621336E-2</v>
      </c>
      <c r="M38" s="122">
        <f t="shared" si="4"/>
        <v>6603456762636.6338</v>
      </c>
      <c r="N38" s="122">
        <f t="shared" si="5"/>
        <v>7861352.8583281338</v>
      </c>
      <c r="O38" s="122">
        <f t="shared" si="6"/>
        <v>61800868763143.922</v>
      </c>
      <c r="P38"/>
    </row>
    <row r="39" spans="1:18" x14ac:dyDescent="0.2">
      <c r="A39" s="42">
        <v>43131</v>
      </c>
      <c r="B39" s="43">
        <f>Inputs!D60</f>
        <v>106825889.7814208</v>
      </c>
      <c r="C39" s="124">
        <v>31</v>
      </c>
      <c r="D39" s="124">
        <f t="shared" si="7"/>
        <v>0</v>
      </c>
      <c r="E39" s="121">
        <v>732.30000000000007</v>
      </c>
      <c r="F39" s="121">
        <v>0</v>
      </c>
      <c r="G39" s="148">
        <v>0</v>
      </c>
      <c r="H39" s="158">
        <v>24254768</v>
      </c>
      <c r="I39" s="43">
        <f t="shared" si="8"/>
        <v>107442680.99064447</v>
      </c>
      <c r="J39" s="26">
        <f t="shared" si="9"/>
        <v>616791.20922367275</v>
      </c>
      <c r="K39" s="35">
        <f t="shared" si="10"/>
        <v>5.7737989403664706E-3</v>
      </c>
      <c r="L39" s="9">
        <f t="shared" si="3"/>
        <v>5.7737989403664706E-3</v>
      </c>
      <c r="M39" s="122">
        <f t="shared" si="4"/>
        <v>380431395775.60046</v>
      </c>
      <c r="N39" s="122">
        <f t="shared" si="5"/>
        <v>-1952927.9899567813</v>
      </c>
      <c r="O39" s="122">
        <f t="shared" si="6"/>
        <v>3813927733956.6338</v>
      </c>
      <c r="P39"/>
    </row>
    <row r="40" spans="1:18" x14ac:dyDescent="0.2">
      <c r="A40" s="42">
        <v>43159</v>
      </c>
      <c r="B40" s="43">
        <f>Inputs!D61</f>
        <v>92714687.858999997</v>
      </c>
      <c r="C40" s="124">
        <v>28</v>
      </c>
      <c r="D40" s="124">
        <f t="shared" si="7"/>
        <v>0</v>
      </c>
      <c r="E40" s="121">
        <v>552.4</v>
      </c>
      <c r="F40" s="121">
        <v>0</v>
      </c>
      <c r="G40" s="148">
        <v>0</v>
      </c>
      <c r="H40" s="158">
        <v>24396362</v>
      </c>
      <c r="I40" s="43">
        <f t="shared" si="8"/>
        <v>95292421.198783666</v>
      </c>
      <c r="J40" s="26">
        <f t="shared" si="9"/>
        <v>2577733.3397836685</v>
      </c>
      <c r="K40" s="35">
        <f t="shared" si="10"/>
        <v>2.7802858417685358E-2</v>
      </c>
      <c r="L40" s="9">
        <f t="shared" si="3"/>
        <v>2.7802858417685358E-2</v>
      </c>
      <c r="M40" s="122">
        <f t="shared" si="4"/>
        <v>6644709171032.2656</v>
      </c>
      <c r="N40" s="122">
        <f t="shared" si="5"/>
        <v>1960942.1305599958</v>
      </c>
      <c r="O40" s="122">
        <f t="shared" si="6"/>
        <v>3845294039405.1753</v>
      </c>
      <c r="P40"/>
    </row>
    <row r="41" spans="1:18" x14ac:dyDescent="0.2">
      <c r="A41" s="42">
        <v>43190</v>
      </c>
      <c r="B41" s="43">
        <f>Inputs!D62</f>
        <v>100762780.59100001</v>
      </c>
      <c r="C41" s="124">
        <v>31</v>
      </c>
      <c r="D41" s="124">
        <f t="shared" si="7"/>
        <v>1</v>
      </c>
      <c r="E41" s="121">
        <v>570.69999999999993</v>
      </c>
      <c r="F41" s="121">
        <v>0</v>
      </c>
      <c r="G41" s="148">
        <v>0</v>
      </c>
      <c r="H41" s="158">
        <v>27480792</v>
      </c>
      <c r="I41" s="43">
        <f t="shared" si="8"/>
        <v>101179635.50286293</v>
      </c>
      <c r="J41" s="26">
        <f t="shared" si="9"/>
        <v>416854.9118629247</v>
      </c>
      <c r="K41" s="35">
        <f t="shared" si="10"/>
        <v>4.1369929394361868E-3</v>
      </c>
      <c r="L41" s="9">
        <f t="shared" si="3"/>
        <v>4.1369929394361868E-3</v>
      </c>
      <c r="M41" s="122">
        <f t="shared" si="4"/>
        <v>173768017544.2467</v>
      </c>
      <c r="N41" s="122">
        <f t="shared" si="5"/>
        <v>-2160878.4279207438</v>
      </c>
      <c r="O41" s="122">
        <f t="shared" si="6"/>
        <v>4669395580253.2256</v>
      </c>
      <c r="P41"/>
    </row>
    <row r="42" spans="1:18" x14ac:dyDescent="0.2">
      <c r="A42" s="42">
        <v>43220</v>
      </c>
      <c r="B42" s="43">
        <f>Inputs!D63</f>
        <v>93453119.36999999</v>
      </c>
      <c r="C42" s="124">
        <v>30</v>
      </c>
      <c r="D42" s="124">
        <f t="shared" si="7"/>
        <v>1</v>
      </c>
      <c r="E42" s="121">
        <v>426.7</v>
      </c>
      <c r="F42" s="121">
        <v>0</v>
      </c>
      <c r="G42" s="148">
        <v>0</v>
      </c>
      <c r="H42" s="158">
        <v>26263629</v>
      </c>
      <c r="I42" s="43">
        <f t="shared" si="8"/>
        <v>94085176.295406789</v>
      </c>
      <c r="J42" s="26">
        <f t="shared" si="9"/>
        <v>632056.92540679872</v>
      </c>
      <c r="K42" s="35">
        <f t="shared" si="10"/>
        <v>6.763358244943716E-3</v>
      </c>
      <c r="L42" s="9">
        <f t="shared" si="3"/>
        <v>6.763358244943716E-3</v>
      </c>
      <c r="M42" s="122">
        <f t="shared" si="4"/>
        <v>399495956954.6955</v>
      </c>
      <c r="N42" s="122">
        <f t="shared" si="5"/>
        <v>215202.01354387403</v>
      </c>
      <c r="O42" s="122">
        <f t="shared" si="6"/>
        <v>46311906633.337738</v>
      </c>
      <c r="P42"/>
    </row>
    <row r="43" spans="1:18" x14ac:dyDescent="0.2">
      <c r="A43" s="42">
        <v>43251</v>
      </c>
      <c r="B43" s="43">
        <f>Inputs!D64</f>
        <v>97499887.127999991</v>
      </c>
      <c r="C43" s="124">
        <v>31</v>
      </c>
      <c r="D43" s="124">
        <f t="shared" si="7"/>
        <v>1</v>
      </c>
      <c r="E43" s="121">
        <v>78.099999999999994</v>
      </c>
      <c r="F43" s="121">
        <v>39.6</v>
      </c>
      <c r="G43" s="148">
        <v>0</v>
      </c>
      <c r="H43" s="158">
        <v>28175765</v>
      </c>
      <c r="I43" s="43">
        <f t="shared" si="8"/>
        <v>101224750.95516062</v>
      </c>
      <c r="J43" s="26">
        <f t="shared" si="9"/>
        <v>3724863.8271606266</v>
      </c>
      <c r="K43" s="35">
        <f t="shared" si="10"/>
        <v>3.8203775787663666E-2</v>
      </c>
      <c r="L43" s="9">
        <f t="shared" si="3"/>
        <v>3.8203775787663666E-2</v>
      </c>
      <c r="M43" s="122">
        <f t="shared" si="4"/>
        <v>13874610530889.711</v>
      </c>
      <c r="N43" s="122">
        <f t="shared" si="5"/>
        <v>3092806.9017538279</v>
      </c>
      <c r="O43" s="122">
        <f t="shared" si="6"/>
        <v>9565454531536.1113</v>
      </c>
      <c r="P43"/>
    </row>
    <row r="44" spans="1:18" x14ac:dyDescent="0.2">
      <c r="A44" s="42">
        <v>43281</v>
      </c>
      <c r="B44" s="43">
        <f>Inputs!D65</f>
        <v>104943076.84800002</v>
      </c>
      <c r="C44" s="124">
        <v>30</v>
      </c>
      <c r="D44" s="124">
        <f t="shared" si="7"/>
        <v>0</v>
      </c>
      <c r="E44" s="121">
        <v>15.399999999999997</v>
      </c>
      <c r="F44" s="121">
        <v>64.399999999999991</v>
      </c>
      <c r="G44" s="148">
        <v>0</v>
      </c>
      <c r="H44" s="158">
        <v>28179726</v>
      </c>
      <c r="I44" s="43">
        <f t="shared" si="8"/>
        <v>109243032.15200807</v>
      </c>
      <c r="J44" s="26">
        <f t="shared" si="9"/>
        <v>4299955.3040080518</v>
      </c>
      <c r="K44" s="35">
        <f t="shared" si="10"/>
        <v>4.0974168407851473E-2</v>
      </c>
      <c r="L44" s="9">
        <f t="shared" si="3"/>
        <v>4.0974168407851473E-2</v>
      </c>
      <c r="M44" s="122">
        <f t="shared" si="4"/>
        <v>18489615616466.977</v>
      </c>
      <c r="N44" s="122">
        <f t="shared" si="5"/>
        <v>575091.4768474251</v>
      </c>
      <c r="O44" s="122">
        <f t="shared" si="6"/>
        <v>330730206742.55249</v>
      </c>
      <c r="P44"/>
    </row>
    <row r="45" spans="1:18" x14ac:dyDescent="0.2">
      <c r="A45" s="42">
        <v>43312</v>
      </c>
      <c r="B45" s="43">
        <f>Inputs!D66</f>
        <v>122641656.529</v>
      </c>
      <c r="C45" s="124">
        <v>31</v>
      </c>
      <c r="D45" s="124">
        <f t="shared" si="7"/>
        <v>0</v>
      </c>
      <c r="E45" s="121">
        <v>1.7999999999999998</v>
      </c>
      <c r="F45" s="121">
        <v>119.25000000000001</v>
      </c>
      <c r="G45" s="148">
        <v>0</v>
      </c>
      <c r="H45" s="158">
        <v>24785543</v>
      </c>
      <c r="I45" s="43">
        <f t="shared" si="8"/>
        <v>122503503.53810278</v>
      </c>
      <c r="J45" s="26">
        <f t="shared" si="9"/>
        <v>-138152.99089722335</v>
      </c>
      <c r="K45" s="35">
        <f t="shared" si="10"/>
        <v>-1.1264768823842127E-3</v>
      </c>
      <c r="L45" s="9">
        <f t="shared" si="3"/>
        <v>1.1264768823842127E-3</v>
      </c>
      <c r="M45" s="122">
        <f t="shared" si="4"/>
        <v>19086248893.848278</v>
      </c>
      <c r="N45" s="122">
        <f t="shared" si="5"/>
        <v>-4438108.2949052751</v>
      </c>
      <c r="O45" s="122">
        <f t="shared" si="6"/>
        <v>19696805237307.008</v>
      </c>
      <c r="P45"/>
    </row>
    <row r="46" spans="1:18" x14ac:dyDescent="0.2">
      <c r="A46" s="42">
        <v>43343</v>
      </c>
      <c r="B46" s="43">
        <f>Inputs!D67</f>
        <v>125626145.32900003</v>
      </c>
      <c r="C46" s="124">
        <v>31</v>
      </c>
      <c r="D46" s="124">
        <f t="shared" si="7"/>
        <v>0</v>
      </c>
      <c r="E46" s="121">
        <v>2</v>
      </c>
      <c r="F46" s="121">
        <v>120.90000000000002</v>
      </c>
      <c r="G46" s="148">
        <v>0</v>
      </c>
      <c r="H46" s="158">
        <v>28118914</v>
      </c>
      <c r="I46" s="43">
        <f t="shared" si="8"/>
        <v>126123670.70842086</v>
      </c>
      <c r="J46" s="26">
        <f t="shared" si="9"/>
        <v>497525.3794208318</v>
      </c>
      <c r="K46" s="35">
        <f t="shared" si="10"/>
        <v>3.9603649233833577E-3</v>
      </c>
      <c r="L46" s="9">
        <f t="shared" si="3"/>
        <v>3.9603649233833577E-3</v>
      </c>
      <c r="M46" s="122">
        <f t="shared" si="4"/>
        <v>247531503167.84265</v>
      </c>
      <c r="N46" s="122">
        <f t="shared" si="5"/>
        <v>635678.37031805515</v>
      </c>
      <c r="O46" s="122">
        <f t="shared" si="6"/>
        <v>404086990490.21844</v>
      </c>
      <c r="P46"/>
    </row>
    <row r="47" spans="1:18" x14ac:dyDescent="0.2">
      <c r="A47" s="42">
        <v>43373</v>
      </c>
      <c r="B47" s="43">
        <f>Inputs!D68</f>
        <v>108215469.03999999</v>
      </c>
      <c r="C47" s="124">
        <v>30</v>
      </c>
      <c r="D47" s="124">
        <f t="shared" si="7"/>
        <v>0</v>
      </c>
      <c r="E47" s="121">
        <v>52.199999999999996</v>
      </c>
      <c r="F47" s="121">
        <v>66.999999999999986</v>
      </c>
      <c r="G47" s="148">
        <v>0</v>
      </c>
      <c r="H47" s="158">
        <v>26444395</v>
      </c>
      <c r="I47" s="43">
        <f t="shared" si="8"/>
        <v>109047587.68254195</v>
      </c>
      <c r="J47" s="26">
        <f t="shared" si="9"/>
        <v>832118.64254195988</v>
      </c>
      <c r="K47" s="35">
        <f t="shared" si="10"/>
        <v>7.6894611271738009E-3</v>
      </c>
      <c r="L47" s="9">
        <f t="shared" si="3"/>
        <v>7.6894611271738009E-3</v>
      </c>
      <c r="M47" s="122">
        <f t="shared" si="4"/>
        <v>692421435265.87402</v>
      </c>
      <c r="N47" s="122">
        <f t="shared" si="5"/>
        <v>334593.26312112808</v>
      </c>
      <c r="O47" s="122">
        <f t="shared" si="6"/>
        <v>111952651726.04445</v>
      </c>
      <c r="P47"/>
    </row>
    <row r="48" spans="1:18" x14ac:dyDescent="0.2">
      <c r="A48" s="42">
        <v>43404</v>
      </c>
      <c r="B48" s="43">
        <f>Inputs!D69</f>
        <v>98748100.769000039</v>
      </c>
      <c r="C48" s="124">
        <v>31</v>
      </c>
      <c r="D48" s="124">
        <f t="shared" si="7"/>
        <v>1</v>
      </c>
      <c r="E48" s="121">
        <v>261</v>
      </c>
      <c r="F48" s="121">
        <v>14.3</v>
      </c>
      <c r="G48" s="148">
        <v>0</v>
      </c>
      <c r="H48" s="158">
        <v>28462067</v>
      </c>
      <c r="I48" s="43">
        <f t="shared" si="8"/>
        <v>99020608.209529132</v>
      </c>
      <c r="J48" s="26">
        <f t="shared" si="9"/>
        <v>272507.44052909315</v>
      </c>
      <c r="K48" s="35">
        <f t="shared" si="10"/>
        <v>2.759622093052359E-3</v>
      </c>
      <c r="L48" s="9">
        <f t="shared" si="3"/>
        <v>2.759622093052359E-3</v>
      </c>
      <c r="M48" s="122">
        <f t="shared" si="4"/>
        <v>74260305143.717239</v>
      </c>
      <c r="N48" s="122">
        <f t="shared" si="5"/>
        <v>-559611.20201286674</v>
      </c>
      <c r="O48" s="122">
        <f t="shared" si="6"/>
        <v>313164697418.28552</v>
      </c>
      <c r="P48"/>
    </row>
    <row r="49" spans="1:16" x14ac:dyDescent="0.2">
      <c r="A49" s="42">
        <v>43434</v>
      </c>
      <c r="B49" s="43">
        <f>Inputs!D70</f>
        <v>99742440.160000011</v>
      </c>
      <c r="C49" s="124">
        <v>30</v>
      </c>
      <c r="D49" s="124">
        <f t="shared" si="7"/>
        <v>1</v>
      </c>
      <c r="E49" s="121">
        <v>487.2999999999999</v>
      </c>
      <c r="F49" s="121">
        <v>0</v>
      </c>
      <c r="G49" s="148">
        <v>0</v>
      </c>
      <c r="H49" s="158">
        <v>27990486</v>
      </c>
      <c r="I49" s="43">
        <f t="shared" si="8"/>
        <v>97061594.870932087</v>
      </c>
      <c r="J49" s="26">
        <f t="shared" si="9"/>
        <v>-2680845.289067924</v>
      </c>
      <c r="K49" s="35">
        <f t="shared" si="10"/>
        <v>-2.687767899770143E-2</v>
      </c>
      <c r="L49" s="9">
        <f t="shared" si="3"/>
        <v>2.687767899770143E-2</v>
      </c>
      <c r="M49" s="122">
        <f t="shared" si="4"/>
        <v>7186931463917.6807</v>
      </c>
      <c r="N49" s="122">
        <f t="shared" si="5"/>
        <v>-2953352.7295970172</v>
      </c>
      <c r="O49" s="122">
        <f t="shared" si="6"/>
        <v>8722292345418.1523</v>
      </c>
      <c r="P49"/>
    </row>
    <row r="50" spans="1:16" x14ac:dyDescent="0.2">
      <c r="A50" s="42">
        <v>43465</v>
      </c>
      <c r="B50" s="43">
        <f>Inputs!D71</f>
        <v>98928053.012999997</v>
      </c>
      <c r="C50" s="124">
        <v>31</v>
      </c>
      <c r="D50" s="124">
        <f t="shared" si="7"/>
        <v>0</v>
      </c>
      <c r="E50" s="121">
        <v>535</v>
      </c>
      <c r="F50" s="121">
        <v>0</v>
      </c>
      <c r="G50" s="148">
        <v>0</v>
      </c>
      <c r="H50" s="158">
        <v>24418226</v>
      </c>
      <c r="I50" s="43">
        <f t="shared" si="8"/>
        <v>103295931.29083475</v>
      </c>
      <c r="J50" s="26">
        <f t="shared" si="9"/>
        <v>4367878.2778347582</v>
      </c>
      <c r="K50" s="35">
        <f t="shared" si="10"/>
        <v>4.4152069557669163E-2</v>
      </c>
      <c r="L50" s="9">
        <f t="shared" si="3"/>
        <v>4.4152069557669163E-2</v>
      </c>
      <c r="M50" s="122">
        <f t="shared" si="4"/>
        <v>19078360649980.734</v>
      </c>
      <c r="N50" s="122">
        <f t="shared" si="5"/>
        <v>7048723.5669026822</v>
      </c>
      <c r="O50" s="122">
        <f t="shared" si="6"/>
        <v>49684503922609.273</v>
      </c>
      <c r="P50"/>
    </row>
    <row r="51" spans="1:16" x14ac:dyDescent="0.2">
      <c r="A51" s="42">
        <v>43496</v>
      </c>
      <c r="B51" s="43">
        <f>Inputs!D72</f>
        <v>107530191.59399998</v>
      </c>
      <c r="C51" s="124">
        <v>31</v>
      </c>
      <c r="D51" s="124">
        <f t="shared" si="7"/>
        <v>0</v>
      </c>
      <c r="E51" s="121">
        <v>727</v>
      </c>
      <c r="F51" s="121">
        <v>0</v>
      </c>
      <c r="G51" s="148">
        <v>0</v>
      </c>
      <c r="H51" s="158">
        <v>25785115</v>
      </c>
      <c r="I51" s="43">
        <f t="shared" si="8"/>
        <v>108793440.27606228</v>
      </c>
      <c r="J51" s="26">
        <f t="shared" si="9"/>
        <v>1263248.6820622981</v>
      </c>
      <c r="K51" s="35">
        <f t="shared" si="10"/>
        <v>1.1747851122891381E-2</v>
      </c>
      <c r="L51" s="9">
        <f t="shared" si="3"/>
        <v>1.1747851122891381E-2</v>
      </c>
      <c r="M51" s="122">
        <f t="shared" si="4"/>
        <v>1595797232732.1331</v>
      </c>
      <c r="N51" s="122">
        <f t="shared" si="5"/>
        <v>-3104629.5957724601</v>
      </c>
      <c r="O51" s="122">
        <f t="shared" si="6"/>
        <v>9638724926946.2695</v>
      </c>
      <c r="P51"/>
    </row>
    <row r="52" spans="1:16" x14ac:dyDescent="0.2">
      <c r="A52" s="42">
        <v>43524</v>
      </c>
      <c r="B52" s="43">
        <f>Inputs!D73</f>
        <v>96871247.836999983</v>
      </c>
      <c r="C52" s="124">
        <v>28</v>
      </c>
      <c r="D52" s="124">
        <f t="shared" si="7"/>
        <v>0</v>
      </c>
      <c r="E52" s="121">
        <v>588.20000000000005</v>
      </c>
      <c r="F52" s="121">
        <v>0</v>
      </c>
      <c r="G52" s="148">
        <v>0</v>
      </c>
      <c r="H52" s="158">
        <v>24283797</v>
      </c>
      <c r="I52" s="43">
        <f t="shared" si="8"/>
        <v>95965408.025161386</v>
      </c>
      <c r="J52" s="26">
        <f t="shared" si="9"/>
        <v>-905839.81183859706</v>
      </c>
      <c r="K52" s="35">
        <f t="shared" si="10"/>
        <v>-9.3509666909917868E-3</v>
      </c>
      <c r="L52" s="9">
        <f t="shared" si="3"/>
        <v>9.3509666909917868E-3</v>
      </c>
      <c r="M52" s="122">
        <f t="shared" si="4"/>
        <v>820545764711.78491</v>
      </c>
      <c r="N52" s="122">
        <f t="shared" si="5"/>
        <v>-2169088.4939008951</v>
      </c>
      <c r="O52" s="122">
        <f t="shared" si="6"/>
        <v>4704944894373.2539</v>
      </c>
      <c r="P52"/>
    </row>
    <row r="53" spans="1:16" x14ac:dyDescent="0.2">
      <c r="A53" s="42">
        <v>43555</v>
      </c>
      <c r="B53" s="43">
        <f>Inputs!D74</f>
        <v>101278430.30499999</v>
      </c>
      <c r="C53" s="124">
        <v>31</v>
      </c>
      <c r="D53" s="124">
        <f t="shared" si="7"/>
        <v>1</v>
      </c>
      <c r="E53" s="121">
        <v>570.30000000000007</v>
      </c>
      <c r="F53" s="121">
        <v>0</v>
      </c>
      <c r="G53" s="148">
        <v>0</v>
      </c>
      <c r="H53" s="158">
        <v>27688795</v>
      </c>
      <c r="I53" s="43">
        <f t="shared" si="8"/>
        <v>101370216.83737859</v>
      </c>
      <c r="J53" s="26">
        <f t="shared" si="9"/>
        <v>91786.532378599048</v>
      </c>
      <c r="K53" s="35">
        <f t="shared" si="10"/>
        <v>9.0627917615018229E-4</v>
      </c>
      <c r="L53" s="9">
        <f t="shared" si="3"/>
        <v>9.0627917615018229E-4</v>
      </c>
      <c r="M53" s="122">
        <f t="shared" si="4"/>
        <v>8424767526.0876112</v>
      </c>
      <c r="N53" s="122">
        <f t="shared" si="5"/>
        <v>997626.34421719611</v>
      </c>
      <c r="O53" s="122">
        <f t="shared" si="6"/>
        <v>995258322676.16748</v>
      </c>
      <c r="P53"/>
    </row>
    <row r="54" spans="1:16" x14ac:dyDescent="0.2">
      <c r="A54" s="42">
        <v>43585</v>
      </c>
      <c r="B54" s="43">
        <f>Inputs!D75</f>
        <v>89051057.089999989</v>
      </c>
      <c r="C54" s="124">
        <v>30</v>
      </c>
      <c r="D54" s="124">
        <f t="shared" si="7"/>
        <v>1</v>
      </c>
      <c r="E54" s="121">
        <v>320.60000000000002</v>
      </c>
      <c r="F54" s="121">
        <v>0</v>
      </c>
      <c r="G54" s="148">
        <v>0</v>
      </c>
      <c r="H54" s="158">
        <v>26428544</v>
      </c>
      <c r="I54" s="43">
        <f t="shared" si="8"/>
        <v>91929014.904393166</v>
      </c>
      <c r="J54" s="26">
        <f t="shared" si="9"/>
        <v>2877957.8143931776</v>
      </c>
      <c r="K54" s="35">
        <f t="shared" si="10"/>
        <v>3.2318064584955487E-2</v>
      </c>
      <c r="L54" s="9">
        <f t="shared" si="3"/>
        <v>3.2318064584955487E-2</v>
      </c>
      <c r="M54" s="122">
        <f t="shared" si="4"/>
        <v>8282641181426.7559</v>
      </c>
      <c r="N54" s="122">
        <f t="shared" si="5"/>
        <v>2786171.2820145786</v>
      </c>
      <c r="O54" s="122">
        <f t="shared" si="6"/>
        <v>7762750412722.7607</v>
      </c>
      <c r="P54"/>
    </row>
    <row r="55" spans="1:16" x14ac:dyDescent="0.2">
      <c r="A55" s="42">
        <v>43616</v>
      </c>
      <c r="B55" s="43">
        <f>Inputs!D76</f>
        <v>91271581.115999982</v>
      </c>
      <c r="C55" s="124">
        <v>31</v>
      </c>
      <c r="D55" s="124">
        <f t="shared" si="7"/>
        <v>1</v>
      </c>
      <c r="E55" s="121">
        <v>166.49999999999997</v>
      </c>
      <c r="F55" s="121">
        <v>7.1</v>
      </c>
      <c r="G55" s="148">
        <v>0</v>
      </c>
      <c r="H55" s="158">
        <v>29199081</v>
      </c>
      <c r="I55" s="43">
        <f t="shared" si="8"/>
        <v>95825007.7406497</v>
      </c>
      <c r="J55" s="26">
        <f t="shared" si="9"/>
        <v>4553426.6246497184</v>
      </c>
      <c r="K55" s="35">
        <f t="shared" si="10"/>
        <v>4.9888766787798078E-2</v>
      </c>
      <c r="L55" s="9">
        <f t="shared" si="3"/>
        <v>4.9888766787798078E-2</v>
      </c>
      <c r="M55" s="122">
        <f t="shared" si="4"/>
        <v>20733694026068.926</v>
      </c>
      <c r="N55" s="122">
        <f t="shared" si="5"/>
        <v>1675468.8102565408</v>
      </c>
      <c r="O55" s="122">
        <f t="shared" si="6"/>
        <v>2807195734142.4683</v>
      </c>
      <c r="P55"/>
    </row>
    <row r="56" spans="1:16" x14ac:dyDescent="0.2">
      <c r="A56" s="42">
        <v>43646</v>
      </c>
      <c r="B56" s="43">
        <f>Inputs!D77</f>
        <v>97440947.072999999</v>
      </c>
      <c r="C56" s="124">
        <v>30</v>
      </c>
      <c r="D56" s="124">
        <f t="shared" si="7"/>
        <v>0</v>
      </c>
      <c r="E56" s="121">
        <v>38.699999999999996</v>
      </c>
      <c r="F56" s="121">
        <v>40.100000000000009</v>
      </c>
      <c r="G56" s="148">
        <v>0</v>
      </c>
      <c r="H56" s="158">
        <v>27741318</v>
      </c>
      <c r="I56" s="43">
        <f t="shared" si="8"/>
        <v>103119037.82530671</v>
      </c>
      <c r="J56" s="26">
        <f t="shared" si="9"/>
        <v>5678090.7523067147</v>
      </c>
      <c r="K56" s="35">
        <f t="shared" si="10"/>
        <v>5.8272121965859486E-2</v>
      </c>
      <c r="L56" s="9">
        <f t="shared" si="3"/>
        <v>5.8272121965859486E-2</v>
      </c>
      <c r="M56" s="122">
        <f t="shared" si="4"/>
        <v>32240714591431.031</v>
      </c>
      <c r="N56" s="122">
        <f t="shared" si="5"/>
        <v>1124664.1276569963</v>
      </c>
      <c r="O56" s="122">
        <f t="shared" si="6"/>
        <v>1264869400038.4724</v>
      </c>
      <c r="P56"/>
    </row>
    <row r="57" spans="1:16" x14ac:dyDescent="0.2">
      <c r="A57" s="42">
        <v>43677</v>
      </c>
      <c r="B57" s="43">
        <f>Inputs!D78</f>
        <v>124803907.67999999</v>
      </c>
      <c r="C57" s="124">
        <v>31</v>
      </c>
      <c r="D57" s="124">
        <f t="shared" si="7"/>
        <v>0</v>
      </c>
      <c r="E57" s="121">
        <v>0.6</v>
      </c>
      <c r="F57" s="121">
        <v>137.1</v>
      </c>
      <c r="G57" s="148">
        <v>0</v>
      </c>
      <c r="H57" s="158">
        <v>24905053</v>
      </c>
      <c r="I57" s="43">
        <f t="shared" si="8"/>
        <v>127155067.62550987</v>
      </c>
      <c r="J57" s="26">
        <f t="shared" si="9"/>
        <v>2351159.9455098808</v>
      </c>
      <c r="K57" s="35">
        <f t="shared" si="10"/>
        <v>1.8838832767466764E-2</v>
      </c>
      <c r="L57" s="9">
        <f t="shared" si="3"/>
        <v>1.8838832767466764E-2</v>
      </c>
      <c r="M57" s="122">
        <f t="shared" si="4"/>
        <v>5527953089370.0254</v>
      </c>
      <c r="N57" s="122">
        <f t="shared" si="5"/>
        <v>-3326930.8067968339</v>
      </c>
      <c r="O57" s="122">
        <f t="shared" si="6"/>
        <v>11068468593213.832</v>
      </c>
      <c r="P57"/>
    </row>
    <row r="58" spans="1:16" x14ac:dyDescent="0.2">
      <c r="A58" s="42">
        <v>43708</v>
      </c>
      <c r="B58" s="43">
        <f>Inputs!D79</f>
        <v>118125634.766</v>
      </c>
      <c r="C58" s="124">
        <v>31</v>
      </c>
      <c r="D58" s="124">
        <f t="shared" si="7"/>
        <v>0</v>
      </c>
      <c r="E58" s="121">
        <v>11</v>
      </c>
      <c r="F58" s="121">
        <v>73.3</v>
      </c>
      <c r="G58" s="148">
        <v>0</v>
      </c>
      <c r="H58" s="158">
        <v>27300101</v>
      </c>
      <c r="I58" s="43">
        <f t="shared" si="8"/>
        <v>113366797.07234378</v>
      </c>
      <c r="J58" s="26">
        <f t="shared" si="9"/>
        <v>-4758837.693656221</v>
      </c>
      <c r="K58" s="35">
        <f t="shared" si="10"/>
        <v>-4.0286240180492587E-2</v>
      </c>
      <c r="L58" s="9">
        <f t="shared" si="3"/>
        <v>4.0286240180492587E-2</v>
      </c>
      <c r="M58" s="122">
        <f t="shared" si="4"/>
        <v>22646536194563.262</v>
      </c>
      <c r="N58" s="122">
        <f t="shared" si="5"/>
        <v>-7109997.6391661018</v>
      </c>
      <c r="O58" s="122">
        <f t="shared" si="6"/>
        <v>50552066428947.539</v>
      </c>
      <c r="P58"/>
    </row>
    <row r="59" spans="1:16" x14ac:dyDescent="0.2">
      <c r="A59" s="42">
        <v>43738</v>
      </c>
      <c r="B59" s="43">
        <f>Inputs!D80</f>
        <v>103269140.34899999</v>
      </c>
      <c r="C59" s="124">
        <v>30</v>
      </c>
      <c r="D59" s="124">
        <f t="shared" si="7"/>
        <v>0</v>
      </c>
      <c r="E59" s="121">
        <v>34.499999999999993</v>
      </c>
      <c r="F59" s="121">
        <v>42.599999999999994</v>
      </c>
      <c r="G59" s="148">
        <v>0</v>
      </c>
      <c r="H59" s="158">
        <v>26985608</v>
      </c>
      <c r="I59" s="43">
        <f t="shared" si="8"/>
        <v>102942425.55825317</v>
      </c>
      <c r="J59" s="26">
        <f t="shared" si="9"/>
        <v>-326714.79074682295</v>
      </c>
      <c r="K59" s="35">
        <f t="shared" si="10"/>
        <v>-3.1637214141870865E-3</v>
      </c>
      <c r="L59" s="9">
        <f t="shared" si="3"/>
        <v>3.1637214141870865E-3</v>
      </c>
      <c r="M59" s="122">
        <f t="shared" si="4"/>
        <v>106742554492.74031</v>
      </c>
      <c r="N59" s="122">
        <f t="shared" si="5"/>
        <v>4432122.9029093981</v>
      </c>
      <c r="O59" s="122">
        <f t="shared" si="6"/>
        <v>19643713426494.031</v>
      </c>
      <c r="P59"/>
    </row>
    <row r="60" spans="1:16" x14ac:dyDescent="0.2">
      <c r="A60" s="42">
        <v>43769</v>
      </c>
      <c r="B60" s="43">
        <f>Inputs!D81</f>
        <v>95954535.86999999</v>
      </c>
      <c r="C60" s="124">
        <v>31</v>
      </c>
      <c r="D60" s="124">
        <f t="shared" si="7"/>
        <v>1</v>
      </c>
      <c r="E60" s="121">
        <v>219.8</v>
      </c>
      <c r="F60" s="121">
        <v>6.7</v>
      </c>
      <c r="G60" s="148">
        <v>0</v>
      </c>
      <c r="H60" s="158">
        <v>27257415</v>
      </c>
      <c r="I60" s="43">
        <f t="shared" si="8"/>
        <v>95024813.898990035</v>
      </c>
      <c r="J60" s="26">
        <f t="shared" si="9"/>
        <v>-929721.97100995481</v>
      </c>
      <c r="K60" s="35">
        <f t="shared" si="10"/>
        <v>-9.6891925178977465E-3</v>
      </c>
      <c r="L60" s="9">
        <f t="shared" si="3"/>
        <v>9.6891925178977465E-3</v>
      </c>
      <c r="M60" s="122">
        <f t="shared" si="4"/>
        <v>864382943378.63525</v>
      </c>
      <c r="N60" s="122">
        <f t="shared" si="5"/>
        <v>-603007.18026313186</v>
      </c>
      <c r="O60" s="122">
        <f t="shared" si="6"/>
        <v>363617659448.89319</v>
      </c>
      <c r="P60"/>
    </row>
    <row r="61" spans="1:16" x14ac:dyDescent="0.2">
      <c r="A61" s="42">
        <v>43799</v>
      </c>
      <c r="B61" s="43">
        <f>Inputs!D82</f>
        <v>99106544.030000001</v>
      </c>
      <c r="C61" s="124">
        <v>30</v>
      </c>
      <c r="D61" s="124">
        <f t="shared" si="7"/>
        <v>1</v>
      </c>
      <c r="E61" s="121">
        <v>499.6</v>
      </c>
      <c r="F61" s="121">
        <v>0</v>
      </c>
      <c r="G61" s="148">
        <v>0</v>
      </c>
      <c r="H61" s="158">
        <v>26937494</v>
      </c>
      <c r="I61" s="43">
        <f t="shared" si="8"/>
        <v>96320910.378533453</v>
      </c>
      <c r="J61" s="26">
        <f t="shared" si="9"/>
        <v>-2785633.6514665484</v>
      </c>
      <c r="K61" s="35">
        <f t="shared" si="10"/>
        <v>-2.8107464332762167E-2</v>
      </c>
      <c r="L61" s="9">
        <f t="shared" si="3"/>
        <v>2.8107464332762167E-2</v>
      </c>
      <c r="M61" s="122">
        <f t="shared" si="4"/>
        <v>7759754840182.8555</v>
      </c>
      <c r="N61" s="122">
        <f t="shared" si="5"/>
        <v>-1855911.6804565936</v>
      </c>
      <c r="O61" s="122">
        <f t="shared" si="6"/>
        <v>3444408165655.2173</v>
      </c>
      <c r="P61"/>
    </row>
    <row r="62" spans="1:16" x14ac:dyDescent="0.2">
      <c r="A62" s="42">
        <v>43830</v>
      </c>
      <c r="B62" s="43">
        <f>Inputs!D83</f>
        <v>99618091.980000004</v>
      </c>
      <c r="C62" s="124">
        <v>31</v>
      </c>
      <c r="D62" s="124">
        <f t="shared" si="7"/>
        <v>0</v>
      </c>
      <c r="E62" s="121">
        <v>527.30000000000018</v>
      </c>
      <c r="F62" s="121">
        <v>0</v>
      </c>
      <c r="G62" s="148">
        <v>0</v>
      </c>
      <c r="H62" s="158">
        <v>24304667</v>
      </c>
      <c r="I62" s="43">
        <f t="shared" si="8"/>
        <v>103019173.3324964</v>
      </c>
      <c r="J62" s="26">
        <f t="shared" si="9"/>
        <v>3401081.3524964005</v>
      </c>
      <c r="K62" s="35">
        <f t="shared" si="10"/>
        <v>3.4141201511661397E-2</v>
      </c>
      <c r="L62" s="9">
        <f t="shared" si="3"/>
        <v>3.4141201511661397E-2</v>
      </c>
      <c r="M62" s="122">
        <f t="shared" si="4"/>
        <v>11567354366298.744</v>
      </c>
      <c r="N62" s="122">
        <f t="shared" si="5"/>
        <v>6186715.0039629489</v>
      </c>
      <c r="O62" s="122">
        <f t="shared" si="6"/>
        <v>38275442540260.273</v>
      </c>
      <c r="P62"/>
    </row>
    <row r="63" spans="1:16" x14ac:dyDescent="0.2">
      <c r="A63" s="42">
        <v>43861</v>
      </c>
      <c r="B63" s="43">
        <f>Inputs!D84</f>
        <v>101627798.58</v>
      </c>
      <c r="C63" s="124">
        <v>31</v>
      </c>
      <c r="D63" s="124">
        <f t="shared" si="7"/>
        <v>0</v>
      </c>
      <c r="E63" s="121">
        <v>559.4</v>
      </c>
      <c r="F63" s="121">
        <v>0</v>
      </c>
      <c r="G63" s="148">
        <v>0</v>
      </c>
      <c r="H63" s="158">
        <v>24323231</v>
      </c>
      <c r="I63" s="43">
        <f t="shared" si="8"/>
        <v>103737104.44180049</v>
      </c>
      <c r="J63" s="26">
        <f t="shared" si="9"/>
        <v>2109305.8618004918</v>
      </c>
      <c r="K63" s="35">
        <f t="shared" si="10"/>
        <v>2.0755205674755174E-2</v>
      </c>
      <c r="L63" s="9">
        <f t="shared" si="3"/>
        <v>2.0755205674755174E-2</v>
      </c>
      <c r="M63" s="122">
        <f t="shared" si="4"/>
        <v>4449171218625.915</v>
      </c>
      <c r="N63" s="122">
        <f t="shared" si="5"/>
        <v>-1291775.4906959087</v>
      </c>
      <c r="O63" s="122">
        <f t="shared" si="6"/>
        <v>1668683918362.6555</v>
      </c>
      <c r="P63"/>
    </row>
    <row r="64" spans="1:16" x14ac:dyDescent="0.2">
      <c r="A64" s="42">
        <v>43890</v>
      </c>
      <c r="B64" s="43">
        <f>Inputs!D85</f>
        <v>96316557.670000002</v>
      </c>
      <c r="C64" s="124">
        <v>29</v>
      </c>
      <c r="D64" s="124">
        <f t="shared" si="7"/>
        <v>0</v>
      </c>
      <c r="E64" s="121">
        <v>582.30000000000007</v>
      </c>
      <c r="F64" s="121">
        <v>0</v>
      </c>
      <c r="G64" s="148">
        <v>0</v>
      </c>
      <c r="H64" s="158">
        <v>24448125</v>
      </c>
      <c r="I64" s="43">
        <f t="shared" si="8"/>
        <v>98781537.346074745</v>
      </c>
      <c r="J64" s="26">
        <f t="shared" si="9"/>
        <v>2464979.6760747433</v>
      </c>
      <c r="K64" s="35">
        <f t="shared" si="10"/>
        <v>2.5592481040697716E-2</v>
      </c>
      <c r="L64" s="9">
        <f t="shared" si="3"/>
        <v>2.5592481040697716E-2</v>
      </c>
      <c r="M64" s="122">
        <f t="shared" si="4"/>
        <v>6076124803461.5459</v>
      </c>
      <c r="N64" s="122">
        <f t="shared" si="5"/>
        <v>355673.81427425146</v>
      </c>
      <c r="O64" s="122">
        <f t="shared" si="6"/>
        <v>126503862160.39473</v>
      </c>
      <c r="P64"/>
    </row>
    <row r="65" spans="1:16" x14ac:dyDescent="0.2">
      <c r="A65" s="42">
        <v>43921</v>
      </c>
      <c r="B65" s="43">
        <f>Inputs!D86</f>
        <v>93201085.260000005</v>
      </c>
      <c r="C65" s="124">
        <v>31</v>
      </c>
      <c r="D65" s="124">
        <f t="shared" si="7"/>
        <v>1</v>
      </c>
      <c r="E65" s="121">
        <v>443.20000000000005</v>
      </c>
      <c r="F65" s="121">
        <v>0</v>
      </c>
      <c r="G65" s="149">
        <v>0.5</v>
      </c>
      <c r="H65" s="158">
        <v>23426971</v>
      </c>
      <c r="I65" s="43">
        <f t="shared" si="8"/>
        <v>91559627.349079862</v>
      </c>
      <c r="J65" s="26">
        <f t="shared" si="9"/>
        <v>-1641457.9109201431</v>
      </c>
      <c r="K65" s="35">
        <f t="shared" si="10"/>
        <v>-1.7612004263051463E-2</v>
      </c>
      <c r="L65" s="9">
        <f t="shared" si="3"/>
        <v>1.7612004263051463E-2</v>
      </c>
      <c r="M65" s="122">
        <f t="shared" si="4"/>
        <v>2694384073322.3203</v>
      </c>
      <c r="N65" s="122">
        <f t="shared" si="5"/>
        <v>-4106437.5869948864</v>
      </c>
      <c r="O65" s="122">
        <f t="shared" si="6"/>
        <v>16862829655884.385</v>
      </c>
    </row>
    <row r="66" spans="1:16" x14ac:dyDescent="0.2">
      <c r="A66" s="42">
        <v>43951</v>
      </c>
      <c r="B66" s="43">
        <f>Inputs!D87</f>
        <v>75481979.349999994</v>
      </c>
      <c r="C66" s="124">
        <v>30</v>
      </c>
      <c r="D66" s="124">
        <f t="shared" si="7"/>
        <v>1</v>
      </c>
      <c r="E66" s="121">
        <v>382.1</v>
      </c>
      <c r="F66" s="121">
        <v>0</v>
      </c>
      <c r="G66" s="148">
        <v>1</v>
      </c>
      <c r="H66" s="158">
        <v>13875633</v>
      </c>
      <c r="I66" s="43">
        <f t="shared" si="8"/>
        <v>75332879.923318163</v>
      </c>
      <c r="J66" s="26">
        <f t="shared" si="9"/>
        <v>-149099.42668183148</v>
      </c>
      <c r="K66" s="35">
        <f t="shared" si="10"/>
        <v>-1.9752983157804737E-3</v>
      </c>
      <c r="L66" s="9">
        <f t="shared" si="3"/>
        <v>1.9752983157804737E-3</v>
      </c>
      <c r="M66" s="122">
        <f t="shared" si="4"/>
        <v>22230639036.850842</v>
      </c>
      <c r="N66" s="122">
        <f t="shared" si="5"/>
        <v>1492358.4842383116</v>
      </c>
      <c r="O66" s="122">
        <f t="shared" si="6"/>
        <v>2227133845478.0713</v>
      </c>
    </row>
    <row r="67" spans="1:16" x14ac:dyDescent="0.2">
      <c r="A67" s="42">
        <v>43982</v>
      </c>
      <c r="B67" s="43">
        <f>Inputs!D88</f>
        <v>82850237.760000005</v>
      </c>
      <c r="C67" s="124">
        <v>31</v>
      </c>
      <c r="D67" s="124">
        <f t="shared" si="7"/>
        <v>1</v>
      </c>
      <c r="E67" s="121">
        <v>195.30000000000004</v>
      </c>
      <c r="F67" s="121">
        <v>25.5</v>
      </c>
      <c r="G67" s="148">
        <v>1</v>
      </c>
      <c r="H67" s="158">
        <v>17021201</v>
      </c>
      <c r="I67" s="43">
        <f t="shared" ref="I67:I98" si="11">$R$18+$R$19*C67+$R$20*D67+$R$21*E67+$R$22*F67+$R$23*G67+$R$24*H67</f>
        <v>83578820.894666687</v>
      </c>
      <c r="J67" s="26">
        <f t="shared" ref="J67:J98" si="12">I67-B67</f>
        <v>728583.13466668129</v>
      </c>
      <c r="K67" s="35">
        <f t="shared" ref="K67:K98" si="13">J67/B67</f>
        <v>8.7939775957823537E-3</v>
      </c>
      <c r="L67" s="9">
        <f t="shared" ref="L67:L121" si="14">ABS(K67)</f>
        <v>8.7939775957823537E-3</v>
      </c>
      <c r="M67" s="122">
        <f t="shared" si="4"/>
        <v>530833384120.72742</v>
      </c>
      <c r="N67" s="122">
        <f t="shared" si="5"/>
        <v>877682.56134851277</v>
      </c>
      <c r="O67" s="122">
        <f t="shared" si="6"/>
        <v>770326678495.28589</v>
      </c>
    </row>
    <row r="68" spans="1:16" x14ac:dyDescent="0.2">
      <c r="A68" s="42">
        <v>44012</v>
      </c>
      <c r="B68" s="43">
        <f>Inputs!D89</f>
        <v>107229138.54000001</v>
      </c>
      <c r="C68" s="124">
        <v>30</v>
      </c>
      <c r="D68" s="124">
        <f t="shared" si="7"/>
        <v>0</v>
      </c>
      <c r="E68" s="121">
        <v>24.099999999999998</v>
      </c>
      <c r="F68" s="121">
        <v>81.399999999999977</v>
      </c>
      <c r="G68" s="149">
        <v>0.5</v>
      </c>
      <c r="H68" s="158">
        <v>24931567</v>
      </c>
      <c r="I68" s="43">
        <f t="shared" si="11"/>
        <v>107711629.03495032</v>
      </c>
      <c r="J68" s="26">
        <f t="shared" si="12"/>
        <v>482490.4949503094</v>
      </c>
      <c r="K68" s="35">
        <f t="shared" si="13"/>
        <v>4.4996211059769404E-3</v>
      </c>
      <c r="L68" s="9">
        <f t="shared" si="14"/>
        <v>4.4996211059769404E-3</v>
      </c>
      <c r="M68" s="122">
        <f t="shared" ref="M68:M122" si="15">J68*J68</f>
        <v>232797077717.39453</v>
      </c>
      <c r="N68" s="122">
        <f t="shared" si="5"/>
        <v>-246092.63971637189</v>
      </c>
      <c r="O68" s="122">
        <f t="shared" si="6"/>
        <v>60561587322.572021</v>
      </c>
    </row>
    <row r="69" spans="1:16" x14ac:dyDescent="0.2">
      <c r="A69" s="42">
        <v>44043</v>
      </c>
      <c r="B69" s="43">
        <f>Inputs!D90</f>
        <v>132467120.21000001</v>
      </c>
      <c r="C69" s="124">
        <v>31</v>
      </c>
      <c r="D69" s="124">
        <f t="shared" si="7"/>
        <v>0</v>
      </c>
      <c r="E69" s="121">
        <v>0</v>
      </c>
      <c r="F69" s="121">
        <v>164.29999999999998</v>
      </c>
      <c r="G69" s="148">
        <v>0</v>
      </c>
      <c r="H69" s="158">
        <v>24260284</v>
      </c>
      <c r="I69" s="43">
        <f t="shared" si="11"/>
        <v>133477656.5174922</v>
      </c>
      <c r="J69" s="26">
        <f t="shared" si="12"/>
        <v>1010536.3074921966</v>
      </c>
      <c r="K69" s="35">
        <f t="shared" si="13"/>
        <v>7.6285821409131128E-3</v>
      </c>
      <c r="L69" s="9">
        <f t="shared" si="14"/>
        <v>7.6285821409131128E-3</v>
      </c>
      <c r="M69" s="122">
        <f t="shared" si="15"/>
        <v>1021183628759.9633</v>
      </c>
      <c r="N69" s="122">
        <f t="shared" ref="N69:N122" si="16">J69-J68</f>
        <v>528045.81254188716</v>
      </c>
      <c r="O69" s="122">
        <f t="shared" ref="O69:O122" si="17">N69*N69</f>
        <v>278832380143.02185</v>
      </c>
    </row>
    <row r="70" spans="1:16" x14ac:dyDescent="0.2">
      <c r="A70" s="42">
        <v>44074</v>
      </c>
      <c r="B70" s="43">
        <f>Inputs!D91</f>
        <v>122122854.4431349</v>
      </c>
      <c r="C70" s="124">
        <v>31</v>
      </c>
      <c r="D70" s="124">
        <f t="shared" si="7"/>
        <v>0</v>
      </c>
      <c r="E70" s="121">
        <v>5</v>
      </c>
      <c r="F70" s="121">
        <v>87.300000000000011</v>
      </c>
      <c r="G70" s="148">
        <v>0</v>
      </c>
      <c r="H70" s="158">
        <v>24766026</v>
      </c>
      <c r="I70" s="43">
        <f t="shared" si="11"/>
        <v>114386810.08417806</v>
      </c>
      <c r="J70" s="26">
        <f t="shared" si="12"/>
        <v>-7736044.3589568436</v>
      </c>
      <c r="K70" s="35">
        <f t="shared" si="13"/>
        <v>-6.3346409599024267E-2</v>
      </c>
      <c r="L70" s="9">
        <f t="shared" si="14"/>
        <v>6.3346409599024267E-2</v>
      </c>
      <c r="M70" s="122">
        <f t="shared" si="15"/>
        <v>59846382323748</v>
      </c>
      <c r="N70" s="122">
        <f t="shared" si="16"/>
        <v>-8746580.6664490402</v>
      </c>
      <c r="O70" s="122">
        <f t="shared" si="17"/>
        <v>76502673354700.141</v>
      </c>
    </row>
    <row r="71" spans="1:16" x14ac:dyDescent="0.2">
      <c r="A71" s="42">
        <v>44104</v>
      </c>
      <c r="B71" s="43">
        <f>Inputs!D92</f>
        <v>100618417.11999999</v>
      </c>
      <c r="C71" s="124">
        <v>30</v>
      </c>
      <c r="D71" s="124">
        <f t="shared" si="7"/>
        <v>0</v>
      </c>
      <c r="E71" s="121">
        <v>78.099999999999994</v>
      </c>
      <c r="F71" s="121">
        <v>20.2</v>
      </c>
      <c r="G71" s="148">
        <v>0</v>
      </c>
      <c r="H71" s="158">
        <v>26177718</v>
      </c>
      <c r="I71" s="43">
        <f t="shared" si="11"/>
        <v>97392889.377353549</v>
      </c>
      <c r="J71" s="26">
        <f t="shared" si="12"/>
        <v>-3225527.7426464409</v>
      </c>
      <c r="K71" s="35">
        <f t="shared" si="13"/>
        <v>-3.2057031257007325E-2</v>
      </c>
      <c r="L71" s="9">
        <f t="shared" si="14"/>
        <v>3.2057031257007325E-2</v>
      </c>
      <c r="M71" s="122">
        <f t="shared" si="15"/>
        <v>10404029218581.844</v>
      </c>
      <c r="N71" s="122">
        <f t="shared" si="16"/>
        <v>4510516.6163104028</v>
      </c>
      <c r="O71" s="122">
        <f t="shared" si="17"/>
        <v>20344760146012.246</v>
      </c>
    </row>
    <row r="72" spans="1:16" x14ac:dyDescent="0.2">
      <c r="A72" s="42">
        <v>44135</v>
      </c>
      <c r="B72" s="43">
        <f>Inputs!D93</f>
        <v>96511344.889999986</v>
      </c>
      <c r="C72" s="124">
        <v>31</v>
      </c>
      <c r="D72" s="124">
        <f t="shared" si="7"/>
        <v>1</v>
      </c>
      <c r="E72" s="121">
        <v>257.70000000000005</v>
      </c>
      <c r="F72" s="121">
        <v>0</v>
      </c>
      <c r="G72" s="148">
        <v>0</v>
      </c>
      <c r="H72" s="158">
        <v>26073606</v>
      </c>
      <c r="I72" s="43">
        <f t="shared" si="11"/>
        <v>93004344.923134118</v>
      </c>
      <c r="J72" s="26">
        <f t="shared" si="12"/>
        <v>-3506999.9668658674</v>
      </c>
      <c r="K72" s="35">
        <f t="shared" si="13"/>
        <v>-3.6337696577153855E-2</v>
      </c>
      <c r="L72" s="9">
        <f t="shared" si="14"/>
        <v>3.6337696577153855E-2</v>
      </c>
      <c r="M72" s="122">
        <f t="shared" si="15"/>
        <v>12299048767597.195</v>
      </c>
      <c r="N72" s="122">
        <f t="shared" si="16"/>
        <v>-281472.22421942651</v>
      </c>
      <c r="O72" s="122">
        <f t="shared" si="17"/>
        <v>79226613007.031113</v>
      </c>
    </row>
    <row r="73" spans="1:16" x14ac:dyDescent="0.2">
      <c r="A73" s="42">
        <v>44165</v>
      </c>
      <c r="B73" s="43">
        <f>Inputs!D94</f>
        <v>97157709.070000008</v>
      </c>
      <c r="C73" s="124">
        <v>30</v>
      </c>
      <c r="D73" s="124">
        <f t="shared" si="7"/>
        <v>1</v>
      </c>
      <c r="E73" s="121">
        <v>338.69999999999993</v>
      </c>
      <c r="F73" s="121">
        <v>1.3</v>
      </c>
      <c r="G73" s="148">
        <v>0</v>
      </c>
      <c r="H73" s="158">
        <v>25421619</v>
      </c>
      <c r="I73" s="43">
        <f t="shared" si="11"/>
        <v>91691312.570529968</v>
      </c>
      <c r="J73" s="26">
        <f t="shared" si="12"/>
        <v>-5466396.4994700402</v>
      </c>
      <c r="K73" s="35">
        <f t="shared" si="13"/>
        <v>-5.6263126743052588E-2</v>
      </c>
      <c r="L73" s="9">
        <f t="shared" si="14"/>
        <v>5.6263126743052588E-2</v>
      </c>
      <c r="M73" s="122">
        <f t="shared" si="15"/>
        <v>29881490689418.309</v>
      </c>
      <c r="N73" s="122">
        <f t="shared" si="16"/>
        <v>-1959396.5326041728</v>
      </c>
      <c r="O73" s="122">
        <f t="shared" si="17"/>
        <v>3839234771981.2554</v>
      </c>
    </row>
    <row r="74" spans="1:16" x14ac:dyDescent="0.2">
      <c r="A74" s="42">
        <v>44196</v>
      </c>
      <c r="B74" s="43">
        <f>Inputs!D95</f>
        <v>102432434.14000002</v>
      </c>
      <c r="C74" s="124">
        <v>31</v>
      </c>
      <c r="D74" s="124">
        <f t="shared" si="7"/>
        <v>0</v>
      </c>
      <c r="E74" s="121">
        <v>548.29999999999995</v>
      </c>
      <c r="F74" s="121">
        <v>0</v>
      </c>
      <c r="G74" s="148">
        <v>0</v>
      </c>
      <c r="H74" s="158">
        <v>23882588</v>
      </c>
      <c r="I74" s="43">
        <f t="shared" si="11"/>
        <v>103072780.22097248</v>
      </c>
      <c r="J74" s="26">
        <f t="shared" si="12"/>
        <v>640346.08097246289</v>
      </c>
      <c r="K74" s="35">
        <f t="shared" si="13"/>
        <v>6.2513996308753809E-3</v>
      </c>
      <c r="L74" s="9">
        <f t="shared" si="14"/>
        <v>6.2513996308753809E-3</v>
      </c>
      <c r="M74" s="122">
        <f t="shared" si="15"/>
        <v>410043103416.79199</v>
      </c>
      <c r="N74" s="122">
        <f t="shared" si="16"/>
        <v>6106742.5804425031</v>
      </c>
      <c r="O74" s="122">
        <f t="shared" si="17"/>
        <v>37292304943789.563</v>
      </c>
    </row>
    <row r="75" spans="1:16" x14ac:dyDescent="0.2">
      <c r="A75" s="42">
        <v>44227</v>
      </c>
      <c r="B75" s="43">
        <f>Inputs!D96</f>
        <v>104046184.96943997</v>
      </c>
      <c r="C75" s="124">
        <v>31</v>
      </c>
      <c r="D75" s="124">
        <f t="shared" si="7"/>
        <v>0</v>
      </c>
      <c r="E75" s="121">
        <v>619.60000000000014</v>
      </c>
      <c r="F75" s="121">
        <v>0</v>
      </c>
      <c r="G75" s="148">
        <v>0</v>
      </c>
      <c r="H75" s="158">
        <v>23201982</v>
      </c>
      <c r="I75" s="43">
        <f t="shared" si="11"/>
        <v>103975779.09634711</v>
      </c>
      <c r="J75" s="26">
        <f t="shared" si="12"/>
        <v>-70405.873092859983</v>
      </c>
      <c r="K75" s="35">
        <f t="shared" si="13"/>
        <v>-6.7667904511385321E-4</v>
      </c>
      <c r="L75" s="9">
        <f t="shared" si="14"/>
        <v>6.7667904511385321E-4</v>
      </c>
      <c r="M75" s="122">
        <f t="shared" si="15"/>
        <v>4956986965.967905</v>
      </c>
      <c r="N75" s="122">
        <f t="shared" si="16"/>
        <v>-710751.95406532288</v>
      </c>
      <c r="O75" s="122">
        <f t="shared" si="17"/>
        <v>505168340207.67487</v>
      </c>
      <c r="P75" s="36"/>
    </row>
    <row r="76" spans="1:16" x14ac:dyDescent="0.2">
      <c r="A76" s="42">
        <v>44255</v>
      </c>
      <c r="B76" s="43">
        <f>Inputs!D97</f>
        <v>97687812.67583999</v>
      </c>
      <c r="C76" s="124">
        <v>28</v>
      </c>
      <c r="D76" s="124">
        <f t="shared" si="7"/>
        <v>0</v>
      </c>
      <c r="E76" s="121">
        <v>677.30000000000018</v>
      </c>
      <c r="F76" s="121">
        <v>0</v>
      </c>
      <c r="G76" s="148">
        <v>0</v>
      </c>
      <c r="H76" s="158">
        <v>22541306</v>
      </c>
      <c r="I76" s="43">
        <f t="shared" si="11"/>
        <v>96239163.497938335</v>
      </c>
      <c r="J76" s="26">
        <f t="shared" si="12"/>
        <v>-1448649.1779016554</v>
      </c>
      <c r="K76" s="35">
        <f t="shared" si="13"/>
        <v>-1.482937470110776E-2</v>
      </c>
      <c r="L76" s="9">
        <f t="shared" si="14"/>
        <v>1.482937470110776E-2</v>
      </c>
      <c r="M76" s="122">
        <f t="shared" si="15"/>
        <v>2098584440635.1421</v>
      </c>
      <c r="N76" s="122">
        <f t="shared" si="16"/>
        <v>-1378243.3048087955</v>
      </c>
      <c r="O76" s="122">
        <f t="shared" si="17"/>
        <v>1899554607250.2703</v>
      </c>
    </row>
    <row r="77" spans="1:16" x14ac:dyDescent="0.2">
      <c r="A77" s="42">
        <v>44286</v>
      </c>
      <c r="B77" s="43">
        <f>Inputs!D98</f>
        <v>98587575.805620015</v>
      </c>
      <c r="C77" s="124">
        <v>31</v>
      </c>
      <c r="D77" s="124">
        <f t="shared" si="7"/>
        <v>1</v>
      </c>
      <c r="E77" s="121">
        <v>430.3</v>
      </c>
      <c r="F77" s="121">
        <v>0</v>
      </c>
      <c r="G77" s="148">
        <v>0</v>
      </c>
      <c r="H77" s="158">
        <v>28036090</v>
      </c>
      <c r="I77" s="43">
        <f t="shared" si="11"/>
        <v>98649405.980814487</v>
      </c>
      <c r="J77" s="26">
        <f t="shared" si="12"/>
        <v>61830.175194472075</v>
      </c>
      <c r="K77" s="35">
        <f t="shared" si="13"/>
        <v>6.2715991025460863E-4</v>
      </c>
      <c r="L77" s="9">
        <f t="shared" si="14"/>
        <v>6.2715991025460863E-4</v>
      </c>
      <c r="M77" s="122">
        <f t="shared" si="15"/>
        <v>3822970564.5791097</v>
      </c>
      <c r="N77" s="122">
        <f t="shared" si="16"/>
        <v>1510479.3530961275</v>
      </c>
      <c r="O77" s="122">
        <f t="shared" si="17"/>
        <v>2281547876129.6958</v>
      </c>
    </row>
    <row r="78" spans="1:16" x14ac:dyDescent="0.2">
      <c r="A78" s="42">
        <v>44316</v>
      </c>
      <c r="B78" s="43">
        <f>Inputs!D99</f>
        <v>88565909.468879998</v>
      </c>
      <c r="C78" s="124">
        <v>30</v>
      </c>
      <c r="D78" s="124">
        <f t="shared" si="7"/>
        <v>1</v>
      </c>
      <c r="E78" s="121">
        <v>302.2999999999999</v>
      </c>
      <c r="F78" s="121">
        <v>0</v>
      </c>
      <c r="G78" s="148">
        <v>0</v>
      </c>
      <c r="H78" s="158">
        <v>24252177</v>
      </c>
      <c r="I78" s="43">
        <f t="shared" si="11"/>
        <v>89444500.257671699</v>
      </c>
      <c r="J78" s="26">
        <f t="shared" si="12"/>
        <v>878590.7887917012</v>
      </c>
      <c r="K78" s="35">
        <f t="shared" si="13"/>
        <v>9.9201915732646268E-3</v>
      </c>
      <c r="L78" s="9">
        <f t="shared" si="14"/>
        <v>9.9201915732646268E-3</v>
      </c>
      <c r="M78" s="122">
        <f t="shared" si="15"/>
        <v>771921774149.62366</v>
      </c>
      <c r="N78" s="122">
        <f t="shared" si="16"/>
        <v>816760.61359722912</v>
      </c>
      <c r="O78" s="122">
        <f t="shared" si="17"/>
        <v>667097899923.72217</v>
      </c>
    </row>
    <row r="79" spans="1:16" x14ac:dyDescent="0.2">
      <c r="A79" s="42">
        <v>44347</v>
      </c>
      <c r="B79" s="43">
        <f>Inputs!D100</f>
        <v>93367567.454999998</v>
      </c>
      <c r="C79" s="124">
        <v>31</v>
      </c>
      <c r="D79" s="124">
        <f t="shared" si="7"/>
        <v>1</v>
      </c>
      <c r="E79" s="121">
        <v>181.79999999999998</v>
      </c>
      <c r="F79" s="121">
        <v>27.4</v>
      </c>
      <c r="G79" s="148">
        <v>0</v>
      </c>
      <c r="H79" s="158">
        <v>24670787</v>
      </c>
      <c r="I79" s="43">
        <f t="shared" si="11"/>
        <v>97009316.126451597</v>
      </c>
      <c r="J79" s="26">
        <f t="shared" si="12"/>
        <v>3641748.6714515984</v>
      </c>
      <c r="K79" s="35">
        <f t="shared" si="13"/>
        <v>3.9004429168691769E-2</v>
      </c>
      <c r="L79" s="9">
        <f t="shared" si="14"/>
        <v>3.9004429168691769E-2</v>
      </c>
      <c r="M79" s="122">
        <f t="shared" si="15"/>
        <v>13262333386019.482</v>
      </c>
      <c r="N79" s="122">
        <f t="shared" si="16"/>
        <v>2763157.8826598972</v>
      </c>
      <c r="O79" s="122">
        <f t="shared" si="17"/>
        <v>7635041484505.5264</v>
      </c>
    </row>
    <row r="80" spans="1:16" x14ac:dyDescent="0.2">
      <c r="A80" s="42">
        <v>44377</v>
      </c>
      <c r="B80" s="43">
        <f>Inputs!D101</f>
        <v>113508662.69369999</v>
      </c>
      <c r="C80" s="124">
        <v>30</v>
      </c>
      <c r="D80" s="124">
        <f t="shared" ref="D80:D143" si="18">D68</f>
        <v>0</v>
      </c>
      <c r="E80" s="121">
        <v>23.1</v>
      </c>
      <c r="F80" s="121">
        <v>103.9</v>
      </c>
      <c r="G80" s="148">
        <v>0</v>
      </c>
      <c r="H80" s="158">
        <v>27031100</v>
      </c>
      <c r="I80" s="43">
        <f t="shared" si="11"/>
        <v>118408272.46583416</v>
      </c>
      <c r="J80" s="26">
        <f t="shared" si="12"/>
        <v>4899609.7721341699</v>
      </c>
      <c r="K80" s="35">
        <f t="shared" si="13"/>
        <v>4.316507353589067E-2</v>
      </c>
      <c r="L80" s="9">
        <f t="shared" si="14"/>
        <v>4.316507353589067E-2</v>
      </c>
      <c r="M80" s="122">
        <f t="shared" si="15"/>
        <v>24006175919192.652</v>
      </c>
      <c r="N80" s="122">
        <f t="shared" si="16"/>
        <v>1257861.1006825715</v>
      </c>
      <c r="O80" s="122">
        <f t="shared" si="17"/>
        <v>1582214548610.3704</v>
      </c>
    </row>
    <row r="81" spans="1:16" x14ac:dyDescent="0.2">
      <c r="A81" s="42">
        <v>44408</v>
      </c>
      <c r="B81" s="43">
        <f>Inputs!D102</f>
        <v>117927718.07169999</v>
      </c>
      <c r="C81" s="124">
        <v>31</v>
      </c>
      <c r="D81" s="124">
        <f t="shared" si="18"/>
        <v>0</v>
      </c>
      <c r="E81" s="121">
        <v>11.6</v>
      </c>
      <c r="F81" s="121">
        <v>92.500000000000028</v>
      </c>
      <c r="G81" s="148">
        <v>0</v>
      </c>
      <c r="H81" s="158">
        <v>24544535</v>
      </c>
      <c r="I81" s="43">
        <f t="shared" si="11"/>
        <v>115647877.65741353</v>
      </c>
      <c r="J81" s="26">
        <f t="shared" si="12"/>
        <v>-2279840.4142864645</v>
      </c>
      <c r="K81" s="35">
        <f t="shared" si="13"/>
        <v>-1.933252378291864E-2</v>
      </c>
      <c r="L81" s="9">
        <f t="shared" si="14"/>
        <v>1.933252378291864E-2</v>
      </c>
      <c r="M81" s="122">
        <f t="shared" si="15"/>
        <v>5197672314613.8779</v>
      </c>
      <c r="N81" s="122">
        <f t="shared" si="16"/>
        <v>-7179450.1864206344</v>
      </c>
      <c r="O81" s="122">
        <f t="shared" si="17"/>
        <v>51544504979295.281</v>
      </c>
      <c r="P81"/>
    </row>
    <row r="82" spans="1:16" x14ac:dyDescent="0.2">
      <c r="A82" s="42">
        <v>44439</v>
      </c>
      <c r="B82" s="43">
        <f>Inputs!D103</f>
        <v>130508463.65386</v>
      </c>
      <c r="C82" s="124">
        <v>31</v>
      </c>
      <c r="D82" s="124">
        <f t="shared" si="18"/>
        <v>0</v>
      </c>
      <c r="E82" s="121">
        <v>4.5999999999999996</v>
      </c>
      <c r="F82" s="121">
        <v>128.99999999999997</v>
      </c>
      <c r="G82" s="148">
        <v>0</v>
      </c>
      <c r="H82" s="158">
        <v>26790218</v>
      </c>
      <c r="I82" s="43">
        <f t="shared" si="11"/>
        <v>126977947.32033111</v>
      </c>
      <c r="J82" s="26">
        <f t="shared" si="12"/>
        <v>-3530516.3335288912</v>
      </c>
      <c r="K82" s="35">
        <f t="shared" si="13"/>
        <v>-2.7052010533911992E-2</v>
      </c>
      <c r="L82" s="9">
        <f t="shared" si="14"/>
        <v>2.7052010533911992E-2</v>
      </c>
      <c r="M82" s="122">
        <f t="shared" si="15"/>
        <v>12464545581314.285</v>
      </c>
      <c r="N82" s="122">
        <f t="shared" si="16"/>
        <v>-1250675.9192424268</v>
      </c>
      <c r="O82" s="122">
        <f t="shared" si="17"/>
        <v>1564190254972.8892</v>
      </c>
      <c r="P82"/>
    </row>
    <row r="83" spans="1:16" x14ac:dyDescent="0.2">
      <c r="A83" s="42">
        <v>44469</v>
      </c>
      <c r="B83" s="43">
        <f>Inputs!D104</f>
        <v>102665813.36771999</v>
      </c>
      <c r="C83" s="124">
        <v>30</v>
      </c>
      <c r="D83" s="124">
        <f t="shared" si="18"/>
        <v>0</v>
      </c>
      <c r="E83" s="121">
        <v>47.1</v>
      </c>
      <c r="F83" s="121">
        <v>31.000000000000004</v>
      </c>
      <c r="G83" s="148">
        <v>0</v>
      </c>
      <c r="H83" s="158">
        <v>26666952</v>
      </c>
      <c r="I83" s="43">
        <f t="shared" si="11"/>
        <v>99946459.051961124</v>
      </c>
      <c r="J83" s="26">
        <f t="shared" si="12"/>
        <v>-2719354.3157588691</v>
      </c>
      <c r="K83" s="35">
        <f t="shared" si="13"/>
        <v>-2.6487437507740855E-2</v>
      </c>
      <c r="L83" s="9">
        <f t="shared" si="14"/>
        <v>2.6487437507740855E-2</v>
      </c>
      <c r="M83" s="122">
        <f t="shared" si="15"/>
        <v>7394887894636.3867</v>
      </c>
      <c r="N83" s="122">
        <f t="shared" si="16"/>
        <v>811162.01777002215</v>
      </c>
      <c r="O83" s="122">
        <f t="shared" si="17"/>
        <v>657983819072.73376</v>
      </c>
      <c r="P83"/>
    </row>
    <row r="84" spans="1:16" x14ac:dyDescent="0.2">
      <c r="A84" s="42">
        <v>44500</v>
      </c>
      <c r="B84" s="43">
        <f>Inputs!D105</f>
        <v>97643894.774719983</v>
      </c>
      <c r="C84" s="124">
        <v>31</v>
      </c>
      <c r="D84" s="124">
        <f t="shared" si="18"/>
        <v>1</v>
      </c>
      <c r="E84" s="121">
        <v>134.90000000000003</v>
      </c>
      <c r="F84" s="121">
        <v>19.599999999999998</v>
      </c>
      <c r="G84" s="148">
        <v>0</v>
      </c>
      <c r="H84" s="158">
        <v>27970892</v>
      </c>
      <c r="I84" s="43">
        <f t="shared" si="11"/>
        <v>97154470.305997387</v>
      </c>
      <c r="J84" s="26">
        <f t="shared" si="12"/>
        <v>-489424.46872259676</v>
      </c>
      <c r="K84" s="35">
        <f t="shared" si="13"/>
        <v>-5.0123407085694086E-3</v>
      </c>
      <c r="L84" s="9">
        <f t="shared" si="14"/>
        <v>5.0123407085694086E-3</v>
      </c>
      <c r="M84" s="122">
        <f t="shared" si="15"/>
        <v>239536310584.39609</v>
      </c>
      <c r="N84" s="122">
        <f t="shared" si="16"/>
        <v>2229929.8470362723</v>
      </c>
      <c r="O84" s="122">
        <f t="shared" si="17"/>
        <v>4972587122703.2129</v>
      </c>
      <c r="P84"/>
    </row>
    <row r="85" spans="1:16" x14ac:dyDescent="0.2">
      <c r="A85" s="42">
        <v>44530</v>
      </c>
      <c r="B85" s="43">
        <f>Inputs!D106</f>
        <v>98863391.719999999</v>
      </c>
      <c r="C85" s="124">
        <v>30</v>
      </c>
      <c r="D85" s="124">
        <f t="shared" si="18"/>
        <v>1</v>
      </c>
      <c r="E85" s="121">
        <v>424.09999999999997</v>
      </c>
      <c r="F85" s="121">
        <v>0</v>
      </c>
      <c r="G85" s="148">
        <v>0</v>
      </c>
      <c r="H85" s="158">
        <v>28892274</v>
      </c>
      <c r="I85" s="43">
        <f t="shared" si="11"/>
        <v>96547201.487948209</v>
      </c>
      <c r="J85" s="26">
        <f t="shared" si="12"/>
        <v>-2316190.2320517898</v>
      </c>
      <c r="K85" s="35">
        <f t="shared" si="13"/>
        <v>-2.3428189057196042E-2</v>
      </c>
      <c r="L85" s="9">
        <f t="shared" si="14"/>
        <v>2.3428189057196042E-2</v>
      </c>
      <c r="M85" s="122">
        <f t="shared" si="15"/>
        <v>5364737191052.124</v>
      </c>
      <c r="N85" s="122">
        <f t="shared" si="16"/>
        <v>-1826765.763329193</v>
      </c>
      <c r="O85" s="122">
        <f t="shared" si="17"/>
        <v>3337073154071.689</v>
      </c>
      <c r="P85"/>
    </row>
    <row r="86" spans="1:16" x14ac:dyDescent="0.2">
      <c r="A86" s="42">
        <v>44561</v>
      </c>
      <c r="B86" s="43">
        <f>Inputs!D107</f>
        <v>104617631.75</v>
      </c>
      <c r="C86" s="124">
        <v>31</v>
      </c>
      <c r="D86" s="124">
        <f t="shared" si="18"/>
        <v>0</v>
      </c>
      <c r="E86" s="121">
        <v>483.2999999999999</v>
      </c>
      <c r="F86" s="121">
        <v>0</v>
      </c>
      <c r="G86" s="148">
        <v>0</v>
      </c>
      <c r="H86" s="158">
        <v>27630968</v>
      </c>
      <c r="I86" s="43">
        <f t="shared" si="11"/>
        <v>105246695.16290709</v>
      </c>
      <c r="J86" s="26">
        <f t="shared" si="12"/>
        <v>629063.41290709376</v>
      </c>
      <c r="K86" s="35">
        <f t="shared" si="13"/>
        <v>6.0129769942636252E-3</v>
      </c>
      <c r="L86" s="9">
        <f t="shared" si="14"/>
        <v>6.0129769942636252E-3</v>
      </c>
      <c r="M86" s="122">
        <f t="shared" si="15"/>
        <v>395720777458.32074</v>
      </c>
      <c r="N86" s="122">
        <f t="shared" si="16"/>
        <v>2945253.6449588835</v>
      </c>
      <c r="O86" s="122">
        <f t="shared" si="17"/>
        <v>8674519033143.5889</v>
      </c>
      <c r="P86"/>
    </row>
    <row r="87" spans="1:16" x14ac:dyDescent="0.2">
      <c r="A87" s="42">
        <v>44592</v>
      </c>
      <c r="B87" s="43">
        <f>Inputs!D108</f>
        <v>115048969.70999999</v>
      </c>
      <c r="C87" s="124">
        <v>31</v>
      </c>
      <c r="D87" s="124">
        <f t="shared" si="18"/>
        <v>0</v>
      </c>
      <c r="E87" s="121">
        <v>778.30000000000007</v>
      </c>
      <c r="F87" s="121">
        <v>0</v>
      </c>
      <c r="G87" s="148">
        <v>0</v>
      </c>
      <c r="H87" s="158">
        <v>25270848</v>
      </c>
      <c r="I87" s="43">
        <f t="shared" si="11"/>
        <v>109419596.72566262</v>
      </c>
      <c r="J87" s="26">
        <f t="shared" si="12"/>
        <v>-5629372.9843373746</v>
      </c>
      <c r="K87" s="35">
        <f t="shared" si="13"/>
        <v>-4.8930233782424497E-2</v>
      </c>
      <c r="L87" s="9">
        <f t="shared" si="14"/>
        <v>4.8930233782424497E-2</v>
      </c>
      <c r="M87" s="122">
        <f t="shared" si="15"/>
        <v>31689840196787.48</v>
      </c>
      <c r="N87" s="122">
        <f t="shared" si="16"/>
        <v>-6258436.3972444683</v>
      </c>
      <c r="O87" s="122">
        <f t="shared" si="17"/>
        <v>39168026138354.32</v>
      </c>
      <c r="P87"/>
    </row>
    <row r="88" spans="1:16" x14ac:dyDescent="0.2">
      <c r="A88" s="42">
        <v>44620</v>
      </c>
      <c r="B88" s="43">
        <f>Inputs!D109</f>
        <v>103279027.06999999</v>
      </c>
      <c r="C88" s="124">
        <v>28</v>
      </c>
      <c r="D88" s="124">
        <f t="shared" si="18"/>
        <v>0</v>
      </c>
      <c r="E88" s="121">
        <v>595.4000000000002</v>
      </c>
      <c r="F88" s="121">
        <v>0</v>
      </c>
      <c r="G88" s="148">
        <v>0</v>
      </c>
      <c r="H88" s="158">
        <v>27257211</v>
      </c>
      <c r="I88" s="43">
        <f t="shared" si="11"/>
        <v>98971537.462219924</v>
      </c>
      <c r="J88" s="26">
        <f t="shared" si="12"/>
        <v>-4307489.6077800691</v>
      </c>
      <c r="K88" s="35">
        <f t="shared" si="13"/>
        <v>-4.1707302343781359E-2</v>
      </c>
      <c r="L88" s="9">
        <f t="shared" si="14"/>
        <v>4.1707302343781359E-2</v>
      </c>
      <c r="M88" s="122">
        <f t="shared" si="15"/>
        <v>18554466721133.293</v>
      </c>
      <c r="N88" s="122">
        <f t="shared" si="16"/>
        <v>1321883.3765573055</v>
      </c>
      <c r="O88" s="122">
        <f t="shared" si="17"/>
        <v>1747375661218.543</v>
      </c>
      <c r="P88"/>
    </row>
    <row r="89" spans="1:16" x14ac:dyDescent="0.2">
      <c r="A89" s="42">
        <v>44651</v>
      </c>
      <c r="B89" s="43">
        <f>Inputs!D110</f>
        <v>106094515.68000001</v>
      </c>
      <c r="C89" s="124">
        <v>31</v>
      </c>
      <c r="D89" s="124">
        <f t="shared" si="18"/>
        <v>1</v>
      </c>
      <c r="E89" s="121">
        <v>494.29999999999984</v>
      </c>
      <c r="F89" s="121">
        <v>0</v>
      </c>
      <c r="G89" s="148">
        <v>0</v>
      </c>
      <c r="H89" s="158">
        <v>34138042</v>
      </c>
      <c r="I89" s="43">
        <f t="shared" si="11"/>
        <v>105892144.11127383</v>
      </c>
      <c r="J89" s="26">
        <f t="shared" si="12"/>
        <v>-202371.56872618198</v>
      </c>
      <c r="K89" s="35">
        <f t="shared" si="13"/>
        <v>-1.9074649375521988E-3</v>
      </c>
      <c r="L89" s="9">
        <f t="shared" si="14"/>
        <v>1.9074649375521988E-3</v>
      </c>
      <c r="M89" s="122">
        <f t="shared" si="15"/>
        <v>40954251828.695801</v>
      </c>
      <c r="N89" s="122">
        <f t="shared" si="16"/>
        <v>4105118.0390538871</v>
      </c>
      <c r="O89" s="122">
        <f t="shared" si="17"/>
        <v>16851994114565.631</v>
      </c>
      <c r="P89"/>
    </row>
    <row r="90" spans="1:16" x14ac:dyDescent="0.2">
      <c r="A90" s="42">
        <v>44681</v>
      </c>
      <c r="B90" s="43">
        <f>Inputs!D111</f>
        <v>93143888.519999996</v>
      </c>
      <c r="C90" s="124">
        <v>30</v>
      </c>
      <c r="D90" s="124">
        <f t="shared" si="18"/>
        <v>1</v>
      </c>
      <c r="E90" s="121">
        <v>361.5</v>
      </c>
      <c r="F90" s="121">
        <v>0</v>
      </c>
      <c r="G90" s="148">
        <v>0</v>
      </c>
      <c r="H90" s="158">
        <v>30789756</v>
      </c>
      <c r="I90" s="43">
        <f t="shared" si="11"/>
        <v>96999956.379667252</v>
      </c>
      <c r="J90" s="26">
        <f t="shared" si="12"/>
        <v>3856067.8596672565</v>
      </c>
      <c r="K90" s="35">
        <f t="shared" si="13"/>
        <v>4.139904314644622E-2</v>
      </c>
      <c r="L90" s="9">
        <f t="shared" si="14"/>
        <v>4.139904314644622E-2</v>
      </c>
      <c r="M90" s="122">
        <f t="shared" si="15"/>
        <v>14869259338358.816</v>
      </c>
      <c r="N90" s="122">
        <f t="shared" si="16"/>
        <v>4058439.4283934385</v>
      </c>
      <c r="O90" s="122">
        <f t="shared" si="17"/>
        <v>16470930593938.459</v>
      </c>
      <c r="P90"/>
    </row>
    <row r="91" spans="1:16" x14ac:dyDescent="0.2">
      <c r="A91" s="42">
        <v>44712</v>
      </c>
      <c r="B91" s="43">
        <f>Inputs!D112</f>
        <v>97889856.38000001</v>
      </c>
      <c r="C91" s="124">
        <v>31</v>
      </c>
      <c r="D91" s="124">
        <f t="shared" si="18"/>
        <v>1</v>
      </c>
      <c r="E91" s="121">
        <v>120.50000000000001</v>
      </c>
      <c r="F91" s="121">
        <v>32.299999999999997</v>
      </c>
      <c r="G91" s="148">
        <v>0</v>
      </c>
      <c r="H91" s="158">
        <v>31642434</v>
      </c>
      <c r="I91" s="43">
        <f t="shared" si="11"/>
        <v>103605076.81202766</v>
      </c>
      <c r="J91" s="26">
        <f t="shared" si="12"/>
        <v>5715220.4320276529</v>
      </c>
      <c r="K91" s="35">
        <f t="shared" si="13"/>
        <v>5.8384194679392092E-2</v>
      </c>
      <c r="L91" s="9">
        <f t="shared" si="14"/>
        <v>5.8384194679392092E-2</v>
      </c>
      <c r="M91" s="122">
        <f t="shared" si="15"/>
        <v>32663744586666.352</v>
      </c>
      <c r="N91" s="122">
        <f t="shared" si="16"/>
        <v>1859152.5723603964</v>
      </c>
      <c r="O91" s="122">
        <f t="shared" si="17"/>
        <v>3456448287314.2788</v>
      </c>
      <c r="P91"/>
    </row>
    <row r="92" spans="1:16" x14ac:dyDescent="0.2">
      <c r="A92" s="42">
        <v>44742</v>
      </c>
      <c r="B92" s="43">
        <f>Inputs!D113</f>
        <v>109702407.65000001</v>
      </c>
      <c r="C92" s="124">
        <v>30</v>
      </c>
      <c r="D92" s="124">
        <f t="shared" si="18"/>
        <v>0</v>
      </c>
      <c r="E92" s="121">
        <v>29.8</v>
      </c>
      <c r="F92" s="121">
        <v>66.800000000000011</v>
      </c>
      <c r="G92" s="148">
        <v>0</v>
      </c>
      <c r="H92" s="158">
        <v>33600843</v>
      </c>
      <c r="I92" s="43">
        <f t="shared" si="11"/>
        <v>115365104.16473949</v>
      </c>
      <c r="J92" s="26">
        <f t="shared" si="12"/>
        <v>5662696.5147394836</v>
      </c>
      <c r="K92" s="35">
        <f t="shared" si="13"/>
        <v>5.1618707702441965E-2</v>
      </c>
      <c r="L92" s="9">
        <f t="shared" si="14"/>
        <v>5.1618707702441965E-2</v>
      </c>
      <c r="M92" s="122">
        <f t="shared" si="15"/>
        <v>32066131818042.695</v>
      </c>
      <c r="N92" s="122">
        <f t="shared" si="16"/>
        <v>-52523.917288169265</v>
      </c>
      <c r="O92" s="122">
        <f t="shared" si="17"/>
        <v>2758761887.294446</v>
      </c>
      <c r="P92"/>
    </row>
    <row r="93" spans="1:16" x14ac:dyDescent="0.2">
      <c r="A93" s="42">
        <v>44773</v>
      </c>
      <c r="B93" s="43">
        <f>Inputs!D114</f>
        <v>124312236.88</v>
      </c>
      <c r="C93" s="124">
        <v>31</v>
      </c>
      <c r="D93" s="124">
        <f t="shared" si="18"/>
        <v>0</v>
      </c>
      <c r="E93" s="121">
        <v>1.6</v>
      </c>
      <c r="F93" s="121">
        <v>109.80000000000003</v>
      </c>
      <c r="G93" s="148">
        <v>0</v>
      </c>
      <c r="H93" s="158">
        <v>29061042</v>
      </c>
      <c r="I93" s="43">
        <f t="shared" si="11"/>
        <v>124180045.87584879</v>
      </c>
      <c r="J93" s="26">
        <f t="shared" si="12"/>
        <v>-132191.00415121019</v>
      </c>
      <c r="K93" s="35">
        <f t="shared" si="13"/>
        <v>-1.0633788552836972E-3</v>
      </c>
      <c r="L93" s="9">
        <f t="shared" si="14"/>
        <v>1.0633788552836972E-3</v>
      </c>
      <c r="M93" s="122">
        <f t="shared" si="15"/>
        <v>17474461578.505268</v>
      </c>
      <c r="N93" s="122">
        <f t="shared" si="16"/>
        <v>-5794887.5188906938</v>
      </c>
      <c r="O93" s="122">
        <f t="shared" si="17"/>
        <v>33580721356595.141</v>
      </c>
      <c r="P93"/>
    </row>
    <row r="94" spans="1:16" x14ac:dyDescent="0.2">
      <c r="A94" s="42">
        <v>44804</v>
      </c>
      <c r="B94" s="43">
        <f>Inputs!D115</f>
        <v>126147600.72</v>
      </c>
      <c r="C94" s="124">
        <v>31</v>
      </c>
      <c r="D94" s="124">
        <f t="shared" si="18"/>
        <v>0</v>
      </c>
      <c r="E94" s="121">
        <v>6.3999999999999995</v>
      </c>
      <c r="F94" s="121">
        <v>97.55</v>
      </c>
      <c r="G94" s="148">
        <v>0</v>
      </c>
      <c r="H94" s="158">
        <v>32383717</v>
      </c>
      <c r="I94" s="43">
        <f t="shared" si="11"/>
        <v>124336860.86577278</v>
      </c>
      <c r="J94" s="26">
        <f t="shared" si="12"/>
        <v>-1810739.8542272151</v>
      </c>
      <c r="K94" s="35">
        <f t="shared" si="13"/>
        <v>-1.4354136296625833E-2</v>
      </c>
      <c r="L94" s="9">
        <f t="shared" si="14"/>
        <v>1.4354136296625833E-2</v>
      </c>
      <c r="M94" s="122">
        <f t="shared" si="15"/>
        <v>3278778819686.7959</v>
      </c>
      <c r="N94" s="122">
        <f t="shared" si="16"/>
        <v>-1678548.8500760049</v>
      </c>
      <c r="O94" s="122">
        <f t="shared" si="17"/>
        <v>2817526242091.478</v>
      </c>
      <c r="P94"/>
    </row>
    <row r="95" spans="1:16" x14ac:dyDescent="0.2">
      <c r="A95" s="42">
        <v>44834</v>
      </c>
      <c r="B95" s="43">
        <f>Inputs!D116</f>
        <v>108217059.48999999</v>
      </c>
      <c r="C95" s="124">
        <v>30</v>
      </c>
      <c r="D95" s="124">
        <f t="shared" si="18"/>
        <v>0</v>
      </c>
      <c r="E95" s="121">
        <v>59.600000000000009</v>
      </c>
      <c r="F95" s="121">
        <v>45.8</v>
      </c>
      <c r="G95" s="148">
        <v>0</v>
      </c>
      <c r="H95" s="158">
        <v>32071846</v>
      </c>
      <c r="I95" s="43">
        <f t="shared" si="11"/>
        <v>109181516.09730956</v>
      </c>
      <c r="J95" s="26">
        <f t="shared" si="12"/>
        <v>964456.60730956495</v>
      </c>
      <c r="K95" s="35">
        <f t="shared" si="13"/>
        <v>8.9122418577515256E-3</v>
      </c>
      <c r="L95" s="9">
        <f t="shared" si="14"/>
        <v>8.9122418577515256E-3</v>
      </c>
      <c r="M95" s="122">
        <f t="shared" si="15"/>
        <v>930176547383.07642</v>
      </c>
      <c r="N95" s="122">
        <f t="shared" si="16"/>
        <v>2775196.46153678</v>
      </c>
      <c r="O95" s="122">
        <f t="shared" si="17"/>
        <v>7701715400126.2646</v>
      </c>
      <c r="P95"/>
    </row>
    <row r="96" spans="1:16" x14ac:dyDescent="0.2">
      <c r="A96" s="42">
        <v>44865</v>
      </c>
      <c r="B96" s="43">
        <f>Inputs!D117</f>
        <v>98159215.599999994</v>
      </c>
      <c r="C96" s="124">
        <v>31</v>
      </c>
      <c r="D96" s="124">
        <f t="shared" si="18"/>
        <v>1</v>
      </c>
      <c r="E96" s="121">
        <v>215.15000000000006</v>
      </c>
      <c r="F96" s="121">
        <v>0.1</v>
      </c>
      <c r="G96" s="148">
        <v>0</v>
      </c>
      <c r="H96" s="158">
        <v>31414203</v>
      </c>
      <c r="I96" s="43">
        <f t="shared" si="11"/>
        <v>97219130.574345946</v>
      </c>
      <c r="J96" s="26">
        <f t="shared" si="12"/>
        <v>-940085.02565404773</v>
      </c>
      <c r="K96" s="35">
        <f t="shared" si="13"/>
        <v>-9.5771448448091281E-3</v>
      </c>
      <c r="L96" s="9">
        <f t="shared" si="14"/>
        <v>9.5771448448091281E-3</v>
      </c>
      <c r="M96" s="122">
        <f t="shared" si="15"/>
        <v>883759855458.97156</v>
      </c>
      <c r="N96" s="122">
        <f t="shared" si="16"/>
        <v>-1904541.6329636127</v>
      </c>
      <c r="O96" s="122">
        <f t="shared" si="17"/>
        <v>3627278831691.7041</v>
      </c>
      <c r="P96"/>
    </row>
    <row r="97" spans="1:16" x14ac:dyDescent="0.2">
      <c r="A97" s="42">
        <v>44895</v>
      </c>
      <c r="B97" s="43">
        <f>Inputs!D118</f>
        <v>101487092.63</v>
      </c>
      <c r="C97" s="124">
        <v>30</v>
      </c>
      <c r="D97" s="124">
        <f t="shared" si="18"/>
        <v>1</v>
      </c>
      <c r="E97" s="121">
        <v>381.79999999999995</v>
      </c>
      <c r="F97" s="121">
        <v>0.9</v>
      </c>
      <c r="G97" s="148">
        <v>0</v>
      </c>
      <c r="H97" s="158">
        <v>32695844</v>
      </c>
      <c r="I97" s="43">
        <f t="shared" si="11"/>
        <v>99499194.275951281</v>
      </c>
      <c r="J97" s="26">
        <f t="shared" si="12"/>
        <v>-1987898.354048714</v>
      </c>
      <c r="K97" s="35">
        <f t="shared" si="13"/>
        <v>-1.9587696351654901E-2</v>
      </c>
      <c r="L97" s="9">
        <f t="shared" si="14"/>
        <v>1.9587696351654901E-2</v>
      </c>
      <c r="M97" s="122">
        <f t="shared" si="15"/>
        <v>3951739866029.5864</v>
      </c>
      <c r="N97" s="122">
        <f t="shared" si="16"/>
        <v>-1047813.3283946663</v>
      </c>
      <c r="O97" s="122">
        <f t="shared" si="17"/>
        <v>1097912771161.5088</v>
      </c>
      <c r="P97"/>
    </row>
    <row r="98" spans="1:16" x14ac:dyDescent="0.2">
      <c r="A98" s="42">
        <v>44926</v>
      </c>
      <c r="B98" s="43">
        <f>Inputs!D119</f>
        <v>107898869.66999999</v>
      </c>
      <c r="C98" s="124">
        <v>31</v>
      </c>
      <c r="D98" s="124">
        <f t="shared" si="18"/>
        <v>0</v>
      </c>
      <c r="E98" s="121">
        <v>561.20000000000005</v>
      </c>
      <c r="F98" s="121">
        <v>0</v>
      </c>
      <c r="G98" s="148">
        <v>0</v>
      </c>
      <c r="H98" s="158">
        <v>29643493</v>
      </c>
      <c r="I98" s="43">
        <f t="shared" si="11"/>
        <v>108874173.03443792</v>
      </c>
      <c r="J98" s="26">
        <f t="shared" si="12"/>
        <v>975303.36443793774</v>
      </c>
      <c r="K98" s="35">
        <f t="shared" si="13"/>
        <v>9.0390508021152092E-3</v>
      </c>
      <c r="L98" s="9">
        <f t="shared" si="14"/>
        <v>9.0390508021152092E-3</v>
      </c>
      <c r="M98" s="122">
        <f t="shared" si="15"/>
        <v>951216652683.96082</v>
      </c>
      <c r="N98" s="122">
        <f t="shared" si="16"/>
        <v>2963201.7184866518</v>
      </c>
      <c r="O98" s="122">
        <f t="shared" si="17"/>
        <v>8780564424442.2461</v>
      </c>
      <c r="P98"/>
    </row>
    <row r="99" spans="1:16" x14ac:dyDescent="0.2">
      <c r="A99" s="42">
        <v>44957</v>
      </c>
      <c r="B99" s="43">
        <f>Inputs!D120</f>
        <v>109159973.71000001</v>
      </c>
      <c r="C99" s="124">
        <v>31</v>
      </c>
      <c r="D99" s="124">
        <f t="shared" si="18"/>
        <v>0</v>
      </c>
      <c r="E99" s="121">
        <v>551.29999999999984</v>
      </c>
      <c r="F99" s="121">
        <v>0</v>
      </c>
      <c r="G99" s="148">
        <v>0</v>
      </c>
      <c r="H99" s="158">
        <v>30319221</v>
      </c>
      <c r="I99" s="43">
        <f t="shared" ref="I99:I130" si="19">$R$18+$R$19*C99+$R$20*D99+$R$21*E99+$R$22*F99+$R$23*G99+$R$24*H99</f>
        <v>109305715.06485334</v>
      </c>
      <c r="J99" s="26">
        <f t="shared" ref="J99:J122" si="20">I99-B99</f>
        <v>145741.35485333204</v>
      </c>
      <c r="K99" s="35">
        <f t="shared" ref="K99:K122" si="21">J99/B99</f>
        <v>1.3351171670351993E-3</v>
      </c>
      <c r="L99" s="9">
        <f t="shared" si="14"/>
        <v>1.3351171670351993E-3</v>
      </c>
      <c r="M99" s="122">
        <f t="shared" si="15"/>
        <v>21240542514.484852</v>
      </c>
      <c r="N99" s="122">
        <f t="shared" si="16"/>
        <v>-829562.00958460569</v>
      </c>
      <c r="O99" s="122">
        <f t="shared" si="17"/>
        <v>688173127746.04944</v>
      </c>
      <c r="P99"/>
    </row>
    <row r="100" spans="1:16" x14ac:dyDescent="0.2">
      <c r="A100" s="42">
        <v>44985</v>
      </c>
      <c r="B100" s="43">
        <f>Inputs!D121</f>
        <v>98764635.64000003</v>
      </c>
      <c r="C100" s="124">
        <v>28</v>
      </c>
      <c r="D100" s="124">
        <f t="shared" si="18"/>
        <v>0</v>
      </c>
      <c r="E100" s="121">
        <v>508.99999999999994</v>
      </c>
      <c r="F100" s="121">
        <v>0</v>
      </c>
      <c r="G100" s="148">
        <v>0</v>
      </c>
      <c r="H100" s="158">
        <v>28706074</v>
      </c>
      <c r="I100" s="43">
        <f t="shared" si="19"/>
        <v>98475321.887586132</v>
      </c>
      <c r="J100" s="26">
        <f t="shared" si="20"/>
        <v>-289313.75241389871</v>
      </c>
      <c r="K100" s="35">
        <f t="shared" si="21"/>
        <v>-2.9293253656952245E-3</v>
      </c>
      <c r="L100" s="9">
        <f t="shared" si="14"/>
        <v>2.9293253656952245E-3</v>
      </c>
      <c r="M100" s="122">
        <f t="shared" si="15"/>
        <v>83702447335.810684</v>
      </c>
      <c r="N100" s="122">
        <f t="shared" si="16"/>
        <v>-435055.10726723075</v>
      </c>
      <c r="O100" s="122">
        <f t="shared" si="17"/>
        <v>189272946359.30167</v>
      </c>
      <c r="P100"/>
    </row>
    <row r="101" spans="1:16" x14ac:dyDescent="0.2">
      <c r="A101" s="42">
        <v>45016</v>
      </c>
      <c r="B101" s="43">
        <f>Inputs!D122</f>
        <v>105254657.88</v>
      </c>
      <c r="C101" s="124">
        <v>31</v>
      </c>
      <c r="D101" s="124">
        <f t="shared" si="18"/>
        <v>1</v>
      </c>
      <c r="E101" s="121">
        <v>503.7999999999999</v>
      </c>
      <c r="F101" s="121">
        <v>0</v>
      </c>
      <c r="G101" s="148">
        <v>0</v>
      </c>
      <c r="H101" s="158">
        <v>35137172</v>
      </c>
      <c r="I101" s="43">
        <f t="shared" si="19"/>
        <v>107056705.45095855</v>
      </c>
      <c r="J101" s="26">
        <f t="shared" si="20"/>
        <v>1802047.5709585547</v>
      </c>
      <c r="K101" s="35">
        <f t="shared" si="21"/>
        <v>1.7120834433883722E-2</v>
      </c>
      <c r="L101" s="9">
        <f t="shared" si="14"/>
        <v>1.7120834433883722E-2</v>
      </c>
      <c r="M101" s="122">
        <f t="shared" si="15"/>
        <v>3247375447997.6274</v>
      </c>
      <c r="N101" s="122">
        <f t="shared" si="16"/>
        <v>2091361.3233724535</v>
      </c>
      <c r="O101" s="122">
        <f t="shared" si="17"/>
        <v>4373792184898.1797</v>
      </c>
      <c r="P101"/>
    </row>
    <row r="102" spans="1:16" x14ac:dyDescent="0.2">
      <c r="A102" s="42">
        <v>45046</v>
      </c>
      <c r="B102" s="43">
        <f>Inputs!D123</f>
        <v>93768436.560000002</v>
      </c>
      <c r="C102" s="124">
        <v>30</v>
      </c>
      <c r="D102" s="124">
        <f t="shared" si="18"/>
        <v>1</v>
      </c>
      <c r="E102" s="121">
        <v>283.40000000000003</v>
      </c>
      <c r="F102" s="121">
        <v>1.7</v>
      </c>
      <c r="G102" s="148">
        <v>0</v>
      </c>
      <c r="H102" s="158">
        <v>30806218</v>
      </c>
      <c r="I102" s="43">
        <f t="shared" si="19"/>
        <v>95746858.928905651</v>
      </c>
      <c r="J102" s="26">
        <f t="shared" si="20"/>
        <v>1978422.3689056486</v>
      </c>
      <c r="K102" s="35">
        <f t="shared" si="21"/>
        <v>2.1099022672087606E-2</v>
      </c>
      <c r="L102" s="9">
        <f t="shared" si="14"/>
        <v>2.1099022672087606E-2</v>
      </c>
      <c r="M102" s="122">
        <f t="shared" si="15"/>
        <v>3914155069786.2383</v>
      </c>
      <c r="N102" s="122">
        <f t="shared" si="16"/>
        <v>176374.79794709384</v>
      </c>
      <c r="O102" s="122">
        <f t="shared" si="17"/>
        <v>31108069350.878178</v>
      </c>
      <c r="P102"/>
    </row>
    <row r="103" spans="1:16" x14ac:dyDescent="0.2">
      <c r="A103" s="42">
        <v>45077</v>
      </c>
      <c r="B103" s="43">
        <f>Inputs!D124</f>
        <v>99703860.189999998</v>
      </c>
      <c r="C103" s="124">
        <v>31</v>
      </c>
      <c r="D103" s="124">
        <f t="shared" si="18"/>
        <v>1</v>
      </c>
      <c r="E103" s="121">
        <v>159.10000000000005</v>
      </c>
      <c r="F103" s="121">
        <v>8.7999999999999989</v>
      </c>
      <c r="G103" s="148">
        <v>0</v>
      </c>
      <c r="H103" s="158">
        <v>35610160</v>
      </c>
      <c r="I103" s="43">
        <f t="shared" si="19"/>
        <v>102241212.17979671</v>
      </c>
      <c r="J103" s="26">
        <f t="shared" si="20"/>
        <v>2537351.989796713</v>
      </c>
      <c r="K103" s="35">
        <f t="shared" si="21"/>
        <v>2.5448884175210719E-2</v>
      </c>
      <c r="L103" s="9">
        <f t="shared" si="14"/>
        <v>2.5448884175210719E-2</v>
      </c>
      <c r="M103" s="122">
        <f t="shared" si="15"/>
        <v>6438155120125.3389</v>
      </c>
      <c r="N103" s="122">
        <f t="shared" si="16"/>
        <v>558929.62089106441</v>
      </c>
      <c r="O103" s="122">
        <f t="shared" si="17"/>
        <v>312402321109.42896</v>
      </c>
      <c r="P103"/>
    </row>
    <row r="104" spans="1:16" x14ac:dyDescent="0.2">
      <c r="A104" s="42">
        <v>45107</v>
      </c>
      <c r="B104" s="43">
        <f>Inputs!D125</f>
        <v>106677864.72</v>
      </c>
      <c r="C104" s="124">
        <v>30</v>
      </c>
      <c r="D104" s="124">
        <f t="shared" si="18"/>
        <v>0</v>
      </c>
      <c r="E104" s="121">
        <v>41.199999999999996</v>
      </c>
      <c r="F104" s="121">
        <v>40</v>
      </c>
      <c r="G104" s="148">
        <v>0</v>
      </c>
      <c r="H104" s="158">
        <v>35430157</v>
      </c>
      <c r="I104" s="43">
        <f t="shared" si="19"/>
        <v>110515350.78609115</v>
      </c>
      <c r="J104" s="26">
        <f t="shared" si="20"/>
        <v>3837486.06609115</v>
      </c>
      <c r="K104" s="35">
        <f t="shared" si="21"/>
        <v>3.5972655397288777E-2</v>
      </c>
      <c r="L104" s="9">
        <f t="shared" si="14"/>
        <v>3.5972655397288777E-2</v>
      </c>
      <c r="M104" s="122">
        <f t="shared" si="15"/>
        <v>14726299307443.73</v>
      </c>
      <c r="N104" s="122">
        <f t="shared" si="16"/>
        <v>1300134.0762944371</v>
      </c>
      <c r="O104" s="122">
        <f t="shared" si="17"/>
        <v>1690348616341.989</v>
      </c>
      <c r="P104"/>
    </row>
    <row r="105" spans="1:16" x14ac:dyDescent="0.2">
      <c r="A105" s="42">
        <v>45138</v>
      </c>
      <c r="B105" s="43">
        <f>Inputs!D126</f>
        <v>123730259.39</v>
      </c>
      <c r="C105" s="124">
        <v>31</v>
      </c>
      <c r="D105" s="124">
        <f t="shared" si="18"/>
        <v>0</v>
      </c>
      <c r="E105" s="121">
        <v>0.1</v>
      </c>
      <c r="F105" s="121">
        <v>95.8</v>
      </c>
      <c r="G105" s="148">
        <v>0</v>
      </c>
      <c r="H105" s="158">
        <v>30739689</v>
      </c>
      <c r="I105" s="43">
        <f t="shared" si="19"/>
        <v>122176787.61228065</v>
      </c>
      <c r="J105" s="26">
        <f t="shared" si="20"/>
        <v>-1553471.7777193487</v>
      </c>
      <c r="K105" s="35">
        <f t="shared" si="21"/>
        <v>-1.2555310118786528E-2</v>
      </c>
      <c r="L105" s="9">
        <f t="shared" si="14"/>
        <v>1.2555310118786528E-2</v>
      </c>
      <c r="M105" s="122">
        <f t="shared" si="15"/>
        <v>2413274564170.5137</v>
      </c>
      <c r="N105" s="122">
        <f t="shared" si="16"/>
        <v>-5390957.8438104987</v>
      </c>
      <c r="O105" s="122">
        <f t="shared" si="17"/>
        <v>29062426473741.941</v>
      </c>
      <c r="P105"/>
    </row>
    <row r="106" spans="1:16" x14ac:dyDescent="0.2">
      <c r="A106" s="42">
        <v>45169</v>
      </c>
      <c r="B106" s="43">
        <f>Inputs!D127</f>
        <v>118372301.53000002</v>
      </c>
      <c r="C106" s="124">
        <v>31</v>
      </c>
      <c r="D106" s="124">
        <f t="shared" si="18"/>
        <v>0</v>
      </c>
      <c r="E106" s="121">
        <v>21.2</v>
      </c>
      <c r="F106" s="121">
        <v>50.899999999999991</v>
      </c>
      <c r="G106" s="148">
        <v>0</v>
      </c>
      <c r="H106" s="158">
        <v>34951158</v>
      </c>
      <c r="I106" s="43">
        <f t="shared" si="19"/>
        <v>115194019.62107998</v>
      </c>
      <c r="J106" s="26">
        <f t="shared" si="20"/>
        <v>-3178281.9089200348</v>
      </c>
      <c r="K106" s="35">
        <f t="shared" si="21"/>
        <v>-2.6849878458386971E-2</v>
      </c>
      <c r="L106" s="9">
        <f t="shared" si="14"/>
        <v>2.6849878458386971E-2</v>
      </c>
      <c r="M106" s="122">
        <f t="shared" si="15"/>
        <v>10101475892568.381</v>
      </c>
      <c r="N106" s="122">
        <f t="shared" si="16"/>
        <v>-1624810.1312006861</v>
      </c>
      <c r="O106" s="122">
        <f t="shared" si="17"/>
        <v>2640007962452.3906</v>
      </c>
      <c r="P106"/>
    </row>
    <row r="107" spans="1:16" x14ac:dyDescent="0.2">
      <c r="A107" s="42">
        <v>45199</v>
      </c>
      <c r="B107" s="43">
        <f>Inputs!D128</f>
        <v>107470986.69999999</v>
      </c>
      <c r="C107" s="124">
        <v>30</v>
      </c>
      <c r="D107" s="124">
        <f t="shared" si="18"/>
        <v>0</v>
      </c>
      <c r="E107" s="121">
        <v>47.499999999999986</v>
      </c>
      <c r="F107" s="121">
        <v>34.1</v>
      </c>
      <c r="G107" s="148">
        <v>0</v>
      </c>
      <c r="H107" s="158">
        <v>33705088</v>
      </c>
      <c r="I107" s="43">
        <f t="shared" si="19"/>
        <v>107491529.89031497</v>
      </c>
      <c r="J107" s="26">
        <f t="shared" si="20"/>
        <v>20543.190314978361</v>
      </c>
      <c r="K107" s="35">
        <f t="shared" si="21"/>
        <v>1.9115103476553791E-4</v>
      </c>
      <c r="L107" s="9">
        <f t="shared" si="14"/>
        <v>1.9115103476553791E-4</v>
      </c>
      <c r="M107" s="122">
        <f t="shared" si="15"/>
        <v>422022668.31742072</v>
      </c>
      <c r="N107" s="122">
        <f t="shared" si="16"/>
        <v>3198825.0992350131</v>
      </c>
      <c r="O107" s="122">
        <f t="shared" si="17"/>
        <v>10232482015495.891</v>
      </c>
      <c r="P107"/>
    </row>
    <row r="108" spans="1:16" x14ac:dyDescent="0.2">
      <c r="A108" s="42">
        <v>45230</v>
      </c>
      <c r="B108" s="43">
        <f>Inputs!D129</f>
        <v>101567452.83999999</v>
      </c>
      <c r="C108" s="124">
        <v>31</v>
      </c>
      <c r="D108" s="124">
        <f t="shared" si="18"/>
        <v>1</v>
      </c>
      <c r="E108" s="121">
        <v>205.40000000000003</v>
      </c>
      <c r="F108" s="121">
        <v>12.000000000000002</v>
      </c>
      <c r="G108" s="148">
        <v>0</v>
      </c>
      <c r="H108" s="158">
        <v>32086092</v>
      </c>
      <c r="I108" s="43">
        <f t="shared" si="19"/>
        <v>100692415.61330478</v>
      </c>
      <c r="J108" s="26">
        <f t="shared" si="20"/>
        <v>-875037.22669520974</v>
      </c>
      <c r="K108" s="35">
        <f t="shared" si="21"/>
        <v>-8.615331016262294E-3</v>
      </c>
      <c r="L108" s="9">
        <f t="shared" si="14"/>
        <v>8.615331016262294E-3</v>
      </c>
      <c r="M108" s="122">
        <f t="shared" si="15"/>
        <v>765690148102.44385</v>
      </c>
      <c r="N108" s="122">
        <f t="shared" si="16"/>
        <v>-895580.4170101881</v>
      </c>
      <c r="O108" s="122">
        <f t="shared" si="17"/>
        <v>802064283332.14246</v>
      </c>
      <c r="P108"/>
    </row>
    <row r="109" spans="1:16" x14ac:dyDescent="0.2">
      <c r="A109" s="42">
        <v>45260</v>
      </c>
      <c r="B109" s="43">
        <f>Inputs!D130</f>
        <v>103573335.30000001</v>
      </c>
      <c r="C109" s="124">
        <v>30</v>
      </c>
      <c r="D109" s="124">
        <f t="shared" si="18"/>
        <v>1</v>
      </c>
      <c r="E109" s="121">
        <v>409.29999999999995</v>
      </c>
      <c r="F109" s="121">
        <v>0</v>
      </c>
      <c r="G109" s="148">
        <v>0</v>
      </c>
      <c r="H109" s="158">
        <v>33676082</v>
      </c>
      <c r="I109" s="43">
        <f t="shared" si="19"/>
        <v>100808178.71236143</v>
      </c>
      <c r="J109" s="26">
        <f t="shared" si="20"/>
        <v>-2765156.5876385868</v>
      </c>
      <c r="K109" s="35">
        <f t="shared" si="21"/>
        <v>-2.6697572108007481E-2</v>
      </c>
      <c r="L109" s="9">
        <f t="shared" si="14"/>
        <v>2.6697572108007481E-2</v>
      </c>
      <c r="M109" s="122">
        <f t="shared" si="15"/>
        <v>7646090954161.0732</v>
      </c>
      <c r="N109" s="122">
        <f t="shared" si="16"/>
        <v>-1890119.360943377</v>
      </c>
      <c r="O109" s="122">
        <f t="shared" si="17"/>
        <v>3572551198613</v>
      </c>
      <c r="P109"/>
    </row>
    <row r="110" spans="1:16" x14ac:dyDescent="0.2">
      <c r="A110" s="42">
        <v>45291</v>
      </c>
      <c r="B110" s="43">
        <f>Inputs!D131</f>
        <v>103900094.45</v>
      </c>
      <c r="C110" s="124">
        <v>31</v>
      </c>
      <c r="D110" s="124">
        <f t="shared" si="18"/>
        <v>0</v>
      </c>
      <c r="E110" s="121">
        <v>436.99999999999994</v>
      </c>
      <c r="F110" s="121">
        <v>0</v>
      </c>
      <c r="G110" s="148">
        <v>0</v>
      </c>
      <c r="H110" s="158">
        <v>28525472</v>
      </c>
      <c r="I110" s="43">
        <f t="shared" si="19"/>
        <v>105093933.62202547</v>
      </c>
      <c r="J110" s="26">
        <f t="shared" si="20"/>
        <v>1193839.1720254719</v>
      </c>
      <c r="K110" s="35">
        <f t="shared" si="21"/>
        <v>1.1490260700388341E-2</v>
      </c>
      <c r="L110" s="9">
        <f t="shared" si="14"/>
        <v>1.1490260700388341E-2</v>
      </c>
      <c r="M110" s="122">
        <f t="shared" si="15"/>
        <v>1425251968662.4644</v>
      </c>
      <c r="N110" s="122">
        <f t="shared" si="16"/>
        <v>3958995.7596640587</v>
      </c>
      <c r="O110" s="122">
        <f t="shared" si="17"/>
        <v>15673647425037.998</v>
      </c>
      <c r="P110"/>
    </row>
    <row r="111" spans="1:16" x14ac:dyDescent="0.2">
      <c r="A111" s="42">
        <v>45322</v>
      </c>
      <c r="B111" s="43">
        <f>Inputs!D132</f>
        <v>114889567.74999997</v>
      </c>
      <c r="C111" s="124">
        <v>31</v>
      </c>
      <c r="D111" s="124">
        <f t="shared" si="18"/>
        <v>0</v>
      </c>
      <c r="E111" s="121">
        <v>632.79999999999995</v>
      </c>
      <c r="F111" s="121">
        <v>0</v>
      </c>
      <c r="G111" s="148">
        <v>0</v>
      </c>
      <c r="H111" s="158">
        <v>30250424</v>
      </c>
      <c r="I111" s="43">
        <f t="shared" si="19"/>
        <v>111017417.08573341</v>
      </c>
      <c r="J111" s="26">
        <f t="shared" si="20"/>
        <v>-3872150.6642665565</v>
      </c>
      <c r="K111" s="35">
        <f t="shared" si="21"/>
        <v>-3.3703239903316265E-2</v>
      </c>
      <c r="L111" s="9">
        <f t="shared" si="14"/>
        <v>3.3703239903316265E-2</v>
      </c>
      <c r="M111" s="122">
        <f t="shared" si="15"/>
        <v>14993550766779.936</v>
      </c>
      <c r="N111" s="122">
        <f t="shared" si="16"/>
        <v>-5065989.8362920284</v>
      </c>
      <c r="O111" s="122">
        <f t="shared" si="17"/>
        <v>25664253021414.133</v>
      </c>
      <c r="P111"/>
    </row>
    <row r="112" spans="1:16" x14ac:dyDescent="0.2">
      <c r="A112" s="42">
        <v>45351</v>
      </c>
      <c r="B112" s="43">
        <f>Inputs!D133</f>
        <v>103465923.86999999</v>
      </c>
      <c r="C112" s="124">
        <v>29</v>
      </c>
      <c r="D112" s="124">
        <f t="shared" si="18"/>
        <v>0</v>
      </c>
      <c r="E112" s="121">
        <v>486.59999999999997</v>
      </c>
      <c r="F112" s="121">
        <v>0</v>
      </c>
      <c r="G112" s="148">
        <v>0</v>
      </c>
      <c r="H112" s="158">
        <v>30129780</v>
      </c>
      <c r="I112" s="43">
        <f t="shared" si="19"/>
        <v>102138284.63675448</v>
      </c>
      <c r="J112" s="26">
        <f t="shared" si="20"/>
        <v>-1327639.2332455069</v>
      </c>
      <c r="K112" s="35">
        <f t="shared" si="21"/>
        <v>-1.2831656873944532E-2</v>
      </c>
      <c r="L112" s="9">
        <f t="shared" si="14"/>
        <v>1.2831656873944532E-2</v>
      </c>
      <c r="M112" s="122">
        <f t="shared" si="15"/>
        <v>1762625933652.7175</v>
      </c>
      <c r="N112" s="122">
        <f t="shared" si="16"/>
        <v>2544511.4310210496</v>
      </c>
      <c r="O112" s="122">
        <f t="shared" si="17"/>
        <v>6474538422596.79</v>
      </c>
      <c r="P112"/>
    </row>
    <row r="113" spans="1:16" x14ac:dyDescent="0.2">
      <c r="A113" s="42">
        <v>45382</v>
      </c>
      <c r="B113" s="43">
        <f>Inputs!D134</f>
        <v>104383760.00000003</v>
      </c>
      <c r="C113" s="124">
        <v>31</v>
      </c>
      <c r="D113" s="124">
        <f t="shared" si="18"/>
        <v>1</v>
      </c>
      <c r="E113" s="121">
        <v>421.9</v>
      </c>
      <c r="F113" s="121">
        <v>0</v>
      </c>
      <c r="G113" s="148">
        <v>0</v>
      </c>
      <c r="H113" s="158">
        <v>31413629</v>
      </c>
      <c r="I113" s="43">
        <f t="shared" si="19"/>
        <v>101702506.3509839</v>
      </c>
      <c r="J113" s="26">
        <f t="shared" si="20"/>
        <v>-2681253.649016127</v>
      </c>
      <c r="K113" s="35">
        <f t="shared" si="21"/>
        <v>-2.568650189470207E-2</v>
      </c>
      <c r="L113" s="9">
        <f t="shared" si="14"/>
        <v>2.568650189470207E-2</v>
      </c>
      <c r="M113" s="122">
        <f t="shared" si="15"/>
        <v>7189121130362.2959</v>
      </c>
      <c r="N113" s="122">
        <f t="shared" si="16"/>
        <v>-1353614.4157706201</v>
      </c>
      <c r="O113" s="122">
        <f t="shared" si="17"/>
        <v>1832271986582.0371</v>
      </c>
      <c r="P113"/>
    </row>
    <row r="114" spans="1:16" x14ac:dyDescent="0.2">
      <c r="A114" s="42">
        <v>45412</v>
      </c>
      <c r="B114" s="43">
        <f>Inputs!D135</f>
        <v>96290702.249999985</v>
      </c>
      <c r="C114" s="124">
        <v>30</v>
      </c>
      <c r="D114" s="124">
        <f t="shared" si="18"/>
        <v>1</v>
      </c>
      <c r="E114" s="121">
        <v>246.99999999999994</v>
      </c>
      <c r="F114" s="121">
        <v>2.5</v>
      </c>
      <c r="G114" s="148">
        <v>0</v>
      </c>
      <c r="H114" s="158">
        <v>31886888</v>
      </c>
      <c r="I114" s="43">
        <f t="shared" si="19"/>
        <v>96192925.633767575</v>
      </c>
      <c r="J114" s="26">
        <f t="shared" si="20"/>
        <v>-97776.616232410073</v>
      </c>
      <c r="K114" s="35">
        <f t="shared" si="21"/>
        <v>-1.0154315416513653E-3</v>
      </c>
      <c r="L114" s="9">
        <f t="shared" si="14"/>
        <v>1.0154315416513653E-3</v>
      </c>
      <c r="M114" s="122">
        <f t="shared" si="15"/>
        <v>9560266681.8599968</v>
      </c>
      <c r="N114" s="122">
        <f t="shared" si="16"/>
        <v>2583477.0327837169</v>
      </c>
      <c r="O114" s="122">
        <f t="shared" si="17"/>
        <v>6674353578920.958</v>
      </c>
      <c r="P114"/>
    </row>
    <row r="115" spans="1:16" x14ac:dyDescent="0.2">
      <c r="A115" s="42">
        <v>45443</v>
      </c>
      <c r="B115" s="43">
        <f>Inputs!D136</f>
        <v>103034309.11999999</v>
      </c>
      <c r="C115" s="124">
        <v>31</v>
      </c>
      <c r="D115" s="124">
        <f t="shared" si="18"/>
        <v>1</v>
      </c>
      <c r="E115" s="121">
        <v>81.599999999999994</v>
      </c>
      <c r="F115" s="121">
        <v>21</v>
      </c>
      <c r="G115" s="148">
        <v>0</v>
      </c>
      <c r="H115" s="158">
        <v>33307837</v>
      </c>
      <c r="I115" s="43">
        <f t="shared" si="19"/>
        <v>101463620.67647462</v>
      </c>
      <c r="J115" s="26">
        <f t="shared" si="20"/>
        <v>-1570688.4435253739</v>
      </c>
      <c r="K115" s="35">
        <f t="shared" si="21"/>
        <v>-1.5244324506471481E-2</v>
      </c>
      <c r="L115" s="9">
        <f t="shared" si="14"/>
        <v>1.5244324506471481E-2</v>
      </c>
      <c r="M115" s="122">
        <f t="shared" si="15"/>
        <v>2467062186624.1616</v>
      </c>
      <c r="N115" s="122">
        <f t="shared" si="16"/>
        <v>-1472911.8272929639</v>
      </c>
      <c r="O115" s="122">
        <f t="shared" si="17"/>
        <v>2169469250979.4978</v>
      </c>
      <c r="P115"/>
    </row>
    <row r="116" spans="1:16" x14ac:dyDescent="0.2">
      <c r="A116" s="42">
        <v>45473</v>
      </c>
      <c r="B116" s="43">
        <f>Inputs!D137</f>
        <v>115554806.21000001</v>
      </c>
      <c r="C116" s="124">
        <v>30</v>
      </c>
      <c r="D116" s="124">
        <f t="shared" si="18"/>
        <v>0</v>
      </c>
      <c r="E116" s="121">
        <v>24.5</v>
      </c>
      <c r="F116" s="121">
        <v>90</v>
      </c>
      <c r="G116" s="148">
        <v>0</v>
      </c>
      <c r="H116" s="158">
        <v>31143333</v>
      </c>
      <c r="I116" s="43">
        <f t="shared" si="19"/>
        <v>118825662.84584078</v>
      </c>
      <c r="J116" s="26">
        <f t="shared" si="20"/>
        <v>3270856.6358407736</v>
      </c>
      <c r="K116" s="35">
        <f t="shared" si="21"/>
        <v>2.8305673672253683E-2</v>
      </c>
      <c r="L116" s="9">
        <f t="shared" si="14"/>
        <v>2.8305673672253683E-2</v>
      </c>
      <c r="M116" s="122">
        <f t="shared" si="15"/>
        <v>10698503132223.623</v>
      </c>
      <c r="N116" s="122">
        <f t="shared" si="16"/>
        <v>4841545.0793661475</v>
      </c>
      <c r="O116" s="122">
        <f t="shared" si="17"/>
        <v>23440558755534.555</v>
      </c>
      <c r="P116"/>
    </row>
    <row r="117" spans="1:16" x14ac:dyDescent="0.2">
      <c r="A117" s="42">
        <v>45504</v>
      </c>
      <c r="B117" s="43">
        <f>Inputs!D138</f>
        <v>127431775.88</v>
      </c>
      <c r="C117" s="124">
        <v>31</v>
      </c>
      <c r="D117" s="124">
        <f t="shared" si="18"/>
        <v>0</v>
      </c>
      <c r="E117" s="121">
        <v>5.9999999999999991</v>
      </c>
      <c r="F117" s="121">
        <v>105</v>
      </c>
      <c r="G117" s="148">
        <v>0</v>
      </c>
      <c r="H117" s="158">
        <v>29943389</v>
      </c>
      <c r="I117" s="43">
        <f t="shared" si="19"/>
        <v>123894383.85795566</v>
      </c>
      <c r="J117" s="26">
        <f t="shared" si="20"/>
        <v>-3537392.0220443308</v>
      </c>
      <c r="K117" s="35">
        <f t="shared" si="21"/>
        <v>-2.7759104804247755E-2</v>
      </c>
      <c r="L117" s="9">
        <f t="shared" si="14"/>
        <v>2.7759104804247755E-2</v>
      </c>
      <c r="M117" s="122">
        <f t="shared" si="15"/>
        <v>12513142317622.879</v>
      </c>
      <c r="N117" s="122">
        <f t="shared" si="16"/>
        <v>-6808248.6578851044</v>
      </c>
      <c r="O117" s="122">
        <f t="shared" si="17"/>
        <v>46352249787594.328</v>
      </c>
      <c r="P117"/>
    </row>
    <row r="118" spans="1:16" x14ac:dyDescent="0.2">
      <c r="A118" s="42">
        <v>45535</v>
      </c>
      <c r="B118" s="43">
        <f>Inputs!D139</f>
        <v>124968723.37</v>
      </c>
      <c r="C118" s="124">
        <v>31</v>
      </c>
      <c r="D118" s="124">
        <f t="shared" si="18"/>
        <v>0</v>
      </c>
      <c r="E118" s="121">
        <v>16.2</v>
      </c>
      <c r="F118" s="121">
        <v>83.299999999999983</v>
      </c>
      <c r="G118" s="148">
        <v>0</v>
      </c>
      <c r="H118" s="158">
        <v>31000142</v>
      </c>
      <c r="I118" s="43">
        <f t="shared" si="19"/>
        <v>119581977.13385431</v>
      </c>
      <c r="J118" s="26">
        <f t="shared" si="20"/>
        <v>-5386746.2361456901</v>
      </c>
      <c r="K118" s="35">
        <f t="shared" si="21"/>
        <v>-4.3104755261017834E-2</v>
      </c>
      <c r="L118" s="9">
        <f t="shared" si="14"/>
        <v>4.3104755261017834E-2</v>
      </c>
      <c r="M118" s="122">
        <f t="shared" si="15"/>
        <v>29017035012629.758</v>
      </c>
      <c r="N118" s="122">
        <f t="shared" si="16"/>
        <v>-1849354.2141013592</v>
      </c>
      <c r="O118" s="122">
        <f t="shared" si="17"/>
        <v>3420111009214.4561</v>
      </c>
      <c r="P118"/>
    </row>
    <row r="119" spans="1:16" x14ac:dyDescent="0.2">
      <c r="A119" s="42">
        <v>45565</v>
      </c>
      <c r="B119" s="43">
        <f>Inputs!D140</f>
        <v>110181971.18999998</v>
      </c>
      <c r="C119" s="124">
        <v>30</v>
      </c>
      <c r="D119" s="124">
        <f t="shared" si="18"/>
        <v>0</v>
      </c>
      <c r="E119" s="121">
        <v>26.299999999999997</v>
      </c>
      <c r="F119" s="121">
        <v>25.399999999999995</v>
      </c>
      <c r="G119" s="148">
        <v>0</v>
      </c>
      <c r="H119" s="158">
        <v>30980059</v>
      </c>
      <c r="I119" s="43">
        <f t="shared" si="19"/>
        <v>102193948.6785872</v>
      </c>
      <c r="J119" s="26">
        <f t="shared" si="20"/>
        <v>-7988022.5114127845</v>
      </c>
      <c r="K119" s="35">
        <f t="shared" si="21"/>
        <v>-7.2498453468744714E-2</v>
      </c>
      <c r="L119" s="9">
        <f t="shared" si="14"/>
        <v>7.2498453468744714E-2</v>
      </c>
      <c r="M119" s="122">
        <f t="shared" si="15"/>
        <v>63808503642837.406</v>
      </c>
      <c r="N119" s="122">
        <f t="shared" si="16"/>
        <v>-2601276.2752670944</v>
      </c>
      <c r="O119" s="122">
        <f t="shared" si="17"/>
        <v>6766638260267.4482</v>
      </c>
      <c r="P119"/>
    </row>
    <row r="120" spans="1:16" x14ac:dyDescent="0.2">
      <c r="A120" s="42">
        <v>45596</v>
      </c>
      <c r="B120" s="43">
        <f>Inputs!D141</f>
        <v>99255142.859999985</v>
      </c>
      <c r="C120" s="124">
        <v>31</v>
      </c>
      <c r="D120" s="124">
        <f t="shared" si="18"/>
        <v>1</v>
      </c>
      <c r="E120" s="121">
        <v>153.89999999999998</v>
      </c>
      <c r="F120" s="121">
        <v>1.7</v>
      </c>
      <c r="G120" s="148">
        <v>0</v>
      </c>
      <c r="H120" s="158">
        <v>31977835</v>
      </c>
      <c r="I120" s="43">
        <f t="shared" si="19"/>
        <v>96832280.974010527</v>
      </c>
      <c r="J120" s="26">
        <f t="shared" si="20"/>
        <v>-2422861.8859894574</v>
      </c>
      <c r="K120" s="35">
        <f t="shared" si="21"/>
        <v>-2.4410441778386433E-2</v>
      </c>
      <c r="L120" s="9">
        <f t="shared" si="14"/>
        <v>2.4410441778386433E-2</v>
      </c>
      <c r="M120" s="122">
        <f t="shared" si="15"/>
        <v>5870259718580.3906</v>
      </c>
      <c r="N120" s="122">
        <f t="shared" si="16"/>
        <v>5565160.6254233271</v>
      </c>
      <c r="O120" s="122">
        <f t="shared" si="17"/>
        <v>30971012786762.156</v>
      </c>
      <c r="P120"/>
    </row>
    <row r="121" spans="1:16" x14ac:dyDescent="0.2">
      <c r="A121" s="42">
        <v>45626</v>
      </c>
      <c r="B121" s="43">
        <f>Inputs!D142</f>
        <v>100050319.93000001</v>
      </c>
      <c r="C121" s="124">
        <v>30</v>
      </c>
      <c r="D121" s="124">
        <f t="shared" si="18"/>
        <v>1</v>
      </c>
      <c r="E121" s="121">
        <v>323</v>
      </c>
      <c r="F121" s="121">
        <v>2.1</v>
      </c>
      <c r="G121" s="148">
        <v>0</v>
      </c>
      <c r="H121" s="158">
        <v>31486058</v>
      </c>
      <c r="I121" s="43">
        <f t="shared" si="19"/>
        <v>97364258.418198094</v>
      </c>
      <c r="J121" s="26">
        <f t="shared" si="20"/>
        <v>-2686061.5118019134</v>
      </c>
      <c r="K121" s="35">
        <f t="shared" si="21"/>
        <v>-2.6847105673237334E-2</v>
      </c>
      <c r="L121" s="9">
        <f t="shared" si="14"/>
        <v>2.6847105673237334E-2</v>
      </c>
      <c r="M121" s="122">
        <f t="shared" si="15"/>
        <v>7214926445183.5801</v>
      </c>
      <c r="N121" s="122">
        <f t="shared" si="16"/>
        <v>-263199.62581245601</v>
      </c>
      <c r="O121" s="122">
        <f t="shared" si="17"/>
        <v>69274043027.816864</v>
      </c>
      <c r="P121"/>
    </row>
    <row r="122" spans="1:16" x14ac:dyDescent="0.2">
      <c r="A122" s="42">
        <v>45657</v>
      </c>
      <c r="B122" s="43">
        <f>Inputs!D143</f>
        <v>109118061.53199999</v>
      </c>
      <c r="C122" s="124">
        <v>31</v>
      </c>
      <c r="D122" s="124">
        <f t="shared" si="18"/>
        <v>0</v>
      </c>
      <c r="E122" s="121">
        <v>542.79999999999995</v>
      </c>
      <c r="F122" s="121">
        <v>0</v>
      </c>
      <c r="G122" s="148">
        <v>0</v>
      </c>
      <c r="H122" s="158">
        <v>28118731</v>
      </c>
      <c r="I122" s="43">
        <f t="shared" si="19"/>
        <v>107011836.98196426</v>
      </c>
      <c r="J122" s="26">
        <f t="shared" si="20"/>
        <v>-2106224.55003573</v>
      </c>
      <c r="K122" s="35">
        <f t="shared" si="21"/>
        <v>-1.9302254094919549E-2</v>
      </c>
      <c r="L122" s="9">
        <f>ABS(K122)</f>
        <v>1.9302254094919549E-2</v>
      </c>
      <c r="M122" s="122">
        <f t="shared" si="15"/>
        <v>4436181855173.2129</v>
      </c>
      <c r="N122" s="122">
        <f t="shared" si="16"/>
        <v>579836.96176618338</v>
      </c>
      <c r="O122" s="122">
        <f t="shared" si="17"/>
        <v>336210902230.2384</v>
      </c>
      <c r="P122"/>
    </row>
    <row r="123" spans="1:16" x14ac:dyDescent="0.2">
      <c r="A123" s="42">
        <v>45688</v>
      </c>
      <c r="B123" s="43"/>
      <c r="C123" s="124">
        <v>31</v>
      </c>
      <c r="D123" s="124">
        <f t="shared" si="18"/>
        <v>0</v>
      </c>
      <c r="E123" s="125">
        <f>AVERAGE(E3,E15,E27,E39,E51,E63,E75,E87,E99,E111)</f>
        <v>664.15000000000009</v>
      </c>
      <c r="F123" s="125">
        <f>AVERAGE(F3,F15,F27,F39,F51,F63,F75,F87,F99,F111)</f>
        <v>0</v>
      </c>
      <c r="G123" s="148">
        <v>0</v>
      </c>
      <c r="H123" s="158">
        <f>H111*(1+H$148)</f>
        <v>29645415.52</v>
      </c>
      <c r="I123" s="43">
        <f t="shared" si="19"/>
        <v>111121490.38877058</v>
      </c>
      <c r="J123" s="26"/>
      <c r="K123" t="s">
        <v>47</v>
      </c>
      <c r="L123" s="4">
        <f>AVERAGE(L3:L122)</f>
        <v>2.5941356690704683E-2</v>
      </c>
      <c r="M123" s="5">
        <f>SUM(M3:M122)</f>
        <v>1417222615133747</v>
      </c>
      <c r="N123" s="4"/>
      <c r="O123" s="5">
        <f>SUM(O3:O122)</f>
        <v>1412196530946499.8</v>
      </c>
      <c r="P123" s="21"/>
    </row>
    <row r="124" spans="1:16" x14ac:dyDescent="0.2">
      <c r="A124" s="42">
        <v>45716</v>
      </c>
      <c r="B124" s="43"/>
      <c r="C124" s="124">
        <v>28</v>
      </c>
      <c r="D124" s="124">
        <f t="shared" si="18"/>
        <v>0</v>
      </c>
      <c r="E124" s="125">
        <f t="shared" ref="E124:F134" si="22">AVERAGE(E4,E16,E28,E40,E52,E64,E76,E88,E100,E112)</f>
        <v>591.35000000000014</v>
      </c>
      <c r="F124" s="125">
        <f t="shared" si="22"/>
        <v>0</v>
      </c>
      <c r="G124" s="148">
        <v>0</v>
      </c>
      <c r="H124" s="158">
        <f t="shared" ref="H124:H134" si="23">H112*(1+H$148)</f>
        <v>29527184.399999999</v>
      </c>
      <c r="I124" s="43">
        <f t="shared" si="19"/>
        <v>101058261.62142968</v>
      </c>
      <c r="J124" s="26"/>
      <c r="P124"/>
    </row>
    <row r="125" spans="1:16" x14ac:dyDescent="0.2">
      <c r="A125" s="42">
        <v>45747</v>
      </c>
      <c r="B125" s="43"/>
      <c r="C125" s="124">
        <v>31</v>
      </c>
      <c r="D125" s="124">
        <f t="shared" si="18"/>
        <v>1</v>
      </c>
      <c r="E125" s="125">
        <f t="shared" si="22"/>
        <v>501.71499999999986</v>
      </c>
      <c r="F125" s="125">
        <f t="shared" si="22"/>
        <v>0</v>
      </c>
      <c r="G125" s="148">
        <v>0</v>
      </c>
      <c r="H125" s="158">
        <f t="shared" si="23"/>
        <v>30785356.419999998</v>
      </c>
      <c r="I125" s="43">
        <f t="shared" si="19"/>
        <v>102841373.82742691</v>
      </c>
      <c r="J125" s="26"/>
      <c r="P125"/>
    </row>
    <row r="126" spans="1:16" x14ac:dyDescent="0.2">
      <c r="A126" s="42">
        <v>45777</v>
      </c>
      <c r="B126" s="43"/>
      <c r="C126" s="124">
        <v>30</v>
      </c>
      <c r="D126" s="124">
        <f t="shared" si="18"/>
        <v>1</v>
      </c>
      <c r="E126" s="125">
        <f t="shared" si="22"/>
        <v>325.64</v>
      </c>
      <c r="F126" s="125">
        <f t="shared" si="22"/>
        <v>0.44000000000000006</v>
      </c>
      <c r="G126" s="148">
        <v>0</v>
      </c>
      <c r="H126" s="158">
        <f t="shared" si="23"/>
        <v>31249150.239999998</v>
      </c>
      <c r="I126" s="43">
        <f t="shared" si="19"/>
        <v>96770471.144843847</v>
      </c>
      <c r="J126" s="26"/>
      <c r="P126"/>
    </row>
    <row r="127" spans="1:16" x14ac:dyDescent="0.2">
      <c r="A127" s="42">
        <v>45808</v>
      </c>
      <c r="B127" s="43"/>
      <c r="C127" s="124">
        <v>31</v>
      </c>
      <c r="D127" s="124">
        <f t="shared" si="18"/>
        <v>1</v>
      </c>
      <c r="E127" s="125">
        <f t="shared" si="22"/>
        <v>142.04000000000002</v>
      </c>
      <c r="F127" s="125">
        <f t="shared" si="22"/>
        <v>24.169999999999998</v>
      </c>
      <c r="G127" s="148">
        <v>0</v>
      </c>
      <c r="H127" s="158">
        <f t="shared" si="23"/>
        <v>32641680.259999998</v>
      </c>
      <c r="I127" s="43">
        <f t="shared" si="19"/>
        <v>102953981.53629009</v>
      </c>
      <c r="J127" s="26"/>
      <c r="P127"/>
    </row>
    <row r="128" spans="1:16" x14ac:dyDescent="0.2">
      <c r="A128" s="42">
        <v>45838</v>
      </c>
      <c r="B128" s="43"/>
      <c r="C128" s="124">
        <v>30</v>
      </c>
      <c r="D128" s="124">
        <f t="shared" si="18"/>
        <v>0</v>
      </c>
      <c r="E128" s="125">
        <f t="shared" si="22"/>
        <v>27.95</v>
      </c>
      <c r="F128" s="125">
        <f t="shared" si="22"/>
        <v>65.360000000000014</v>
      </c>
      <c r="G128" s="148">
        <v>0</v>
      </c>
      <c r="H128" s="158">
        <f t="shared" si="23"/>
        <v>30520466.34</v>
      </c>
      <c r="I128" s="43">
        <f t="shared" si="19"/>
        <v>112005049.31423207</v>
      </c>
      <c r="J128" s="26"/>
      <c r="P128"/>
    </row>
    <row r="129" spans="1:16" x14ac:dyDescent="0.2">
      <c r="A129" s="42">
        <v>45869</v>
      </c>
      <c r="B129" s="43"/>
      <c r="C129" s="124">
        <v>31</v>
      </c>
      <c r="D129" s="124">
        <f t="shared" si="18"/>
        <v>0</v>
      </c>
      <c r="E129" s="125">
        <f t="shared" si="22"/>
        <v>4.17</v>
      </c>
      <c r="F129" s="125">
        <f t="shared" si="22"/>
        <v>111.47499999999999</v>
      </c>
      <c r="G129" s="148">
        <v>0</v>
      </c>
      <c r="H129" s="158">
        <f t="shared" si="23"/>
        <v>29344521.219999999</v>
      </c>
      <c r="I129" s="43">
        <f t="shared" si="19"/>
        <v>124935928.94816355</v>
      </c>
      <c r="J129" s="26"/>
      <c r="K129"/>
      <c r="L129"/>
      <c r="M129"/>
      <c r="N129"/>
      <c r="O129"/>
      <c r="P129"/>
    </row>
    <row r="130" spans="1:16" x14ac:dyDescent="0.2">
      <c r="A130" s="42">
        <v>45900</v>
      </c>
      <c r="B130" s="43"/>
      <c r="C130" s="124">
        <v>31</v>
      </c>
      <c r="D130" s="124">
        <f t="shared" si="18"/>
        <v>0</v>
      </c>
      <c r="E130" s="125">
        <f t="shared" si="22"/>
        <v>10.350000000000001</v>
      </c>
      <c r="F130" s="125">
        <f t="shared" si="22"/>
        <v>89.284999999999997</v>
      </c>
      <c r="G130" s="148">
        <v>0</v>
      </c>
      <c r="H130" s="158">
        <f t="shared" si="23"/>
        <v>30380139.16</v>
      </c>
      <c r="I130" s="43">
        <f t="shared" si="19"/>
        <v>120390324.38400203</v>
      </c>
      <c r="J130" s="26"/>
      <c r="K130"/>
      <c r="L130"/>
      <c r="M130"/>
      <c r="N130"/>
      <c r="O130"/>
      <c r="P130"/>
    </row>
    <row r="131" spans="1:16" x14ac:dyDescent="0.2">
      <c r="A131" s="42">
        <v>45930</v>
      </c>
      <c r="B131" s="43"/>
      <c r="C131" s="124">
        <v>30</v>
      </c>
      <c r="D131" s="124">
        <f t="shared" si="18"/>
        <v>0</v>
      </c>
      <c r="E131" s="125">
        <f t="shared" si="22"/>
        <v>48.02</v>
      </c>
      <c r="F131" s="125">
        <f t="shared" si="22"/>
        <v>44.279999999999994</v>
      </c>
      <c r="G131" s="148">
        <v>0</v>
      </c>
      <c r="H131" s="158">
        <f t="shared" si="23"/>
        <v>30360457.82</v>
      </c>
      <c r="I131" s="43">
        <f t="shared" ref="I131:I146" si="24">$R$18+$R$19*C131+$R$20*D131+$R$21*E131+$R$22*F131+$R$23*G131+$R$24*H131</f>
        <v>106900533.25792736</v>
      </c>
      <c r="J131" s="26"/>
      <c r="K131"/>
      <c r="L131"/>
      <c r="M131"/>
      <c r="N131"/>
      <c r="O131"/>
      <c r="P131"/>
    </row>
    <row r="132" spans="1:16" x14ac:dyDescent="0.2">
      <c r="A132" s="42">
        <v>45961</v>
      </c>
      <c r="B132" s="43"/>
      <c r="C132" s="124">
        <v>31</v>
      </c>
      <c r="D132" s="124">
        <f t="shared" si="18"/>
        <v>1</v>
      </c>
      <c r="E132" s="125">
        <f t="shared" si="22"/>
        <v>202.59500000000003</v>
      </c>
      <c r="F132" s="125">
        <f t="shared" si="22"/>
        <v>7.6800000000000015</v>
      </c>
      <c r="G132" s="148">
        <v>0</v>
      </c>
      <c r="H132" s="158">
        <f t="shared" si="23"/>
        <v>31338278.300000001</v>
      </c>
      <c r="I132" s="43">
        <f t="shared" si="24"/>
        <v>98810312.104041845</v>
      </c>
      <c r="J132" s="26"/>
      <c r="K132"/>
      <c r="L132"/>
      <c r="M132"/>
      <c r="N132"/>
      <c r="O132"/>
      <c r="P132"/>
    </row>
    <row r="133" spans="1:16" x14ac:dyDescent="0.2">
      <c r="A133" s="42">
        <v>45991</v>
      </c>
      <c r="B133" s="43"/>
      <c r="C133" s="124">
        <v>30</v>
      </c>
      <c r="D133" s="124">
        <f t="shared" si="18"/>
        <v>1</v>
      </c>
      <c r="E133" s="125">
        <f t="shared" si="22"/>
        <v>394.15</v>
      </c>
      <c r="F133" s="125">
        <f t="shared" si="22"/>
        <v>0.43000000000000005</v>
      </c>
      <c r="G133" s="148">
        <v>0</v>
      </c>
      <c r="H133" s="158">
        <f t="shared" si="23"/>
        <v>30856336.84</v>
      </c>
      <c r="I133" s="43">
        <f t="shared" si="24"/>
        <v>97885819.268050104</v>
      </c>
      <c r="J133" s="26"/>
      <c r="K133"/>
      <c r="L133"/>
      <c r="M133"/>
      <c r="N133"/>
      <c r="O133"/>
      <c r="P133"/>
    </row>
    <row r="134" spans="1:16" x14ac:dyDescent="0.2">
      <c r="A134" s="42">
        <v>46022</v>
      </c>
      <c r="B134" s="43"/>
      <c r="C134" s="124">
        <v>31</v>
      </c>
      <c r="D134" s="124">
        <f t="shared" si="18"/>
        <v>0</v>
      </c>
      <c r="E134" s="125">
        <f t="shared" si="22"/>
        <v>538.66000000000008</v>
      </c>
      <c r="F134" s="125">
        <f t="shared" si="22"/>
        <v>0</v>
      </c>
      <c r="G134" s="148">
        <v>0</v>
      </c>
      <c r="H134" s="158">
        <f t="shared" si="23"/>
        <v>27556356.379999999</v>
      </c>
      <c r="I134" s="43">
        <f t="shared" si="24"/>
        <v>106382677.82736816</v>
      </c>
      <c r="J134" s="26"/>
      <c r="K134"/>
      <c r="L134"/>
      <c r="M134"/>
      <c r="N134"/>
      <c r="O134"/>
      <c r="P134"/>
    </row>
    <row r="135" spans="1:16" x14ac:dyDescent="0.2">
      <c r="A135" s="42">
        <v>46053</v>
      </c>
      <c r="B135" s="43"/>
      <c r="C135" s="124">
        <v>31</v>
      </c>
      <c r="D135" s="124">
        <f t="shared" si="18"/>
        <v>0</v>
      </c>
      <c r="E135" s="125">
        <f>AVERAGE(E3,E15,E27,E39,E51,E63,E75,E87,E99,E111)</f>
        <v>664.15000000000009</v>
      </c>
      <c r="F135" s="125">
        <f>AVERAGE(F3,F15,F27,F39,F51,F63,F75,F87,F99,F111)</f>
        <v>0</v>
      </c>
      <c r="G135" s="148">
        <v>0</v>
      </c>
      <c r="H135" s="158">
        <f>H123*(1+H$149)</f>
        <v>29052507.209599998</v>
      </c>
      <c r="I135" s="43">
        <f t="shared" si="24"/>
        <v>110553373.09336758</v>
      </c>
      <c r="J135" s="26"/>
      <c r="K135"/>
      <c r="L135"/>
      <c r="M135"/>
      <c r="N135"/>
      <c r="O135"/>
      <c r="P135"/>
    </row>
    <row r="136" spans="1:16" x14ac:dyDescent="0.2">
      <c r="A136" s="42">
        <v>46081</v>
      </c>
      <c r="B136" s="43"/>
      <c r="C136" s="124">
        <v>28</v>
      </c>
      <c r="D136" s="124">
        <f t="shared" si="18"/>
        <v>0</v>
      </c>
      <c r="E136" s="125">
        <f t="shared" ref="E136:F146" si="25">AVERAGE(E4,E16,E28,E40,E52,E64,E76,E88,E100,E112)</f>
        <v>591.35000000000014</v>
      </c>
      <c r="F136" s="125">
        <f t="shared" si="25"/>
        <v>0</v>
      </c>
      <c r="G136" s="148">
        <v>0</v>
      </c>
      <c r="H136" s="158">
        <f t="shared" ref="H136:H146" si="26">H124*(1+H$149)</f>
        <v>28936640.711999997</v>
      </c>
      <c r="I136" s="43">
        <f t="shared" si="24"/>
        <v>100492410.07750793</v>
      </c>
      <c r="J136" s="26"/>
      <c r="K136"/>
      <c r="L136"/>
      <c r="M136"/>
      <c r="N136"/>
      <c r="O136"/>
      <c r="P136"/>
    </row>
    <row r="137" spans="1:16" x14ac:dyDescent="0.2">
      <c r="A137" s="42">
        <v>46112</v>
      </c>
      <c r="B137" s="43"/>
      <c r="C137" s="124">
        <v>31</v>
      </c>
      <c r="D137" s="124">
        <f t="shared" si="18"/>
        <v>1</v>
      </c>
      <c r="E137" s="125">
        <f t="shared" si="25"/>
        <v>501.71499999999986</v>
      </c>
      <c r="F137" s="125">
        <f t="shared" si="25"/>
        <v>0</v>
      </c>
      <c r="G137" s="148">
        <v>0</v>
      </c>
      <c r="H137" s="158">
        <f t="shared" si="26"/>
        <v>30169649.291599996</v>
      </c>
      <c r="I137" s="43">
        <f t="shared" si="24"/>
        <v>102251410.99099612</v>
      </c>
      <c r="J137" s="26"/>
      <c r="K137"/>
      <c r="L137"/>
      <c r="M137"/>
      <c r="N137"/>
      <c r="O137"/>
      <c r="P137"/>
    </row>
    <row r="138" spans="1:16" x14ac:dyDescent="0.2">
      <c r="A138" s="42">
        <v>46142</v>
      </c>
      <c r="B138" s="43"/>
      <c r="C138" s="124">
        <v>30</v>
      </c>
      <c r="D138" s="124">
        <f t="shared" si="18"/>
        <v>1</v>
      </c>
      <c r="E138" s="125">
        <f t="shared" si="25"/>
        <v>325.64</v>
      </c>
      <c r="F138" s="125">
        <f t="shared" si="25"/>
        <v>0.44000000000000006</v>
      </c>
      <c r="G138" s="148">
        <v>0</v>
      </c>
      <c r="H138" s="158">
        <f t="shared" si="26"/>
        <v>30624167.235199999</v>
      </c>
      <c r="I138" s="43">
        <f t="shared" si="24"/>
        <v>96171620.280162469</v>
      </c>
      <c r="J138" s="26"/>
      <c r="K138"/>
      <c r="L138"/>
      <c r="M138"/>
      <c r="N138"/>
      <c r="O138"/>
      <c r="P138"/>
    </row>
    <row r="139" spans="1:16" x14ac:dyDescent="0.2">
      <c r="A139" s="42">
        <v>46173</v>
      </c>
      <c r="B139" s="43"/>
      <c r="C139" s="124">
        <v>31</v>
      </c>
      <c r="D139" s="124">
        <f t="shared" si="18"/>
        <v>1</v>
      </c>
      <c r="E139" s="125">
        <f t="shared" si="25"/>
        <v>142.04000000000002</v>
      </c>
      <c r="F139" s="125">
        <f t="shared" si="25"/>
        <v>24.169999999999998</v>
      </c>
      <c r="G139" s="148">
        <v>0</v>
      </c>
      <c r="H139" s="158">
        <f t="shared" si="26"/>
        <v>31988846.654799998</v>
      </c>
      <c r="I139" s="43">
        <f t="shared" si="24"/>
        <v>102328444.57614157</v>
      </c>
      <c r="J139" s="26"/>
      <c r="K139"/>
      <c r="L139"/>
      <c r="M139"/>
      <c r="N139"/>
      <c r="O139"/>
      <c r="P139"/>
    </row>
    <row r="140" spans="1:16" x14ac:dyDescent="0.2">
      <c r="A140" s="42">
        <v>46203</v>
      </c>
      <c r="B140" s="43"/>
      <c r="C140" s="124">
        <v>30</v>
      </c>
      <c r="D140" s="124">
        <f t="shared" si="18"/>
        <v>0</v>
      </c>
      <c r="E140" s="125">
        <f t="shared" si="25"/>
        <v>27.95</v>
      </c>
      <c r="F140" s="125">
        <f t="shared" si="25"/>
        <v>65.360000000000014</v>
      </c>
      <c r="G140" s="148">
        <v>0</v>
      </c>
      <c r="H140" s="158">
        <f t="shared" si="26"/>
        <v>29910057.0132</v>
      </c>
      <c r="I140" s="43">
        <f t="shared" si="24"/>
        <v>111420162.76474783</v>
      </c>
      <c r="J140" s="26"/>
      <c r="K140"/>
      <c r="L140"/>
      <c r="M140"/>
      <c r="N140"/>
      <c r="O140"/>
      <c r="P140"/>
    </row>
    <row r="141" spans="1:16" x14ac:dyDescent="0.2">
      <c r="A141" s="42">
        <v>46234</v>
      </c>
      <c r="B141" s="43"/>
      <c r="C141" s="124">
        <v>31</v>
      </c>
      <c r="D141" s="124">
        <f t="shared" si="18"/>
        <v>0</v>
      </c>
      <c r="E141" s="125">
        <f t="shared" si="25"/>
        <v>4.17</v>
      </c>
      <c r="F141" s="125">
        <f t="shared" si="25"/>
        <v>111.47499999999999</v>
      </c>
      <c r="G141" s="148">
        <v>0</v>
      </c>
      <c r="H141" s="158">
        <f t="shared" si="26"/>
        <v>28757630.795599997</v>
      </c>
      <c r="I141" s="43">
        <f t="shared" si="24"/>
        <v>124373577.91553405</v>
      </c>
      <c r="J141" s="26"/>
      <c r="K141"/>
      <c r="L141"/>
      <c r="M141"/>
      <c r="N141"/>
      <c r="O141"/>
      <c r="P141"/>
    </row>
    <row r="142" spans="1:16" x14ac:dyDescent="0.2">
      <c r="A142" s="42">
        <v>46265</v>
      </c>
      <c r="B142" s="43"/>
      <c r="C142" s="124">
        <v>31</v>
      </c>
      <c r="D142" s="124">
        <f t="shared" si="18"/>
        <v>0</v>
      </c>
      <c r="E142" s="125">
        <f t="shared" si="25"/>
        <v>10.350000000000001</v>
      </c>
      <c r="F142" s="125">
        <f t="shared" si="25"/>
        <v>89.284999999999997</v>
      </c>
      <c r="G142" s="148">
        <v>0</v>
      </c>
      <c r="H142" s="158">
        <f t="shared" si="26"/>
        <v>29772536.376800001</v>
      </c>
      <c r="I142" s="43">
        <f t="shared" si="24"/>
        <v>119808127.02934185</v>
      </c>
      <c r="J142" s="26"/>
      <c r="K142"/>
      <c r="L142"/>
      <c r="M142"/>
      <c r="N142"/>
      <c r="O142"/>
      <c r="P142"/>
    </row>
    <row r="143" spans="1:16" x14ac:dyDescent="0.2">
      <c r="A143" s="42">
        <v>46295</v>
      </c>
      <c r="B143" s="43"/>
      <c r="C143" s="124">
        <v>30</v>
      </c>
      <c r="D143" s="124">
        <f t="shared" si="18"/>
        <v>0</v>
      </c>
      <c r="E143" s="125">
        <f t="shared" si="25"/>
        <v>48.02</v>
      </c>
      <c r="F143" s="125">
        <f t="shared" si="25"/>
        <v>44.279999999999994</v>
      </c>
      <c r="G143" s="148">
        <v>0</v>
      </c>
      <c r="H143" s="158">
        <f t="shared" si="26"/>
        <v>29753248.663600001</v>
      </c>
      <c r="I143" s="43">
        <f t="shared" si="24"/>
        <v>106318713.07152252</v>
      </c>
      <c r="J143" s="26"/>
      <c r="K143"/>
      <c r="L143"/>
      <c r="M143"/>
      <c r="N143"/>
      <c r="O143"/>
      <c r="P143"/>
    </row>
    <row r="144" spans="1:16" x14ac:dyDescent="0.2">
      <c r="A144" s="42">
        <v>46326</v>
      </c>
      <c r="B144" s="43"/>
      <c r="C144" s="124">
        <v>31</v>
      </c>
      <c r="D144" s="124">
        <f t="shared" ref="D144:D146" si="27">D132</f>
        <v>1</v>
      </c>
      <c r="E144" s="125">
        <f t="shared" si="25"/>
        <v>202.59500000000003</v>
      </c>
      <c r="F144" s="125">
        <f t="shared" si="25"/>
        <v>7.6800000000000015</v>
      </c>
      <c r="G144" s="148">
        <v>0</v>
      </c>
      <c r="H144" s="158">
        <f t="shared" si="26"/>
        <v>30711512.734000001</v>
      </c>
      <c r="I144" s="43">
        <f t="shared" si="24"/>
        <v>98209753.211609676</v>
      </c>
      <c r="J144" s="26"/>
      <c r="K144"/>
      <c r="L144"/>
      <c r="M144"/>
      <c r="N144"/>
      <c r="O144"/>
      <c r="P144"/>
    </row>
    <row r="145" spans="1:16" x14ac:dyDescent="0.2">
      <c r="A145" s="42">
        <v>46356</v>
      </c>
      <c r="B145" s="43"/>
      <c r="C145" s="124">
        <v>30</v>
      </c>
      <c r="D145" s="124">
        <f t="shared" si="27"/>
        <v>1</v>
      </c>
      <c r="E145" s="125">
        <f t="shared" si="25"/>
        <v>394.15</v>
      </c>
      <c r="F145" s="125">
        <f t="shared" si="25"/>
        <v>0.43000000000000005</v>
      </c>
      <c r="G145" s="148">
        <v>0</v>
      </c>
      <c r="H145" s="158">
        <f t="shared" si="26"/>
        <v>30239210.1032</v>
      </c>
      <c r="I145" s="43">
        <f t="shared" si="24"/>
        <v>97294496.180682391</v>
      </c>
      <c r="J145" s="26"/>
      <c r="P145"/>
    </row>
    <row r="146" spans="1:16" x14ac:dyDescent="0.2">
      <c r="A146" s="42">
        <v>46387</v>
      </c>
      <c r="B146" s="43"/>
      <c r="C146" s="124">
        <v>31</v>
      </c>
      <c r="D146" s="124">
        <f t="shared" si="27"/>
        <v>0</v>
      </c>
      <c r="E146" s="125">
        <f t="shared" si="25"/>
        <v>538.66000000000008</v>
      </c>
      <c r="F146" s="125">
        <f t="shared" si="25"/>
        <v>0</v>
      </c>
      <c r="G146" s="148">
        <v>0</v>
      </c>
      <c r="H146" s="158">
        <f t="shared" si="26"/>
        <v>27005229.2524</v>
      </c>
      <c r="I146" s="43">
        <f t="shared" si="24"/>
        <v>105854594.73650356</v>
      </c>
      <c r="J146" s="26"/>
      <c r="P146"/>
    </row>
    <row r="147" spans="1:16" x14ac:dyDescent="0.2">
      <c r="A147" s="27"/>
      <c r="P147"/>
    </row>
    <row r="148" spans="1:16" x14ac:dyDescent="0.2">
      <c r="A148" s="27"/>
      <c r="G148" s="164" t="s">
        <v>126</v>
      </c>
      <c r="H148" s="161">
        <v>-0.02</v>
      </c>
      <c r="P148"/>
    </row>
    <row r="149" spans="1:16" x14ac:dyDescent="0.2">
      <c r="A149" s="27"/>
      <c r="C149" s="93" t="s">
        <v>83</v>
      </c>
      <c r="D149" s="93"/>
      <c r="G149" s="164" t="s">
        <v>127</v>
      </c>
      <c r="H149" s="161">
        <v>-0.02</v>
      </c>
      <c r="P149"/>
    </row>
    <row r="150" spans="1:16" x14ac:dyDescent="0.2">
      <c r="A150" s="27"/>
      <c r="C150"/>
      <c r="D150"/>
      <c r="H150" s="162"/>
      <c r="I150" s="26">
        <f>SUM(I2:I146)</f>
        <v>14989607958.313307</v>
      </c>
      <c r="P150"/>
    </row>
    <row r="151" spans="1:16" x14ac:dyDescent="0.2">
      <c r="A151" s="27"/>
      <c r="J151" s="140"/>
      <c r="K151" s="140"/>
      <c r="P151"/>
    </row>
    <row r="152" spans="1:16" x14ac:dyDescent="0.2">
      <c r="A152" s="21">
        <v>2015</v>
      </c>
      <c r="B152" s="5">
        <f>SUM(B3:B14)</f>
        <v>1231015857.4130769</v>
      </c>
      <c r="I152" s="5">
        <f>SUM(I3:I14)</f>
        <v>1199063315.6184342</v>
      </c>
      <c r="J152" s="5"/>
      <c r="K152" s="30"/>
      <c r="L152" s="4"/>
      <c r="M152" s="28"/>
      <c r="N152" s="4"/>
      <c r="O152" s="4"/>
      <c r="P152"/>
    </row>
    <row r="153" spans="1:16" x14ac:dyDescent="0.2">
      <c r="A153" s="21">
        <v>2016</v>
      </c>
      <c r="B153" s="5">
        <f>SUM(B15:B26)</f>
        <v>1210096646.9295385</v>
      </c>
      <c r="C153" s="128">
        <f>(B153-B152)/B152</f>
        <v>-1.6993453299211876E-2</v>
      </c>
      <c r="D153" s="128" t="e">
        <f>(C153-C152)/C152</f>
        <v>#DIV/0!</v>
      </c>
      <c r="F153" s="35"/>
      <c r="G153" s="35"/>
      <c r="H153" s="35"/>
      <c r="I153" s="5">
        <f>SUM(I15:I26)</f>
        <v>1234463415.012821</v>
      </c>
      <c r="J153" s="5"/>
      <c r="K153" s="30"/>
      <c r="L153" s="4"/>
      <c r="M153" s="28"/>
      <c r="N153" s="4"/>
      <c r="O153" s="159"/>
      <c r="P153"/>
    </row>
    <row r="154" spans="1:16" x14ac:dyDescent="0.2">
      <c r="A154" s="21">
        <v>2017</v>
      </c>
      <c r="B154" s="5">
        <f>SUM(B27:B38)</f>
        <v>1188982964.0009999</v>
      </c>
      <c r="C154" s="128">
        <f t="shared" ref="C154:C161" si="28">(B154-B153)/B153</f>
        <v>-1.744793110708286E-2</v>
      </c>
      <c r="D154" s="128">
        <f t="shared" ref="D154:D161" si="29">(C154-C153)/C153</f>
        <v>2.6744287924812874E-2</v>
      </c>
      <c r="F154" s="35"/>
      <c r="G154" s="35"/>
      <c r="H154" s="35"/>
      <c r="I154" s="5">
        <f>SUM(I27:I38)</f>
        <v>1213060463.1429799</v>
      </c>
      <c r="J154" s="5"/>
      <c r="K154" s="30"/>
      <c r="L154" s="4"/>
      <c r="M154" s="28"/>
      <c r="N154" s="4"/>
      <c r="O154" s="4"/>
      <c r="P154"/>
    </row>
    <row r="155" spans="1:16" x14ac:dyDescent="0.2">
      <c r="A155" s="21">
        <v>2018</v>
      </c>
      <c r="B155" s="5">
        <f>SUM(B39:B50)</f>
        <v>1250101306.4174209</v>
      </c>
      <c r="C155" s="128">
        <f t="shared" si="28"/>
        <v>5.1403884047887448E-2</v>
      </c>
      <c r="D155" s="128">
        <f t="shared" si="29"/>
        <v>-3.9461306175733593</v>
      </c>
      <c r="F155" s="35"/>
      <c r="G155" s="35"/>
      <c r="H155" s="35"/>
      <c r="I155" s="5">
        <f>SUM(I39:I50)</f>
        <v>1265520593.3952279</v>
      </c>
      <c r="J155" s="5"/>
      <c r="K155" s="30"/>
      <c r="L155" s="4"/>
      <c r="M155" s="28"/>
      <c r="N155" s="4"/>
      <c r="O155" s="4"/>
      <c r="P155"/>
    </row>
    <row r="156" spans="1:16" x14ac:dyDescent="0.2">
      <c r="A156" s="21">
        <v>2019</v>
      </c>
      <c r="B156" s="5">
        <f>SUM(B51:B62)</f>
        <v>1224321309.6899998</v>
      </c>
      <c r="C156" s="128">
        <f t="shared" si="28"/>
        <v>-2.0622326042760614E-2</v>
      </c>
      <c r="D156" s="128">
        <f t="shared" si="29"/>
        <v>-1.4011822535345582</v>
      </c>
      <c r="F156" s="35"/>
      <c r="G156" s="35"/>
      <c r="H156" s="35"/>
      <c r="I156" s="5">
        <f>SUM(I51:I62)</f>
        <v>1234831313.4750786</v>
      </c>
      <c r="J156" s="5"/>
      <c r="K156" s="30"/>
      <c r="L156" s="4"/>
      <c r="M156" s="28"/>
      <c r="N156" s="4"/>
      <c r="O156" s="4"/>
      <c r="P156"/>
    </row>
    <row r="157" spans="1:16" x14ac:dyDescent="0.2">
      <c r="A157" s="21">
        <v>2020</v>
      </c>
      <c r="B157" s="5">
        <f>SUM(B63:B74)</f>
        <v>1208016677.0331349</v>
      </c>
      <c r="C157" s="128">
        <f t="shared" si="28"/>
        <v>-1.3317282422367738E-2</v>
      </c>
      <c r="D157" s="128">
        <f t="shared" si="29"/>
        <v>-0.35422985773989751</v>
      </c>
      <c r="F157" s="35"/>
      <c r="G157" s="35"/>
      <c r="H157" s="35"/>
      <c r="I157" s="5">
        <f>SUM(I63:I74)</f>
        <v>1193727392.6835506</v>
      </c>
      <c r="J157" s="5"/>
      <c r="K157" s="30"/>
      <c r="L157" s="4"/>
      <c r="M157" s="28"/>
      <c r="N157" s="4"/>
      <c r="O157" s="4"/>
      <c r="P157"/>
    </row>
    <row r="158" spans="1:16" x14ac:dyDescent="0.2">
      <c r="A158" s="21">
        <v>2021</v>
      </c>
      <c r="B158" s="5">
        <f>SUM(B75:B86)</f>
        <v>1247990626.4064798</v>
      </c>
      <c r="C158" s="128">
        <f t="shared" si="28"/>
        <v>3.3090560861725953E-2</v>
      </c>
      <c r="D158" s="128">
        <f t="shared" si="29"/>
        <v>-3.4847832922839399</v>
      </c>
      <c r="F158" s="35"/>
      <c r="G158" s="35"/>
      <c r="H158" s="35"/>
      <c r="I158" s="5">
        <f>SUM(I75:I86)</f>
        <v>1245247088.4116158</v>
      </c>
      <c r="J158" s="5"/>
      <c r="K158" s="30"/>
      <c r="L158" s="4"/>
      <c r="M158" s="28"/>
      <c r="N158" s="4"/>
      <c r="O158" s="4"/>
      <c r="P158"/>
    </row>
    <row r="159" spans="1:16" x14ac:dyDescent="0.2">
      <c r="A159" s="21">
        <v>2022</v>
      </c>
      <c r="B159" s="5">
        <f>SUM(B87:B98)</f>
        <v>1291380740</v>
      </c>
      <c r="C159" s="128">
        <f t="shared" si="28"/>
        <v>3.4767980364131104E-2</v>
      </c>
      <c r="D159" s="128">
        <f t="shared" si="29"/>
        <v>5.0691782149432568E-2</v>
      </c>
      <c r="F159" s="35"/>
      <c r="G159" s="35"/>
      <c r="H159" s="35"/>
      <c r="I159" s="5">
        <f>SUM(I87:I98)</f>
        <v>1293544336.379257</v>
      </c>
      <c r="J159" s="5"/>
      <c r="K159" s="30"/>
      <c r="L159" s="4"/>
      <c r="M159" s="28"/>
      <c r="N159" s="4"/>
      <c r="O159" s="4"/>
      <c r="P159"/>
    </row>
    <row r="160" spans="1:16" x14ac:dyDescent="0.2">
      <c r="A160" s="21">
        <v>2023</v>
      </c>
      <c r="B160" s="5">
        <f>SUM(B99:B110)</f>
        <v>1271943858.9100001</v>
      </c>
      <c r="C160" s="128">
        <f t="shared" si="28"/>
        <v>-1.5051239721911846E-2</v>
      </c>
      <c r="D160" s="128">
        <f t="shared" si="29"/>
        <v>-1.4329052065802383</v>
      </c>
      <c r="F160" s="35"/>
      <c r="G160" s="35"/>
      <c r="H160" s="35"/>
      <c r="I160" s="5">
        <f>SUM(I99:I110)</f>
        <v>1274798029.3695586</v>
      </c>
      <c r="J160" s="5"/>
      <c r="K160" s="30"/>
      <c r="L160" s="4"/>
      <c r="M160" s="28"/>
      <c r="N160" s="4"/>
      <c r="O160" s="4"/>
      <c r="P160"/>
    </row>
    <row r="161" spans="1:18" x14ac:dyDescent="0.2">
      <c r="A161" s="21">
        <v>2024</v>
      </c>
      <c r="B161" s="5">
        <f>SUM(B111:B122)</f>
        <v>1308625063.9620001</v>
      </c>
      <c r="C161" s="128">
        <f t="shared" si="28"/>
        <v>2.8838698182350773E-2</v>
      </c>
      <c r="D161" s="128">
        <f t="shared" si="29"/>
        <v>-2.9160347396744282</v>
      </c>
      <c r="F161" s="35"/>
      <c r="G161" s="35"/>
      <c r="H161" s="35"/>
      <c r="I161" s="5">
        <f>SUM(I111:I122)</f>
        <v>1278219103.2741249</v>
      </c>
      <c r="J161" s="5"/>
      <c r="K161" s="30"/>
      <c r="L161" s="4"/>
      <c r="M161" s="28"/>
      <c r="N161" s="4"/>
      <c r="O161" s="4"/>
      <c r="P161"/>
    </row>
    <row r="162" spans="1:18" x14ac:dyDescent="0.2">
      <c r="A162" s="21">
        <v>2025</v>
      </c>
      <c r="F162" s="35"/>
      <c r="G162" s="35"/>
      <c r="H162" s="35"/>
      <c r="I162" s="12">
        <f>SUM(I123:I134)</f>
        <v>1282056223.6225464</v>
      </c>
      <c r="J162" s="5"/>
      <c r="K162" s="5"/>
      <c r="L162" s="4"/>
      <c r="M162" s="28"/>
      <c r="N162" s="4"/>
      <c r="O162" s="4"/>
      <c r="P162"/>
    </row>
    <row r="163" spans="1:18" x14ac:dyDescent="0.2">
      <c r="A163" s="21">
        <v>2026</v>
      </c>
      <c r="F163" s="35"/>
      <c r="G163" s="35"/>
      <c r="H163" s="35"/>
      <c r="I163" s="12">
        <f>SUM(I135:I146)</f>
        <v>1275076683.9281175</v>
      </c>
      <c r="J163" s="5"/>
      <c r="K163" s="5"/>
      <c r="L163" s="4"/>
      <c r="M163" s="28"/>
      <c r="N163" s="4"/>
      <c r="O163" s="4"/>
      <c r="P163"/>
      <c r="Q163" s="5"/>
      <c r="R163" s="30"/>
    </row>
    <row r="164" spans="1:18" x14ac:dyDescent="0.2">
      <c r="I164" s="5"/>
      <c r="P164"/>
      <c r="Q164" s="5"/>
      <c r="R164" s="30"/>
    </row>
    <row r="165" spans="1:18" x14ac:dyDescent="0.2">
      <c r="A165" s="36" t="s">
        <v>5</v>
      </c>
      <c r="B165" s="5">
        <f>SUM(B152:B161)</f>
        <v>12432475050.762651</v>
      </c>
      <c r="I165" s="5">
        <f>SUM(I152:I161)</f>
        <v>12432475050.762648</v>
      </c>
      <c r="J165" s="26">
        <f>I165-B165</f>
        <v>0</v>
      </c>
      <c r="K165" s="1" t="s">
        <v>58</v>
      </c>
      <c r="P165" s="4"/>
      <c r="Q165" s="5"/>
      <c r="R165" s="30"/>
    </row>
    <row r="166" spans="1:18" x14ac:dyDescent="0.2">
      <c r="P166" s="4"/>
      <c r="Q166" s="5"/>
      <c r="R166" s="30"/>
    </row>
    <row r="167" spans="1:18" x14ac:dyDescent="0.2">
      <c r="I167" s="5">
        <f>SUM(I152:I163)</f>
        <v>14989607958.313313</v>
      </c>
      <c r="J167" s="26">
        <f>I150-I167</f>
        <v>0</v>
      </c>
      <c r="P167" s="4"/>
      <c r="Q167" s="5"/>
      <c r="R167" s="30"/>
    </row>
    <row r="168" spans="1:18" x14ac:dyDescent="0.2">
      <c r="I168" s="184"/>
      <c r="J168" s="184"/>
      <c r="K168"/>
      <c r="L168"/>
      <c r="M168"/>
      <c r="N168"/>
      <c r="O168"/>
      <c r="P168" s="4"/>
      <c r="Q168" s="5"/>
      <c r="R168" s="30"/>
    </row>
    <row r="169" spans="1:18" x14ac:dyDescent="0.2">
      <c r="P169" s="5"/>
      <c r="Q169" s="5"/>
      <c r="R169" s="30"/>
    </row>
    <row r="170" spans="1:18" x14ac:dyDescent="0.2">
      <c r="J170" s="26"/>
      <c r="P170" s="5"/>
      <c r="Q170" s="5"/>
      <c r="R170" s="30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D2C5-D350-488C-9D70-7CDC0C455F26}">
  <sheetPr>
    <tabColor rgb="FF00B0F0"/>
    <pageSetUpPr fitToPage="1"/>
  </sheetPr>
  <dimension ref="A1:AD196"/>
  <sheetViews>
    <sheetView zoomScale="85" zoomScaleNormal="85" workbookViewId="0">
      <pane xSplit="1" ySplit="2" topLeftCell="B125" activePane="bottomRight" state="frozen"/>
      <selection pane="topRight" activeCell="C1" sqref="C1"/>
      <selection pane="bottomLeft" activeCell="A3" sqref="A3"/>
      <selection pane="bottomRight" activeCell="M181" sqref="M181"/>
    </sheetView>
  </sheetViews>
  <sheetFormatPr defaultRowHeight="12.75" x14ac:dyDescent="0.2"/>
  <cols>
    <col min="1" max="1" width="11.85546875" style="21" customWidth="1"/>
    <col min="2" max="2" width="16.85546875" style="5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0.42578125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9" t="s">
        <v>53</v>
      </c>
      <c r="AA1" s="99"/>
      <c r="AB1" s="99"/>
      <c r="AC1" s="99"/>
      <c r="AD1" s="99"/>
    </row>
    <row r="2" spans="1:30" ht="38.25" x14ac:dyDescent="0.2">
      <c r="A2" s="94" t="s">
        <v>62</v>
      </c>
      <c r="B2" s="95" t="s">
        <v>46</v>
      </c>
      <c r="C2" s="96" t="s">
        <v>118</v>
      </c>
      <c r="D2" s="96" t="s">
        <v>119</v>
      </c>
      <c r="E2" s="97" t="s">
        <v>116</v>
      </c>
      <c r="F2" s="120" t="s">
        <v>117</v>
      </c>
      <c r="G2" s="147" t="s">
        <v>115</v>
      </c>
      <c r="H2" s="147" t="s">
        <v>125</v>
      </c>
      <c r="I2" s="96" t="s">
        <v>6</v>
      </c>
      <c r="J2" s="98" t="s">
        <v>99</v>
      </c>
      <c r="K2" s="96" t="s">
        <v>100</v>
      </c>
      <c r="L2" s="96" t="s">
        <v>101</v>
      </c>
      <c r="M2" s="116" t="s">
        <v>102</v>
      </c>
      <c r="N2" s="116" t="s">
        <v>103</v>
      </c>
      <c r="O2" s="116" t="s">
        <v>104</v>
      </c>
      <c r="P2"/>
      <c r="Q2" t="s">
        <v>11</v>
      </c>
      <c r="Z2" s="99" t="s">
        <v>54</v>
      </c>
      <c r="AA2" s="99"/>
      <c r="AB2" s="99"/>
      <c r="AC2" s="99"/>
      <c r="AD2" s="99"/>
    </row>
    <row r="3" spans="1:30" ht="13.5" thickBot="1" x14ac:dyDescent="0.25">
      <c r="A3" s="42">
        <v>42035</v>
      </c>
      <c r="B3" s="43">
        <v>110622542.8354836</v>
      </c>
      <c r="C3" s="124">
        <v>31</v>
      </c>
      <c r="D3" s="124">
        <v>0</v>
      </c>
      <c r="E3" s="148">
        <v>664.15000000000009</v>
      </c>
      <c r="F3" s="148">
        <v>0</v>
      </c>
      <c r="G3" s="148">
        <v>0</v>
      </c>
      <c r="H3" s="158">
        <v>21598611</v>
      </c>
      <c r="I3" s="43">
        <f>$R$18+$R$19*C3+$R$20*D3+$R$21*E3+$R$22*F3+$R$23*G3+$R$24*H3</f>
        <v>103411143.37498869</v>
      </c>
      <c r="J3" s="26">
        <f t="shared" ref="J3:J34" si="0">I3-B3</f>
        <v>-7211399.4604949057</v>
      </c>
      <c r="K3" s="35">
        <f t="shared" ref="K3:K34" si="1">J3/B3</f>
        <v>-6.5189239694296353E-2</v>
      </c>
      <c r="L3" s="9">
        <f>ABS(K3)</f>
        <v>6.5189239694296353E-2</v>
      </c>
      <c r="M3" s="122">
        <f>J3*J3</f>
        <v>52004282178826.219</v>
      </c>
      <c r="N3" s="9"/>
      <c r="O3" s="9"/>
      <c r="P3" s="9"/>
      <c r="Z3" s="99" t="s">
        <v>55</v>
      </c>
      <c r="AA3" s="99"/>
      <c r="AB3" s="99"/>
      <c r="AC3" s="99"/>
      <c r="AD3" s="99"/>
    </row>
    <row r="4" spans="1:30" x14ac:dyDescent="0.2">
      <c r="A4" s="42">
        <v>42063</v>
      </c>
      <c r="B4" s="43">
        <v>103280729.18537174</v>
      </c>
      <c r="C4" s="124">
        <v>28</v>
      </c>
      <c r="D4" s="124">
        <v>0</v>
      </c>
      <c r="E4" s="148">
        <v>591.35000000000014</v>
      </c>
      <c r="F4" s="148">
        <v>0</v>
      </c>
      <c r="G4" s="148">
        <v>0</v>
      </c>
      <c r="H4" s="158">
        <v>20903293</v>
      </c>
      <c r="I4" s="43">
        <f t="shared" ref="I4:I34" si="2">$R$18+$R$19*C4+$R$20*D4+$R$21*E4+$R$22*F4+$R$23*G4+$R$24*H4</f>
        <v>92794957.208118379</v>
      </c>
      <c r="J4" s="26">
        <f t="shared" si="0"/>
        <v>-10485771.977253363</v>
      </c>
      <c r="K4" s="35">
        <f t="shared" si="1"/>
        <v>-0.10152689722429384</v>
      </c>
      <c r="L4" s="9">
        <f t="shared" ref="L4:L67" si="3">ABS(K4)</f>
        <v>0.10152689722429384</v>
      </c>
      <c r="M4" s="122">
        <f t="shared" ref="M4:M67" si="4">J4*J4</f>
        <v>109951413958951.89</v>
      </c>
      <c r="N4" s="122">
        <f>J4-J3</f>
        <v>-3274372.5167584568</v>
      </c>
      <c r="O4" s="122">
        <f>N4*N4</f>
        <v>10721515378503.111</v>
      </c>
      <c r="P4" s="9"/>
      <c r="Q4" s="169" t="s">
        <v>12</v>
      </c>
      <c r="R4" s="169"/>
      <c r="Z4" s="99"/>
      <c r="AA4" s="99"/>
      <c r="AB4" s="99"/>
      <c r="AC4" s="99"/>
      <c r="AD4" s="99"/>
    </row>
    <row r="5" spans="1:30" x14ac:dyDescent="0.2">
      <c r="A5" s="42">
        <v>42094</v>
      </c>
      <c r="B5" s="43">
        <v>102850498.91067986</v>
      </c>
      <c r="C5" s="124">
        <v>31</v>
      </c>
      <c r="D5" s="124">
        <v>1</v>
      </c>
      <c r="E5" s="148">
        <v>501.71499999999986</v>
      </c>
      <c r="F5" s="148">
        <v>0</v>
      </c>
      <c r="G5" s="148">
        <v>0</v>
      </c>
      <c r="H5" s="158">
        <v>25026276</v>
      </c>
      <c r="I5" s="43">
        <f t="shared" si="2"/>
        <v>97323095.309772953</v>
      </c>
      <c r="J5" s="26">
        <f t="shared" si="0"/>
        <v>-5527403.6009069085</v>
      </c>
      <c r="K5" s="35">
        <f t="shared" si="1"/>
        <v>-5.3742117534180962E-2</v>
      </c>
      <c r="L5" s="9">
        <f t="shared" si="3"/>
        <v>5.3742117534180962E-2</v>
      </c>
      <c r="M5" s="122">
        <f t="shared" si="4"/>
        <v>30552190567318.66</v>
      </c>
      <c r="N5" s="122">
        <f t="shared" ref="N5:N68" si="5">J5-J4</f>
        <v>4958368.376346454</v>
      </c>
      <c r="O5" s="122">
        <f t="shared" ref="O5:O68" si="6">N5*N5</f>
        <v>24585416955552.57</v>
      </c>
      <c r="P5" s="9"/>
      <c r="Q5" t="s">
        <v>13</v>
      </c>
      <c r="R5">
        <v>0.94670337137939797</v>
      </c>
      <c r="Z5" s="99" t="s">
        <v>52</v>
      </c>
      <c r="AA5" s="99"/>
      <c r="AB5" s="99"/>
      <c r="AC5" s="99"/>
      <c r="AD5" s="99"/>
    </row>
    <row r="6" spans="1:30" x14ac:dyDescent="0.2">
      <c r="A6" s="42">
        <v>42124</v>
      </c>
      <c r="B6" s="43">
        <v>90517325.844925866</v>
      </c>
      <c r="C6" s="124">
        <v>30</v>
      </c>
      <c r="D6" s="124">
        <v>1</v>
      </c>
      <c r="E6" s="148">
        <v>325.64</v>
      </c>
      <c r="F6" s="148">
        <v>0.44000000000000006</v>
      </c>
      <c r="G6" s="148">
        <v>0</v>
      </c>
      <c r="H6" s="158">
        <v>23422446</v>
      </c>
      <c r="I6" s="43">
        <f t="shared" si="2"/>
        <v>89271021.454640865</v>
      </c>
      <c r="J6" s="26">
        <f t="shared" si="0"/>
        <v>-1246304.3902850002</v>
      </c>
      <c r="K6" s="35">
        <f t="shared" si="1"/>
        <v>-1.3768683273080414E-2</v>
      </c>
      <c r="L6" s="9">
        <f t="shared" si="3"/>
        <v>1.3768683273080414E-2</v>
      </c>
      <c r="M6" s="122">
        <f t="shared" si="4"/>
        <v>1553274633243.666</v>
      </c>
      <c r="N6" s="122">
        <f t="shared" si="5"/>
        <v>4281099.2106219083</v>
      </c>
      <c r="O6" s="122">
        <f t="shared" si="6"/>
        <v>18327810451187.527</v>
      </c>
      <c r="P6" s="9"/>
      <c r="Q6" t="s">
        <v>14</v>
      </c>
      <c r="R6">
        <v>0.89624727338111843</v>
      </c>
      <c r="Z6" s="99" t="s">
        <v>56</v>
      </c>
      <c r="AA6" s="99"/>
      <c r="AB6" s="99"/>
      <c r="AC6" s="99"/>
      <c r="AD6" s="99"/>
    </row>
    <row r="7" spans="1:30" x14ac:dyDescent="0.2">
      <c r="A7" s="42">
        <v>42155</v>
      </c>
      <c r="B7" s="43">
        <v>94418176.801343456</v>
      </c>
      <c r="C7" s="124">
        <v>31</v>
      </c>
      <c r="D7" s="124">
        <v>1</v>
      </c>
      <c r="E7" s="148">
        <v>142.04000000000002</v>
      </c>
      <c r="F7" s="148">
        <v>24.169999999999998</v>
      </c>
      <c r="G7" s="148">
        <v>0</v>
      </c>
      <c r="H7" s="158">
        <v>23563031</v>
      </c>
      <c r="I7" s="43">
        <f t="shared" si="2"/>
        <v>94254933.853817731</v>
      </c>
      <c r="J7" s="26">
        <f t="shared" si="0"/>
        <v>-163242.94752572477</v>
      </c>
      <c r="K7" s="35">
        <f t="shared" si="1"/>
        <v>-1.7289356038847174E-3</v>
      </c>
      <c r="L7" s="9">
        <f t="shared" si="3"/>
        <v>1.7289356038847174E-3</v>
      </c>
      <c r="M7" s="122">
        <f t="shared" si="4"/>
        <v>26648259916.886532</v>
      </c>
      <c r="N7" s="122">
        <f t="shared" si="5"/>
        <v>1083061.4427592754</v>
      </c>
      <c r="O7" s="122">
        <f t="shared" si="6"/>
        <v>1173022088791.8032</v>
      </c>
      <c r="P7" s="9"/>
      <c r="Q7" t="s">
        <v>15</v>
      </c>
      <c r="R7">
        <v>0.89073827904737257</v>
      </c>
      <c r="Z7" s="99"/>
      <c r="AA7" s="99"/>
      <c r="AB7" s="99"/>
      <c r="AC7" s="99"/>
      <c r="AD7" s="99"/>
    </row>
    <row r="8" spans="1:30" x14ac:dyDescent="0.2">
      <c r="A8" s="42">
        <v>42185</v>
      </c>
      <c r="B8" s="43">
        <v>100784066.83501606</v>
      </c>
      <c r="C8" s="124">
        <v>30</v>
      </c>
      <c r="D8" s="124">
        <v>0</v>
      </c>
      <c r="E8" s="148">
        <v>27.95</v>
      </c>
      <c r="F8" s="148">
        <v>65.360000000000014</v>
      </c>
      <c r="G8" s="148">
        <v>0</v>
      </c>
      <c r="H8" s="158">
        <v>25312842</v>
      </c>
      <c r="I8" s="43">
        <f t="shared" si="2"/>
        <v>107015169.08550036</v>
      </c>
      <c r="J8" s="26">
        <f t="shared" si="0"/>
        <v>6231102.2504843026</v>
      </c>
      <c r="K8" s="35">
        <f t="shared" si="1"/>
        <v>6.1826263279141563E-2</v>
      </c>
      <c r="L8" s="9">
        <f t="shared" si="3"/>
        <v>6.1826263279141563E-2</v>
      </c>
      <c r="M8" s="122">
        <f t="shared" si="4"/>
        <v>38826635255990.539</v>
      </c>
      <c r="N8" s="122">
        <f t="shared" si="5"/>
        <v>6394345.1980100274</v>
      </c>
      <c r="O8" s="122">
        <f t="shared" si="6"/>
        <v>40887650511313.898</v>
      </c>
      <c r="P8" s="9"/>
      <c r="Q8" t="s">
        <v>16</v>
      </c>
      <c r="R8">
        <v>3541439.4042932522</v>
      </c>
      <c r="Z8" s="99"/>
      <c r="AA8" s="99"/>
      <c r="AB8" s="99"/>
      <c r="AC8" s="99"/>
      <c r="AD8" s="99"/>
    </row>
    <row r="9" spans="1:30" ht="13.5" thickBot="1" x14ac:dyDescent="0.25">
      <c r="A9" s="42">
        <v>42216</v>
      </c>
      <c r="B9" s="43">
        <v>115448401.68750034</v>
      </c>
      <c r="C9" s="124">
        <v>31</v>
      </c>
      <c r="D9" s="124">
        <v>0</v>
      </c>
      <c r="E9" s="148">
        <v>4.17</v>
      </c>
      <c r="F9" s="148">
        <v>111.47499999999999</v>
      </c>
      <c r="G9" s="148">
        <v>0</v>
      </c>
      <c r="H9" s="158">
        <v>23005006</v>
      </c>
      <c r="I9" s="43">
        <f t="shared" si="2"/>
        <v>118861485.09608999</v>
      </c>
      <c r="J9" s="26">
        <f t="shared" si="0"/>
        <v>3413083.4085896462</v>
      </c>
      <c r="K9" s="35">
        <f t="shared" si="1"/>
        <v>2.9563712954886082E-2</v>
      </c>
      <c r="L9" s="9">
        <f t="shared" si="3"/>
        <v>2.9563712954886082E-2</v>
      </c>
      <c r="M9" s="122">
        <f t="shared" si="4"/>
        <v>11649138353989.918</v>
      </c>
      <c r="N9" s="122">
        <f t="shared" si="5"/>
        <v>-2818018.8418946564</v>
      </c>
      <c r="O9" s="122">
        <f t="shared" si="6"/>
        <v>7941230193273.3008</v>
      </c>
      <c r="P9" s="9"/>
      <c r="Q9" s="167" t="s">
        <v>17</v>
      </c>
      <c r="R9" s="167">
        <v>120</v>
      </c>
      <c r="Z9" s="99"/>
      <c r="AA9" s="99"/>
      <c r="AB9" s="99"/>
      <c r="AC9" s="99"/>
      <c r="AD9" s="99"/>
    </row>
    <row r="10" spans="1:30" x14ac:dyDescent="0.2">
      <c r="A10" s="42">
        <v>42247</v>
      </c>
      <c r="B10" s="43">
        <v>113749447.45509475</v>
      </c>
      <c r="C10" s="124">
        <v>31</v>
      </c>
      <c r="D10" s="124">
        <v>0</v>
      </c>
      <c r="E10" s="148">
        <v>10.350000000000001</v>
      </c>
      <c r="F10" s="148">
        <v>89.284999999999997</v>
      </c>
      <c r="G10" s="148">
        <v>0</v>
      </c>
      <c r="H10" s="158">
        <v>24834009</v>
      </c>
      <c r="I10" s="43">
        <f t="shared" si="2"/>
        <v>115076092.1305756</v>
      </c>
      <c r="J10" s="26">
        <f t="shared" si="0"/>
        <v>1326644.6754808426</v>
      </c>
      <c r="K10" s="35">
        <f t="shared" si="1"/>
        <v>1.1662866986712761E-2</v>
      </c>
      <c r="L10" s="9">
        <f t="shared" si="3"/>
        <v>1.1662866986712761E-2</v>
      </c>
      <c r="M10" s="122">
        <f t="shared" si="4"/>
        <v>1759986094981.6702</v>
      </c>
      <c r="N10" s="122">
        <f t="shared" si="5"/>
        <v>-2086438.7331088036</v>
      </c>
      <c r="O10" s="122">
        <f t="shared" si="6"/>
        <v>4353226587016.6694</v>
      </c>
      <c r="P10" s="9"/>
      <c r="Z10" s="99"/>
      <c r="AA10" s="99"/>
      <c r="AB10" s="99"/>
      <c r="AC10" s="99"/>
      <c r="AD10" s="99"/>
    </row>
    <row r="11" spans="1:30" ht="13.5" thickBot="1" x14ac:dyDescent="0.25">
      <c r="A11" s="42">
        <v>42277</v>
      </c>
      <c r="B11" s="43">
        <v>110642714.80067101</v>
      </c>
      <c r="C11" s="124">
        <v>30</v>
      </c>
      <c r="D11" s="124">
        <v>0</v>
      </c>
      <c r="E11" s="148">
        <v>48.02</v>
      </c>
      <c r="F11" s="148">
        <v>44.279999999999994</v>
      </c>
      <c r="G11" s="148">
        <v>0</v>
      </c>
      <c r="H11" s="158">
        <v>25273591</v>
      </c>
      <c r="I11" s="43">
        <f t="shared" si="2"/>
        <v>102026361.36800389</v>
      </c>
      <c r="J11" s="26">
        <f t="shared" si="0"/>
        <v>-8616353.4326671213</v>
      </c>
      <c r="K11" s="35">
        <f t="shared" si="1"/>
        <v>-7.7875470139990327E-2</v>
      </c>
      <c r="L11" s="9">
        <f t="shared" si="3"/>
        <v>7.7875470139990327E-2</v>
      </c>
      <c r="M11" s="122">
        <f t="shared" si="4"/>
        <v>74241546476634.484</v>
      </c>
      <c r="N11" s="122">
        <f t="shared" si="5"/>
        <v>-9942998.1081479639</v>
      </c>
      <c r="O11" s="122">
        <f t="shared" si="6"/>
        <v>98863211378633.984</v>
      </c>
      <c r="P11" s="9"/>
      <c r="Q11" t="s">
        <v>18</v>
      </c>
    </row>
    <row r="12" spans="1:30" x14ac:dyDescent="0.2">
      <c r="A12" s="42">
        <v>42308</v>
      </c>
      <c r="B12" s="43">
        <v>97436646.729681119</v>
      </c>
      <c r="C12" s="124">
        <v>31</v>
      </c>
      <c r="D12" s="124">
        <v>1</v>
      </c>
      <c r="E12" s="148">
        <v>202.59500000000003</v>
      </c>
      <c r="F12" s="148">
        <v>7.6800000000000015</v>
      </c>
      <c r="G12" s="148">
        <v>0</v>
      </c>
      <c r="H12" s="158">
        <v>25167538</v>
      </c>
      <c r="I12" s="43">
        <f t="shared" si="2"/>
        <v>92897586.260301769</v>
      </c>
      <c r="J12" s="26">
        <f t="shared" si="0"/>
        <v>-4539060.4693793505</v>
      </c>
      <c r="K12" s="35">
        <f t="shared" si="1"/>
        <v>-4.6584736048769046E-2</v>
      </c>
      <c r="L12" s="9">
        <f t="shared" si="3"/>
        <v>4.6584736048769046E-2</v>
      </c>
      <c r="M12" s="122">
        <f t="shared" si="4"/>
        <v>20603069944682.289</v>
      </c>
      <c r="N12" s="122">
        <f t="shared" si="5"/>
        <v>4077292.9632877707</v>
      </c>
      <c r="O12" s="122">
        <f t="shared" si="6"/>
        <v>16624317908475.971</v>
      </c>
      <c r="P12" s="9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2">
        <v>42338</v>
      </c>
      <c r="B13" s="43">
        <v>95794298.638527021</v>
      </c>
      <c r="C13" s="124">
        <v>30</v>
      </c>
      <c r="D13" s="124">
        <v>1</v>
      </c>
      <c r="E13" s="148">
        <v>394.15</v>
      </c>
      <c r="F13" s="148">
        <v>0.43000000000000005</v>
      </c>
      <c r="G13" s="148">
        <v>0</v>
      </c>
      <c r="H13" s="158">
        <v>25246254</v>
      </c>
      <c r="I13" s="43">
        <f t="shared" si="2"/>
        <v>92510308.359968171</v>
      </c>
      <c r="J13" s="26">
        <f t="shared" si="0"/>
        <v>-3283990.2785588503</v>
      </c>
      <c r="K13" s="35">
        <f t="shared" si="1"/>
        <v>-3.4281688213520456E-2</v>
      </c>
      <c r="L13" s="9">
        <f t="shared" si="3"/>
        <v>3.4281688213520456E-2</v>
      </c>
      <c r="M13" s="122">
        <f t="shared" si="4"/>
        <v>10784592149669.035</v>
      </c>
      <c r="N13" s="122">
        <f t="shared" si="5"/>
        <v>1255070.1908205003</v>
      </c>
      <c r="O13" s="122">
        <f t="shared" si="6"/>
        <v>1575201183886.207</v>
      </c>
      <c r="P13" s="9"/>
      <c r="Q13" t="s">
        <v>19</v>
      </c>
      <c r="R13">
        <v>6</v>
      </c>
      <c r="S13">
        <v>1.2242395414372872E+16</v>
      </c>
      <c r="T13">
        <v>2040399235728812</v>
      </c>
      <c r="U13">
        <v>162.68800058316651</v>
      </c>
      <c r="V13">
        <v>3.4385145616410428E-53</v>
      </c>
    </row>
    <row r="14" spans="1:30" x14ac:dyDescent="0.2">
      <c r="A14" s="42">
        <v>42369</v>
      </c>
      <c r="B14" s="43">
        <v>95994757.788782179</v>
      </c>
      <c r="C14" s="124">
        <v>31</v>
      </c>
      <c r="D14" s="124">
        <v>0</v>
      </c>
      <c r="E14" s="148">
        <v>538.66000000000008</v>
      </c>
      <c r="F14" s="148">
        <v>0</v>
      </c>
      <c r="G14" s="148">
        <v>0</v>
      </c>
      <c r="H14" s="158">
        <v>23893646</v>
      </c>
      <c r="I14" s="43">
        <f t="shared" si="2"/>
        <v>102873114.74918108</v>
      </c>
      <c r="J14" s="26">
        <f t="shared" si="0"/>
        <v>6878356.9603988975</v>
      </c>
      <c r="K14" s="35">
        <f t="shared" si="1"/>
        <v>7.1653464406185446E-2</v>
      </c>
      <c r="L14" s="9">
        <f t="shared" si="3"/>
        <v>7.1653464406185446E-2</v>
      </c>
      <c r="M14" s="122">
        <f t="shared" si="4"/>
        <v>47311794474667.961</v>
      </c>
      <c r="N14" s="122">
        <f t="shared" si="5"/>
        <v>10162347.238957748</v>
      </c>
      <c r="O14" s="122">
        <f t="shared" si="6"/>
        <v>103273301405152.16</v>
      </c>
      <c r="P14" s="9"/>
      <c r="Q14" t="s">
        <v>20</v>
      </c>
      <c r="R14">
        <v>113</v>
      </c>
      <c r="S14">
        <v>1417222615133746.8</v>
      </c>
      <c r="T14">
        <v>12541793054280.945</v>
      </c>
    </row>
    <row r="15" spans="1:30" ht="13.5" thickBot="1" x14ac:dyDescent="0.25">
      <c r="A15" s="42">
        <v>42400</v>
      </c>
      <c r="B15" s="43">
        <v>104350795.09066568</v>
      </c>
      <c r="C15" s="124">
        <v>31</v>
      </c>
      <c r="D15" s="124">
        <v>0</v>
      </c>
      <c r="E15" s="148">
        <v>664.15000000000009</v>
      </c>
      <c r="F15" s="148">
        <v>0</v>
      </c>
      <c r="G15" s="148">
        <v>0</v>
      </c>
      <c r="H15" s="158">
        <v>23524632</v>
      </c>
      <c r="I15" s="43">
        <f t="shared" si="2"/>
        <v>105256632.50411087</v>
      </c>
      <c r="J15" s="26">
        <f t="shared" si="0"/>
        <v>905837.4134451896</v>
      </c>
      <c r="K15" s="35">
        <f t="shared" si="1"/>
        <v>8.6806948874529263E-3</v>
      </c>
      <c r="L15" s="9">
        <f t="shared" si="3"/>
        <v>8.6806948874529263E-3</v>
      </c>
      <c r="M15" s="122">
        <f t="shared" si="4"/>
        <v>820541419597.07141</v>
      </c>
      <c r="N15" s="122">
        <f t="shared" si="5"/>
        <v>-5972519.5469537079</v>
      </c>
      <c r="O15" s="122">
        <f t="shared" si="6"/>
        <v>35670989738744.125</v>
      </c>
      <c r="P15" s="9"/>
      <c r="Q15" s="167" t="s">
        <v>5</v>
      </c>
      <c r="R15" s="167">
        <v>119</v>
      </c>
      <c r="S15" s="167">
        <v>1.3659618029506618E+16</v>
      </c>
      <c r="T15" s="167"/>
      <c r="U15" s="167"/>
      <c r="V15" s="167"/>
    </row>
    <row r="16" spans="1:30" ht="13.5" thickBot="1" x14ac:dyDescent="0.25">
      <c r="A16" s="42">
        <v>42429</v>
      </c>
      <c r="B16" s="43">
        <v>95697080.357386991</v>
      </c>
      <c r="C16" s="124">
        <v>28</v>
      </c>
      <c r="D16" s="124">
        <v>0</v>
      </c>
      <c r="E16" s="148">
        <v>591.35000000000014</v>
      </c>
      <c r="F16" s="148">
        <v>0</v>
      </c>
      <c r="G16" s="148">
        <v>0</v>
      </c>
      <c r="H16" s="158">
        <v>24243959</v>
      </c>
      <c r="I16" s="43">
        <f t="shared" si="2"/>
        <v>95995941.406643778</v>
      </c>
      <c r="J16" s="26">
        <f t="shared" si="0"/>
        <v>298861.0492567867</v>
      </c>
      <c r="K16" s="35">
        <f t="shared" si="1"/>
        <v>3.1229902536281211E-3</v>
      </c>
      <c r="L16" s="9">
        <f t="shared" si="3"/>
        <v>3.1229902536281211E-3</v>
      </c>
      <c r="M16" s="122">
        <f t="shared" si="4"/>
        <v>89317926762.867493</v>
      </c>
      <c r="N16" s="122">
        <f t="shared" si="5"/>
        <v>-606976.36418840289</v>
      </c>
      <c r="O16" s="122">
        <f t="shared" si="6"/>
        <v>368420306683.37268</v>
      </c>
      <c r="P16" s="9"/>
    </row>
    <row r="17" spans="1:25" x14ac:dyDescent="0.2">
      <c r="A17" s="42">
        <v>42460</v>
      </c>
      <c r="B17" s="43">
        <v>95285245.708744094</v>
      </c>
      <c r="C17" s="124">
        <v>31</v>
      </c>
      <c r="D17" s="124">
        <v>1</v>
      </c>
      <c r="E17" s="148">
        <v>501.71499999999986</v>
      </c>
      <c r="F17" s="148">
        <v>0</v>
      </c>
      <c r="G17" s="148">
        <v>0</v>
      </c>
      <c r="H17" s="158">
        <v>26157972</v>
      </c>
      <c r="I17" s="43">
        <f t="shared" si="2"/>
        <v>98407472.201546744</v>
      </c>
      <c r="J17" s="26">
        <f t="shared" si="0"/>
        <v>3122226.4928026497</v>
      </c>
      <c r="K17" s="35">
        <f t="shared" si="1"/>
        <v>3.2767155812834625E-2</v>
      </c>
      <c r="L17" s="9">
        <f t="shared" si="3"/>
        <v>3.2767155812834625E-2</v>
      </c>
      <c r="M17" s="122">
        <f t="shared" si="4"/>
        <v>9748298272358.7344</v>
      </c>
      <c r="N17" s="122">
        <f t="shared" si="5"/>
        <v>2823365.443545863</v>
      </c>
      <c r="O17" s="122">
        <f t="shared" si="6"/>
        <v>7971392427808.9277</v>
      </c>
      <c r="P17" s="9"/>
      <c r="Q17" s="168"/>
      <c r="R17" s="168" t="s">
        <v>90</v>
      </c>
      <c r="S17" s="168" t="s">
        <v>16</v>
      </c>
      <c r="T17" s="168" t="s">
        <v>91</v>
      </c>
      <c r="U17" s="168" t="s">
        <v>92</v>
      </c>
      <c r="V17" s="168" t="s">
        <v>93</v>
      </c>
      <c r="W17" s="168" t="s">
        <v>94</v>
      </c>
      <c r="X17" s="168" t="s">
        <v>95</v>
      </c>
      <c r="Y17" s="168" t="s">
        <v>96</v>
      </c>
    </row>
    <row r="18" spans="1:25" x14ac:dyDescent="0.2">
      <c r="A18" s="42">
        <v>42490</v>
      </c>
      <c r="B18" s="43">
        <v>89184360.834853679</v>
      </c>
      <c r="C18" s="124">
        <v>30</v>
      </c>
      <c r="D18" s="124">
        <v>1</v>
      </c>
      <c r="E18" s="148">
        <v>325.64</v>
      </c>
      <c r="F18" s="148">
        <v>0.44000000000000006</v>
      </c>
      <c r="G18" s="148">
        <v>0</v>
      </c>
      <c r="H18" s="158">
        <v>24474973</v>
      </c>
      <c r="I18" s="43">
        <f t="shared" si="2"/>
        <v>90279539.60506995</v>
      </c>
      <c r="J18" s="26">
        <f t="shared" si="0"/>
        <v>1095178.7702162713</v>
      </c>
      <c r="K18" s="35">
        <f t="shared" si="1"/>
        <v>1.2279941908696957E-2</v>
      </c>
      <c r="L18" s="9">
        <f t="shared" si="3"/>
        <v>1.2279941908696957E-2</v>
      </c>
      <c r="M18" s="122">
        <f t="shared" si="4"/>
        <v>1199416538732.4243</v>
      </c>
      <c r="N18" s="122">
        <f t="shared" si="5"/>
        <v>-2027047.7225863785</v>
      </c>
      <c r="O18" s="122">
        <f t="shared" si="6"/>
        <v>4108922469642.6235</v>
      </c>
      <c r="P18" s="9"/>
      <c r="Q18" t="s">
        <v>21</v>
      </c>
      <c r="R18" s="170">
        <v>-18178492.71367266</v>
      </c>
      <c r="S18">
        <v>12873014.922626201</v>
      </c>
      <c r="T18">
        <v>-1.4121394889181174</v>
      </c>
      <c r="U18">
        <v>0.16065688270587297</v>
      </c>
      <c r="V18">
        <v>-43682257.044831544</v>
      </c>
      <c r="W18">
        <v>7325271.6174862273</v>
      </c>
      <c r="X18">
        <v>-43682257.044831544</v>
      </c>
      <c r="Y18">
        <v>7325271.6174862273</v>
      </c>
    </row>
    <row r="19" spans="1:25" x14ac:dyDescent="0.2">
      <c r="A19" s="42">
        <v>42521</v>
      </c>
      <c r="B19" s="43">
        <v>92974897.492993563</v>
      </c>
      <c r="C19" s="124">
        <v>31</v>
      </c>
      <c r="D19" s="124">
        <v>1</v>
      </c>
      <c r="E19" s="148">
        <v>142.04000000000002</v>
      </c>
      <c r="F19" s="148">
        <v>24.169999999999998</v>
      </c>
      <c r="G19" s="148">
        <v>0</v>
      </c>
      <c r="H19" s="158">
        <v>24878252</v>
      </c>
      <c r="I19" s="43">
        <f t="shared" si="2"/>
        <v>95515162.095302746</v>
      </c>
      <c r="J19" s="26">
        <f t="shared" si="0"/>
        <v>2540264.6023091823</v>
      </c>
      <c r="K19" s="35">
        <f t="shared" si="1"/>
        <v>2.7322047894708486E-2</v>
      </c>
      <c r="L19" s="9">
        <f t="shared" si="3"/>
        <v>2.7322047894708486E-2</v>
      </c>
      <c r="M19" s="122">
        <f t="shared" si="4"/>
        <v>6452944249745.0283</v>
      </c>
      <c r="N19" s="122">
        <f t="shared" si="5"/>
        <v>1445085.832092911</v>
      </c>
      <c r="O19" s="122">
        <f t="shared" si="6"/>
        <v>2088273062115.6609</v>
      </c>
      <c r="P19" s="9"/>
      <c r="Q19" t="s">
        <v>118</v>
      </c>
      <c r="R19" s="170">
        <v>2787359.073483082</v>
      </c>
      <c r="S19">
        <v>423375.73443064239</v>
      </c>
      <c r="T19">
        <v>6.5836533528109138</v>
      </c>
      <c r="U19">
        <v>1.502900899167288E-9</v>
      </c>
      <c r="V19">
        <v>1948575.3837763353</v>
      </c>
      <c r="W19">
        <v>3626142.763189829</v>
      </c>
      <c r="X19">
        <v>1948575.3837763353</v>
      </c>
      <c r="Y19">
        <v>3626142.763189829</v>
      </c>
    </row>
    <row r="20" spans="1:25" x14ac:dyDescent="0.2">
      <c r="A20" s="42">
        <v>42551</v>
      </c>
      <c r="B20" s="43">
        <v>103706305.86697581</v>
      </c>
      <c r="C20" s="124">
        <v>30</v>
      </c>
      <c r="D20" s="124">
        <v>0</v>
      </c>
      <c r="E20" s="148">
        <v>27.95</v>
      </c>
      <c r="F20" s="148">
        <v>65.360000000000014</v>
      </c>
      <c r="G20" s="148">
        <v>0</v>
      </c>
      <c r="H20" s="158">
        <v>26506086</v>
      </c>
      <c r="I20" s="43">
        <f t="shared" si="2"/>
        <v>108158520.49775925</v>
      </c>
      <c r="J20" s="26">
        <f t="shared" si="0"/>
        <v>4452214.6307834387</v>
      </c>
      <c r="K20" s="35">
        <f t="shared" si="1"/>
        <v>4.2930992417127452E-2</v>
      </c>
      <c r="L20" s="9">
        <f t="shared" si="3"/>
        <v>4.2930992417127452E-2</v>
      </c>
      <c r="M20" s="122">
        <f t="shared" si="4"/>
        <v>19822215118562.109</v>
      </c>
      <c r="N20" s="122">
        <f t="shared" si="5"/>
        <v>1911950.0284742564</v>
      </c>
      <c r="O20" s="122">
        <f t="shared" si="6"/>
        <v>3655552911382.71</v>
      </c>
      <c r="P20" s="9"/>
      <c r="Q20" t="s">
        <v>119</v>
      </c>
      <c r="R20" s="170">
        <v>-5829472.1233574385</v>
      </c>
      <c r="S20">
        <v>870424.58912093635</v>
      </c>
      <c r="T20">
        <v>-6.6972741765541901</v>
      </c>
      <c r="U20">
        <v>8.6335736414302222E-10</v>
      </c>
      <c r="V20">
        <v>-7553940.2236754149</v>
      </c>
      <c r="W20">
        <v>-4105004.023039462</v>
      </c>
      <c r="X20">
        <v>-7553940.2236754149</v>
      </c>
      <c r="Y20">
        <v>-4105004.023039462</v>
      </c>
    </row>
    <row r="21" spans="1:25" x14ac:dyDescent="0.2">
      <c r="A21" s="42">
        <v>42582</v>
      </c>
      <c r="B21" s="43">
        <v>118909742.14128648</v>
      </c>
      <c r="C21" s="124">
        <v>31</v>
      </c>
      <c r="D21" s="124">
        <v>0</v>
      </c>
      <c r="E21" s="148">
        <v>4.17</v>
      </c>
      <c r="F21" s="148">
        <v>111.47499999999999</v>
      </c>
      <c r="G21" s="148">
        <v>0</v>
      </c>
      <c r="H21" s="158">
        <v>21781623</v>
      </c>
      <c r="I21" s="43">
        <f t="shared" si="2"/>
        <v>117689254.87261221</v>
      </c>
      <c r="J21" s="26">
        <f t="shared" si="0"/>
        <v>-1220487.2686742693</v>
      </c>
      <c r="K21" s="35">
        <f t="shared" si="1"/>
        <v>-1.0263980450181346E-2</v>
      </c>
      <c r="L21" s="9">
        <f t="shared" si="3"/>
        <v>1.0263980450181346E-2</v>
      </c>
      <c r="M21" s="122">
        <f t="shared" si="4"/>
        <v>1489589172995.978</v>
      </c>
      <c r="N21" s="122">
        <f t="shared" si="5"/>
        <v>-5672701.899457708</v>
      </c>
      <c r="O21" s="122">
        <f t="shared" si="6"/>
        <v>32179546840111.09</v>
      </c>
      <c r="P21" s="9"/>
      <c r="Q21" t="s">
        <v>116</v>
      </c>
      <c r="R21" s="170">
        <v>21811.318308088921</v>
      </c>
      <c r="S21">
        <v>2365.7580737437847</v>
      </c>
      <c r="T21">
        <v>9.2195895050134027</v>
      </c>
      <c r="U21">
        <v>1.9517412487902587E-15</v>
      </c>
      <c r="V21">
        <v>17124.324877261071</v>
      </c>
      <c r="W21">
        <v>26498.311738916771</v>
      </c>
      <c r="X21">
        <v>17124.324877261071</v>
      </c>
      <c r="Y21">
        <v>26498.311738916771</v>
      </c>
    </row>
    <row r="22" spans="1:25" x14ac:dyDescent="0.2">
      <c r="A22" s="42">
        <v>42613</v>
      </c>
      <c r="B22" s="43">
        <v>127469431.38312352</v>
      </c>
      <c r="C22" s="124">
        <v>31</v>
      </c>
      <c r="D22" s="124">
        <v>0</v>
      </c>
      <c r="E22" s="148">
        <v>10.350000000000001</v>
      </c>
      <c r="F22" s="148">
        <v>89.284999999999997</v>
      </c>
      <c r="G22" s="148">
        <v>0</v>
      </c>
      <c r="H22" s="158">
        <v>26118386</v>
      </c>
      <c r="I22" s="43">
        <f t="shared" si="2"/>
        <v>116306766.03869735</v>
      </c>
      <c r="J22" s="26">
        <f t="shared" si="0"/>
        <v>-11162665.34442617</v>
      </c>
      <c r="K22" s="35">
        <f t="shared" si="1"/>
        <v>-8.7571311986758146E-2</v>
      </c>
      <c r="L22" s="9">
        <f t="shared" si="3"/>
        <v>8.7571311986758146E-2</v>
      </c>
      <c r="M22" s="122">
        <f t="shared" si="4"/>
        <v>124605097591653.03</v>
      </c>
      <c r="N22" s="122">
        <f t="shared" si="5"/>
        <v>-9942178.0757519007</v>
      </c>
      <c r="O22" s="122">
        <f t="shared" si="6"/>
        <v>98846904889961.766</v>
      </c>
      <c r="P22" s="9"/>
      <c r="Q22" t="s">
        <v>117</v>
      </c>
      <c r="R22" s="170">
        <v>255642.83969536624</v>
      </c>
      <c r="S22">
        <v>15788.924074660978</v>
      </c>
      <c r="T22">
        <v>16.191276776461127</v>
      </c>
      <c r="U22">
        <v>3.210096268680297E-31</v>
      </c>
      <c r="V22">
        <v>224362.1334223586</v>
      </c>
      <c r="W22">
        <v>286923.54596837389</v>
      </c>
      <c r="X22">
        <v>224362.1334223586</v>
      </c>
      <c r="Y22">
        <v>286923.54596837389</v>
      </c>
    </row>
    <row r="23" spans="1:25" x14ac:dyDescent="0.2">
      <c r="A23" s="42">
        <v>42643</v>
      </c>
      <c r="B23" s="43">
        <v>105284134.55111229</v>
      </c>
      <c r="C23" s="124">
        <v>30</v>
      </c>
      <c r="D23" s="124">
        <v>0</v>
      </c>
      <c r="E23" s="148">
        <v>48.02</v>
      </c>
      <c r="F23" s="148">
        <v>44.279999999999994</v>
      </c>
      <c r="G23" s="148">
        <v>0</v>
      </c>
      <c r="H23" s="158">
        <v>26028405</v>
      </c>
      <c r="I23" s="43">
        <f t="shared" si="2"/>
        <v>102749614.66145667</v>
      </c>
      <c r="J23" s="26">
        <f t="shared" si="0"/>
        <v>-2534519.8896556199</v>
      </c>
      <c r="K23" s="35">
        <f t="shared" si="1"/>
        <v>-2.4073141698526156E-2</v>
      </c>
      <c r="L23" s="9">
        <f t="shared" si="3"/>
        <v>2.4073141698526156E-2</v>
      </c>
      <c r="M23" s="122">
        <f t="shared" si="4"/>
        <v>6423791071059.9355</v>
      </c>
      <c r="N23" s="122">
        <f t="shared" si="5"/>
        <v>8628145.4547705501</v>
      </c>
      <c r="O23" s="122">
        <f t="shared" si="6"/>
        <v>74444893988677.703</v>
      </c>
      <c r="P23" s="9"/>
      <c r="Q23" t="s">
        <v>115</v>
      </c>
      <c r="R23" s="170">
        <v>-5909489.4160755472</v>
      </c>
      <c r="S23">
        <v>2604083.4285901096</v>
      </c>
      <c r="T23">
        <v>-2.2693164708916544</v>
      </c>
      <c r="U23">
        <v>2.5146814623619458E-2</v>
      </c>
      <c r="V23">
        <v>-11068648.359075466</v>
      </c>
      <c r="W23">
        <v>-750330.47307562828</v>
      </c>
      <c r="X23">
        <v>-11068648.359075466</v>
      </c>
      <c r="Y23">
        <v>-750330.47307562828</v>
      </c>
    </row>
    <row r="24" spans="1:25" ht="13.5" thickBot="1" x14ac:dyDescent="0.25">
      <c r="A24" s="42">
        <v>42674</v>
      </c>
      <c r="B24" s="43">
        <v>93334453.459009305</v>
      </c>
      <c r="C24" s="124">
        <v>31</v>
      </c>
      <c r="D24" s="124">
        <v>1</v>
      </c>
      <c r="E24" s="148">
        <v>202.59500000000003</v>
      </c>
      <c r="F24" s="148">
        <v>7.6800000000000015</v>
      </c>
      <c r="G24" s="148">
        <v>0</v>
      </c>
      <c r="H24" s="158">
        <v>25248672</v>
      </c>
      <c r="I24" s="43">
        <f t="shared" si="2"/>
        <v>92975327.839963779</v>
      </c>
      <c r="J24" s="26">
        <f t="shared" si="0"/>
        <v>-359125.61904552579</v>
      </c>
      <c r="K24" s="35">
        <f t="shared" si="1"/>
        <v>-3.8477283118526734E-3</v>
      </c>
      <c r="L24" s="9">
        <f t="shared" si="3"/>
        <v>3.8477283118526734E-3</v>
      </c>
      <c r="M24" s="122">
        <f t="shared" si="4"/>
        <v>128971210254.83212</v>
      </c>
      <c r="N24" s="122">
        <f t="shared" si="5"/>
        <v>2175394.2706100941</v>
      </c>
      <c r="O24" s="122">
        <f t="shared" si="6"/>
        <v>4732340232603.2236</v>
      </c>
      <c r="P24" s="9"/>
      <c r="Q24" s="167" t="s">
        <v>125</v>
      </c>
      <c r="R24" s="171">
        <v>0.95818743882967916</v>
      </c>
      <c r="S24" s="167">
        <v>0.105322296791636</v>
      </c>
      <c r="T24" s="167">
        <v>9.0976694206100159</v>
      </c>
      <c r="U24" s="167">
        <v>3.7320179792783712E-15</v>
      </c>
      <c r="V24" s="167">
        <v>0.74952497301764809</v>
      </c>
      <c r="W24" s="167">
        <v>1.1668499046417102</v>
      </c>
      <c r="X24" s="167">
        <v>0.74952497301764809</v>
      </c>
      <c r="Y24" s="167">
        <v>1.1668499046417102</v>
      </c>
    </row>
    <row r="25" spans="1:25" x14ac:dyDescent="0.2">
      <c r="A25" s="42">
        <v>42704</v>
      </c>
      <c r="B25" s="43">
        <v>88361429.623112306</v>
      </c>
      <c r="C25" s="124">
        <v>30</v>
      </c>
      <c r="D25" s="124">
        <v>1</v>
      </c>
      <c r="E25" s="148">
        <v>394.15</v>
      </c>
      <c r="F25" s="148">
        <v>0.43000000000000005</v>
      </c>
      <c r="G25" s="148">
        <v>0</v>
      </c>
      <c r="H25" s="158">
        <v>26188746</v>
      </c>
      <c r="I25" s="43">
        <f t="shared" si="2"/>
        <v>93413392.355565637</v>
      </c>
      <c r="J25" s="26">
        <f t="shared" si="0"/>
        <v>5051962.7324533314</v>
      </c>
      <c r="K25" s="35">
        <f t="shared" si="1"/>
        <v>5.7173845579473422E-2</v>
      </c>
      <c r="L25" s="9">
        <f t="shared" si="3"/>
        <v>5.7173845579473422E-2</v>
      </c>
      <c r="M25" s="122">
        <f t="shared" si="4"/>
        <v>25522327450097.328</v>
      </c>
      <c r="N25" s="122">
        <f t="shared" si="5"/>
        <v>5411088.3514988571</v>
      </c>
      <c r="O25" s="122">
        <f t="shared" si="6"/>
        <v>29279877147726.621</v>
      </c>
      <c r="P25" s="9"/>
    </row>
    <row r="26" spans="1:25" x14ac:dyDescent="0.2">
      <c r="A26" s="42">
        <v>42735</v>
      </c>
      <c r="B26" s="43">
        <v>95619168.835747465</v>
      </c>
      <c r="C26" s="124">
        <v>31</v>
      </c>
      <c r="D26" s="124">
        <v>0</v>
      </c>
      <c r="E26" s="148">
        <v>538.66000000000008</v>
      </c>
      <c r="F26" s="148">
        <v>0</v>
      </c>
      <c r="G26" s="148">
        <v>0</v>
      </c>
      <c r="H26" s="158">
        <v>24077403</v>
      </c>
      <c r="I26" s="43">
        <f t="shared" si="2"/>
        <v>103049188.3983781</v>
      </c>
      <c r="J26" s="26">
        <f t="shared" si="0"/>
        <v>7430019.5626306385</v>
      </c>
      <c r="K26" s="35">
        <f t="shared" si="1"/>
        <v>7.7704289350117292E-2</v>
      </c>
      <c r="L26" s="9">
        <f t="shared" si="3"/>
        <v>7.7704289350117292E-2</v>
      </c>
      <c r="M26" s="122">
        <f t="shared" si="4"/>
        <v>55205190701073.984</v>
      </c>
      <c r="N26" s="122">
        <f t="shared" si="5"/>
        <v>2378056.8301773071</v>
      </c>
      <c r="O26" s="122">
        <f t="shared" si="6"/>
        <v>5655154287552.9414</v>
      </c>
      <c r="P26" s="9"/>
    </row>
    <row r="27" spans="1:25" x14ac:dyDescent="0.2">
      <c r="A27" s="42">
        <v>42766</v>
      </c>
      <c r="B27" s="43">
        <v>101061807.61419055</v>
      </c>
      <c r="C27" s="124">
        <v>31</v>
      </c>
      <c r="D27" s="124">
        <v>0</v>
      </c>
      <c r="E27" s="148">
        <v>664.15000000000009</v>
      </c>
      <c r="F27" s="148">
        <v>0</v>
      </c>
      <c r="G27" s="148">
        <v>0</v>
      </c>
      <c r="H27" s="158">
        <v>24123511</v>
      </c>
      <c r="I27" s="43">
        <f t="shared" si="2"/>
        <v>105830470.83928975</v>
      </c>
      <c r="J27" s="26">
        <f t="shared" si="0"/>
        <v>4768663.225099206</v>
      </c>
      <c r="K27" s="35">
        <f t="shared" si="1"/>
        <v>4.7185611831760038E-2</v>
      </c>
      <c r="L27" s="9">
        <f t="shared" si="3"/>
        <v>4.7185611831760038E-2</v>
      </c>
      <c r="M27" s="122">
        <f t="shared" si="4"/>
        <v>22740148954413.559</v>
      </c>
      <c r="N27" s="122">
        <f t="shared" si="5"/>
        <v>-2661356.3375314325</v>
      </c>
      <c r="O27" s="122">
        <f t="shared" si="6"/>
        <v>7082817555318.7197</v>
      </c>
    </row>
    <row r="28" spans="1:25" x14ac:dyDescent="0.2">
      <c r="A28" s="42">
        <v>42794</v>
      </c>
      <c r="B28" s="43">
        <v>87778357.396986827</v>
      </c>
      <c r="C28" s="124">
        <v>28</v>
      </c>
      <c r="D28" s="124">
        <v>0</v>
      </c>
      <c r="E28" s="148">
        <v>591.35000000000014</v>
      </c>
      <c r="F28" s="148">
        <v>0</v>
      </c>
      <c r="G28" s="148">
        <v>0</v>
      </c>
      <c r="H28" s="158">
        <v>23547398</v>
      </c>
      <c r="I28" s="43">
        <f t="shared" si="2"/>
        <v>95328505.406065136</v>
      </c>
      <c r="J28" s="26">
        <f t="shared" si="0"/>
        <v>7550148.0090783089</v>
      </c>
      <c r="K28" s="35">
        <f t="shared" si="1"/>
        <v>8.6013776436166062E-2</v>
      </c>
      <c r="L28" s="9">
        <f t="shared" si="3"/>
        <v>8.6013776436166062E-2</v>
      </c>
      <c r="M28" s="122">
        <f t="shared" si="4"/>
        <v>57004734958989.148</v>
      </c>
      <c r="N28" s="122">
        <f t="shared" si="5"/>
        <v>2781484.783979103</v>
      </c>
      <c r="O28" s="122">
        <f t="shared" si="6"/>
        <v>7736657603507.2773</v>
      </c>
    </row>
    <row r="29" spans="1:25" x14ac:dyDescent="0.2">
      <c r="A29" s="42">
        <v>42825</v>
      </c>
      <c r="B29" s="43">
        <v>96533890.382594883</v>
      </c>
      <c r="C29" s="124">
        <v>31</v>
      </c>
      <c r="D29" s="124">
        <v>1</v>
      </c>
      <c r="E29" s="148">
        <v>501.71499999999986</v>
      </c>
      <c r="F29" s="148">
        <v>0</v>
      </c>
      <c r="G29" s="148">
        <v>0</v>
      </c>
      <c r="H29" s="158">
        <v>27873176</v>
      </c>
      <c r="I29" s="43">
        <f t="shared" si="2"/>
        <v>100050959.12937716</v>
      </c>
      <c r="J29" s="26">
        <f t="shared" si="0"/>
        <v>3517068.7467822731</v>
      </c>
      <c r="K29" s="35">
        <f t="shared" si="1"/>
        <v>3.6433512964648966E-2</v>
      </c>
      <c r="L29" s="9">
        <f t="shared" si="3"/>
        <v>3.6433512964648966E-2</v>
      </c>
      <c r="M29" s="122">
        <f t="shared" si="4"/>
        <v>12369772569592.629</v>
      </c>
      <c r="N29" s="122">
        <f t="shared" si="5"/>
        <v>-4033079.2622960359</v>
      </c>
      <c r="O29" s="122">
        <f t="shared" si="6"/>
        <v>16265728335962.338</v>
      </c>
    </row>
    <row r="30" spans="1:25" x14ac:dyDescent="0.2">
      <c r="A30" s="42">
        <v>42855</v>
      </c>
      <c r="B30" s="43">
        <v>84566407.692804039</v>
      </c>
      <c r="C30" s="124">
        <v>30</v>
      </c>
      <c r="D30" s="124">
        <v>1</v>
      </c>
      <c r="E30" s="148">
        <v>325.64</v>
      </c>
      <c r="F30" s="148">
        <v>0.44000000000000006</v>
      </c>
      <c r="G30" s="148">
        <v>0</v>
      </c>
      <c r="H30" s="158">
        <v>24299797</v>
      </c>
      <c r="I30" s="43">
        <f t="shared" si="2"/>
        <v>90111688.162285522</v>
      </c>
      <c r="J30" s="26">
        <f t="shared" si="0"/>
        <v>5545280.4694814831</v>
      </c>
      <c r="K30" s="35">
        <f t="shared" si="1"/>
        <v>6.5573087716168238E-2</v>
      </c>
      <c r="L30" s="9">
        <f t="shared" si="3"/>
        <v>6.5573087716168238E-2</v>
      </c>
      <c r="M30" s="122">
        <f t="shared" si="4"/>
        <v>30750135485212.777</v>
      </c>
      <c r="N30" s="122">
        <f t="shared" si="5"/>
        <v>2028211.72269921</v>
      </c>
      <c r="O30" s="122">
        <f t="shared" si="6"/>
        <v>4113642792094.4971</v>
      </c>
    </row>
    <row r="31" spans="1:25" x14ac:dyDescent="0.2">
      <c r="A31" s="42">
        <v>42886</v>
      </c>
      <c r="B31" s="43">
        <v>88841415.519814089</v>
      </c>
      <c r="C31" s="124">
        <v>31</v>
      </c>
      <c r="D31" s="124">
        <v>1</v>
      </c>
      <c r="E31" s="148">
        <v>142.04000000000002</v>
      </c>
      <c r="F31" s="148">
        <v>24.169999999999998</v>
      </c>
      <c r="G31" s="148">
        <v>0</v>
      </c>
      <c r="H31" s="158">
        <v>27889652</v>
      </c>
      <c r="I31" s="43">
        <f t="shared" si="2"/>
        <v>98400647.748594433</v>
      </c>
      <c r="J31" s="26">
        <f t="shared" si="0"/>
        <v>9559232.2287803441</v>
      </c>
      <c r="K31" s="35">
        <f t="shared" si="1"/>
        <v>0.10759882846135395</v>
      </c>
      <c r="L31" s="9">
        <f t="shared" si="3"/>
        <v>0.10759882846135395</v>
      </c>
      <c r="M31" s="122">
        <f t="shared" si="4"/>
        <v>91378920803752.828</v>
      </c>
      <c r="N31" s="122">
        <f t="shared" si="5"/>
        <v>4013951.759298861</v>
      </c>
      <c r="O31" s="122">
        <f t="shared" si="6"/>
        <v>16111808725978.422</v>
      </c>
    </row>
    <row r="32" spans="1:25" x14ac:dyDescent="0.2">
      <c r="A32" s="42">
        <v>42916</v>
      </c>
      <c r="B32" s="43">
        <v>101508842.40893182</v>
      </c>
      <c r="C32" s="124">
        <v>30</v>
      </c>
      <c r="D32" s="124">
        <v>0</v>
      </c>
      <c r="E32" s="148">
        <v>27.95</v>
      </c>
      <c r="F32" s="148">
        <v>65.360000000000014</v>
      </c>
      <c r="G32" s="148">
        <v>0</v>
      </c>
      <c r="H32" s="158">
        <v>27692687</v>
      </c>
      <c r="I32" s="43">
        <f t="shared" si="2"/>
        <v>109295506.67086199</v>
      </c>
      <c r="J32" s="26">
        <f t="shared" si="0"/>
        <v>7786664.2619301677</v>
      </c>
      <c r="K32" s="35">
        <f t="shared" si="1"/>
        <v>7.6709221355922133E-2</v>
      </c>
      <c r="L32" s="9">
        <f t="shared" si="3"/>
        <v>7.6709221355922133E-2</v>
      </c>
      <c r="M32" s="122">
        <f t="shared" si="4"/>
        <v>60632140328020.484</v>
      </c>
      <c r="N32" s="122">
        <f t="shared" si="5"/>
        <v>-1772567.9668501765</v>
      </c>
      <c r="O32" s="122">
        <f t="shared" si="6"/>
        <v>3141997197103.3682</v>
      </c>
    </row>
    <row r="33" spans="1:18" x14ac:dyDescent="0.2">
      <c r="A33" s="42">
        <v>42947</v>
      </c>
      <c r="B33" s="43">
        <v>111857656.46157242</v>
      </c>
      <c r="C33" s="124">
        <v>31</v>
      </c>
      <c r="D33" s="124">
        <v>0</v>
      </c>
      <c r="E33" s="148">
        <v>4.17</v>
      </c>
      <c r="F33" s="148">
        <v>111.47499999999999</v>
      </c>
      <c r="G33" s="148">
        <v>0</v>
      </c>
      <c r="H33" s="158">
        <v>21678298</v>
      </c>
      <c r="I33" s="43">
        <f t="shared" si="2"/>
        <v>117590250.15549514</v>
      </c>
      <c r="J33" s="26">
        <f t="shared" si="0"/>
        <v>5732593.6939227134</v>
      </c>
      <c r="K33" s="35">
        <f t="shared" si="1"/>
        <v>5.1249005881793069E-2</v>
      </c>
      <c r="L33" s="9">
        <f t="shared" si="3"/>
        <v>5.1249005881793069E-2</v>
      </c>
      <c r="M33" s="122">
        <f t="shared" si="4"/>
        <v>32862630459602.461</v>
      </c>
      <c r="N33" s="122">
        <f t="shared" si="5"/>
        <v>-2054070.5680074543</v>
      </c>
      <c r="O33" s="122">
        <f t="shared" si="6"/>
        <v>4219205898354.4658</v>
      </c>
      <c r="P33"/>
      <c r="R33" s="39"/>
    </row>
    <row r="34" spans="1:18" x14ac:dyDescent="0.2">
      <c r="A34" s="42">
        <v>42978</v>
      </c>
      <c r="B34" s="43">
        <v>109127289.025701</v>
      </c>
      <c r="C34" s="124">
        <v>31</v>
      </c>
      <c r="D34" s="124">
        <v>0</v>
      </c>
      <c r="E34" s="148">
        <v>10.350000000000001</v>
      </c>
      <c r="F34" s="148">
        <v>89.284999999999997</v>
      </c>
      <c r="G34" s="148">
        <v>0</v>
      </c>
      <c r="H34" s="158">
        <v>26185973</v>
      </c>
      <c r="I34" s="43">
        <f t="shared" si="2"/>
        <v>116371527.05312553</v>
      </c>
      <c r="J34" s="26">
        <f t="shared" si="0"/>
        <v>7244238.0274245292</v>
      </c>
      <c r="K34" s="35">
        <f t="shared" si="1"/>
        <v>6.6383377541051253E-2</v>
      </c>
      <c r="L34" s="9">
        <f t="shared" si="3"/>
        <v>6.6383377541051253E-2</v>
      </c>
      <c r="M34" s="122">
        <f t="shared" si="4"/>
        <v>52478984597983.633</v>
      </c>
      <c r="N34" s="122">
        <f t="shared" si="5"/>
        <v>1511644.3335018158</v>
      </c>
      <c r="O34" s="122">
        <f t="shared" si="6"/>
        <v>2285068591008.1489</v>
      </c>
      <c r="P34"/>
    </row>
    <row r="35" spans="1:18" x14ac:dyDescent="0.2">
      <c r="A35" s="42">
        <v>43008</v>
      </c>
      <c r="B35" s="43">
        <v>105252036.81364059</v>
      </c>
      <c r="C35" s="124">
        <v>30</v>
      </c>
      <c r="D35" s="124">
        <v>0</v>
      </c>
      <c r="E35" s="148">
        <v>48.02</v>
      </c>
      <c r="F35" s="148">
        <v>44.279999999999994</v>
      </c>
      <c r="G35" s="148">
        <v>0</v>
      </c>
      <c r="H35" s="158">
        <v>24928173</v>
      </c>
      <c r="I35" s="43">
        <f t="shared" ref="I35:I66" si="7">$R$18+$R$19*C35+$R$20*D35+$R$21*E35+$R$22*F35+$R$23*G35+$R$24*H35</f>
        <v>101695386.17925821</v>
      </c>
      <c r="J35" s="26">
        <f t="shared" ref="J35:J66" si="8">I35-B35</f>
        <v>-3556650.634382382</v>
      </c>
      <c r="K35" s="35">
        <f t="shared" ref="K35:K66" si="9">J35/B35</f>
        <v>-3.3791751134277744E-2</v>
      </c>
      <c r="L35" s="9">
        <f t="shared" si="3"/>
        <v>3.3791751134277744E-2</v>
      </c>
      <c r="M35" s="122">
        <f t="shared" si="4"/>
        <v>12649763735052.6</v>
      </c>
      <c r="N35" s="122">
        <f t="shared" si="5"/>
        <v>-10800888.661806911</v>
      </c>
      <c r="O35" s="122">
        <f t="shared" si="6"/>
        <v>116659195884749.09</v>
      </c>
      <c r="P35"/>
    </row>
    <row r="36" spans="1:18" x14ac:dyDescent="0.2">
      <c r="A36" s="42">
        <v>43039</v>
      </c>
      <c r="B36" s="43">
        <v>98979181.099643692</v>
      </c>
      <c r="C36" s="124">
        <v>31</v>
      </c>
      <c r="D36" s="124">
        <v>1</v>
      </c>
      <c r="E36" s="148">
        <v>202.59500000000003</v>
      </c>
      <c r="F36" s="148">
        <v>7.6800000000000015</v>
      </c>
      <c r="G36" s="148">
        <v>0</v>
      </c>
      <c r="H36" s="158">
        <v>24596657</v>
      </c>
      <c r="I36" s="43">
        <f t="shared" si="7"/>
        <v>92350575.257035241</v>
      </c>
      <c r="J36" s="26">
        <f t="shared" si="8"/>
        <v>-6628605.8426084518</v>
      </c>
      <c r="K36" s="35">
        <f t="shared" si="9"/>
        <v>-6.6969697758312866E-2</v>
      </c>
      <c r="L36" s="9">
        <f t="shared" si="3"/>
        <v>6.6969697758312866E-2</v>
      </c>
      <c r="M36" s="122">
        <f t="shared" si="4"/>
        <v>43938415416662.906</v>
      </c>
      <c r="N36" s="122">
        <f t="shared" si="5"/>
        <v>-3071955.2082260698</v>
      </c>
      <c r="O36" s="122">
        <f t="shared" si="6"/>
        <v>9436908801347.2754</v>
      </c>
      <c r="P36"/>
    </row>
    <row r="37" spans="1:18" x14ac:dyDescent="0.2">
      <c r="A37" s="42">
        <v>43069</v>
      </c>
      <c r="B37" s="43">
        <v>99873909.282610387</v>
      </c>
      <c r="C37" s="124">
        <v>30</v>
      </c>
      <c r="D37" s="124">
        <v>1</v>
      </c>
      <c r="E37" s="148">
        <v>394.15</v>
      </c>
      <c r="F37" s="148">
        <v>0.43000000000000005</v>
      </c>
      <c r="G37" s="148">
        <v>0</v>
      </c>
      <c r="H37" s="158">
        <v>26874868</v>
      </c>
      <c r="I37" s="43">
        <f t="shared" si="7"/>
        <v>94070825.837470323</v>
      </c>
      <c r="J37" s="26">
        <f t="shared" si="8"/>
        <v>-5803083.4451400638</v>
      </c>
      <c r="K37" s="35">
        <f t="shared" si="9"/>
        <v>-5.8104098325812419E-2</v>
      </c>
      <c r="L37" s="9">
        <f t="shared" si="3"/>
        <v>5.8104098325812419E-2</v>
      </c>
      <c r="M37" s="122">
        <f t="shared" si="4"/>
        <v>33675777471258.672</v>
      </c>
      <c r="N37" s="122">
        <f t="shared" si="5"/>
        <v>825522.39746838808</v>
      </c>
      <c r="O37" s="122">
        <f t="shared" si="6"/>
        <v>681487228721.95532</v>
      </c>
      <c r="P37"/>
    </row>
    <row r="38" spans="1:18" x14ac:dyDescent="0.2">
      <c r="A38" s="42">
        <v>43100</v>
      </c>
      <c r="B38" s="43">
        <v>104129743.72838885</v>
      </c>
      <c r="C38" s="124">
        <v>31</v>
      </c>
      <c r="D38" s="124">
        <v>0</v>
      </c>
      <c r="E38" s="148">
        <v>538.66000000000008</v>
      </c>
      <c r="F38" s="148">
        <v>0</v>
      </c>
      <c r="G38" s="148">
        <v>0</v>
      </c>
      <c r="H38" s="158">
        <v>23624013</v>
      </c>
      <c r="I38" s="43">
        <f t="shared" si="7"/>
        <v>102614755.79548711</v>
      </c>
      <c r="J38" s="26">
        <f t="shared" si="8"/>
        <v>-1514987.9329017401</v>
      </c>
      <c r="K38" s="35">
        <f t="shared" si="9"/>
        <v>-1.4549041212023165E-2</v>
      </c>
      <c r="L38" s="9">
        <f t="shared" si="3"/>
        <v>1.4549041212023165E-2</v>
      </c>
      <c r="M38" s="122">
        <f t="shared" si="4"/>
        <v>2295188436837.8872</v>
      </c>
      <c r="N38" s="122">
        <f t="shared" si="5"/>
        <v>4288095.5122383237</v>
      </c>
      <c r="O38" s="122">
        <f t="shared" si="6"/>
        <v>18387763122078.453</v>
      </c>
      <c r="P38"/>
    </row>
    <row r="39" spans="1:18" x14ac:dyDescent="0.2">
      <c r="A39" s="42">
        <v>43131</v>
      </c>
      <c r="B39" s="43">
        <v>106832771.31482901</v>
      </c>
      <c r="C39" s="124">
        <v>31</v>
      </c>
      <c r="D39" s="124">
        <v>0</v>
      </c>
      <c r="E39" s="148">
        <v>664.15000000000009</v>
      </c>
      <c r="F39" s="148">
        <v>0</v>
      </c>
      <c r="G39" s="148">
        <v>0</v>
      </c>
      <c r="H39" s="158">
        <v>24254768</v>
      </c>
      <c r="I39" s="43">
        <f t="shared" si="7"/>
        <v>105956239.64794822</v>
      </c>
      <c r="J39" s="26">
        <f t="shared" si="8"/>
        <v>-876531.66688078642</v>
      </c>
      <c r="K39" s="35">
        <f t="shared" si="9"/>
        <v>-8.2047077511235422E-3</v>
      </c>
      <c r="L39" s="9">
        <f t="shared" si="3"/>
        <v>8.2047077511235422E-3</v>
      </c>
      <c r="M39" s="122">
        <f t="shared" si="4"/>
        <v>768307763044.80994</v>
      </c>
      <c r="N39" s="122">
        <f t="shared" si="5"/>
        <v>638456.26602095366</v>
      </c>
      <c r="O39" s="122">
        <f t="shared" si="6"/>
        <v>407626403621.41876</v>
      </c>
      <c r="P39"/>
    </row>
    <row r="40" spans="1:18" x14ac:dyDescent="0.2">
      <c r="A40" s="42">
        <v>43159</v>
      </c>
      <c r="B40" s="43">
        <v>92654330.237628967</v>
      </c>
      <c r="C40" s="124">
        <v>28</v>
      </c>
      <c r="D40" s="124">
        <v>0</v>
      </c>
      <c r="E40" s="148">
        <v>591.35000000000014</v>
      </c>
      <c r="F40" s="148">
        <v>0</v>
      </c>
      <c r="G40" s="148">
        <v>0</v>
      </c>
      <c r="H40" s="158">
        <v>24396362</v>
      </c>
      <c r="I40" s="43">
        <f t="shared" si="7"/>
        <v>96141972.046883732</v>
      </c>
      <c r="J40" s="26">
        <f t="shared" si="8"/>
        <v>3487641.8092547655</v>
      </c>
      <c r="K40" s="35">
        <f t="shared" si="9"/>
        <v>3.7641433490588842E-2</v>
      </c>
      <c r="L40" s="9">
        <f t="shared" si="3"/>
        <v>3.7641433490588842E-2</v>
      </c>
      <c r="M40" s="122">
        <f t="shared" si="4"/>
        <v>12163645389661.854</v>
      </c>
      <c r="N40" s="122">
        <f t="shared" si="5"/>
        <v>4364173.4761355519</v>
      </c>
      <c r="O40" s="122">
        <f t="shared" si="6"/>
        <v>19046010129805.066</v>
      </c>
      <c r="P40"/>
    </row>
    <row r="41" spans="1:18" x14ac:dyDescent="0.2">
      <c r="A41" s="42">
        <v>43190</v>
      </c>
      <c r="B41" s="43">
        <v>101071823.28199148</v>
      </c>
      <c r="C41" s="124">
        <v>31</v>
      </c>
      <c r="D41" s="124">
        <v>1</v>
      </c>
      <c r="E41" s="148">
        <v>501.71499999999986</v>
      </c>
      <c r="F41" s="148">
        <v>0</v>
      </c>
      <c r="G41" s="148">
        <v>0</v>
      </c>
      <c r="H41" s="158">
        <v>27480792</v>
      </c>
      <c r="I41" s="43">
        <f t="shared" si="7"/>
        <v>99674981.70937942</v>
      </c>
      <c r="J41" s="26">
        <f t="shared" si="8"/>
        <v>-1396841.5726120621</v>
      </c>
      <c r="K41" s="35">
        <f t="shared" si="9"/>
        <v>-1.3820286675890461E-2</v>
      </c>
      <c r="L41" s="9">
        <f t="shared" si="3"/>
        <v>1.3820286675890461E-2</v>
      </c>
      <c r="M41" s="122">
        <f t="shared" si="4"/>
        <v>1951166378977.3389</v>
      </c>
      <c r="N41" s="122">
        <f t="shared" si="5"/>
        <v>-4884483.3818668276</v>
      </c>
      <c r="O41" s="122">
        <f t="shared" si="6"/>
        <v>23858177907733.203</v>
      </c>
      <c r="P41"/>
    </row>
    <row r="42" spans="1:18" x14ac:dyDescent="0.2">
      <c r="A42" s="42">
        <v>43220</v>
      </c>
      <c r="B42" s="43">
        <v>93424244.17456235</v>
      </c>
      <c r="C42" s="124">
        <v>30</v>
      </c>
      <c r="D42" s="124">
        <v>1</v>
      </c>
      <c r="E42" s="148">
        <v>325.64</v>
      </c>
      <c r="F42" s="148">
        <v>0.44000000000000006</v>
      </c>
      <c r="G42" s="148">
        <v>0</v>
      </c>
      <c r="H42" s="158">
        <v>26263629</v>
      </c>
      <c r="I42" s="43">
        <f t="shared" si="7"/>
        <v>91993407.31665729</v>
      </c>
      <c r="J42" s="26">
        <f t="shared" si="8"/>
        <v>-1430836.8579050601</v>
      </c>
      <c r="K42" s="35">
        <f t="shared" si="9"/>
        <v>-1.531547694655741E-2</v>
      </c>
      <c r="L42" s="9">
        <f t="shared" si="3"/>
        <v>1.531547694655741E-2</v>
      </c>
      <c r="M42" s="122">
        <f t="shared" si="4"/>
        <v>2047294113939.625</v>
      </c>
      <c r="N42" s="122">
        <f t="shared" si="5"/>
        <v>-33995.285292997956</v>
      </c>
      <c r="O42" s="122">
        <f t="shared" si="6"/>
        <v>1155679422.1523232</v>
      </c>
      <c r="P42"/>
    </row>
    <row r="43" spans="1:18" x14ac:dyDescent="0.2">
      <c r="A43" s="42">
        <v>43251</v>
      </c>
      <c r="B43" s="43">
        <v>97612492.722926408</v>
      </c>
      <c r="C43" s="124">
        <v>31</v>
      </c>
      <c r="D43" s="124">
        <v>1</v>
      </c>
      <c r="E43" s="148">
        <v>142.04000000000002</v>
      </c>
      <c r="F43" s="148">
        <v>24.169999999999998</v>
      </c>
      <c r="G43" s="148">
        <v>0</v>
      </c>
      <c r="H43" s="158">
        <v>28175765</v>
      </c>
      <c r="I43" s="43">
        <f t="shared" si="7"/>
        <v>98674797.631280318</v>
      </c>
      <c r="J43" s="26">
        <f t="shared" si="8"/>
        <v>1062304.9083539099</v>
      </c>
      <c r="K43" s="35">
        <f t="shared" si="9"/>
        <v>1.0882878602119794E-2</v>
      </c>
      <c r="L43" s="9">
        <f t="shared" si="3"/>
        <v>1.0882878602119794E-2</v>
      </c>
      <c r="M43" s="122">
        <f t="shared" si="4"/>
        <v>1128491718312.8088</v>
      </c>
      <c r="N43" s="122">
        <f t="shared" si="5"/>
        <v>2493141.7662589699</v>
      </c>
      <c r="O43" s="122">
        <f t="shared" si="6"/>
        <v>6215755866664.8965</v>
      </c>
      <c r="P43"/>
    </row>
    <row r="44" spans="1:18" x14ac:dyDescent="0.2">
      <c r="A44" s="42">
        <v>43281</v>
      </c>
      <c r="B44" s="43">
        <v>104955145.50925486</v>
      </c>
      <c r="C44" s="124">
        <v>30</v>
      </c>
      <c r="D44" s="124">
        <v>0</v>
      </c>
      <c r="E44" s="148">
        <v>27.95</v>
      </c>
      <c r="F44" s="148">
        <v>65.360000000000014</v>
      </c>
      <c r="G44" s="148">
        <v>0</v>
      </c>
      <c r="H44" s="158">
        <v>28179726</v>
      </c>
      <c r="I44" s="43">
        <f t="shared" si="7"/>
        <v>109762181.32288215</v>
      </c>
      <c r="J44" s="26">
        <f t="shared" si="8"/>
        <v>4807035.8136272877</v>
      </c>
      <c r="K44" s="35">
        <f t="shared" si="9"/>
        <v>4.5800858931717717E-2</v>
      </c>
      <c r="L44" s="9">
        <f t="shared" si="3"/>
        <v>4.5800858931717717E-2</v>
      </c>
      <c r="M44" s="122">
        <f t="shared" si="4"/>
        <v>23107593313495.359</v>
      </c>
      <c r="N44" s="122">
        <f t="shared" si="5"/>
        <v>3744730.9052733779</v>
      </c>
      <c r="O44" s="122">
        <f t="shared" si="6"/>
        <v>14023009552909.572</v>
      </c>
      <c r="P44"/>
    </row>
    <row r="45" spans="1:18" x14ac:dyDescent="0.2">
      <c r="A45" s="42">
        <v>43312</v>
      </c>
      <c r="B45" s="43">
        <v>122708878.94298916</v>
      </c>
      <c r="C45" s="124">
        <v>31</v>
      </c>
      <c r="D45" s="124">
        <v>0</v>
      </c>
      <c r="E45" s="148">
        <v>4.17</v>
      </c>
      <c r="F45" s="148">
        <v>111.47499999999999</v>
      </c>
      <c r="G45" s="148">
        <v>0</v>
      </c>
      <c r="H45" s="158">
        <v>24785543</v>
      </c>
      <c r="I45" s="43">
        <f t="shared" si="7"/>
        <v>120567573.28386146</v>
      </c>
      <c r="J45" s="26">
        <f t="shared" si="8"/>
        <v>-2141305.6591276973</v>
      </c>
      <c r="K45" s="35">
        <f t="shared" si="9"/>
        <v>-1.745029110829505E-2</v>
      </c>
      <c r="L45" s="9">
        <f t="shared" si="3"/>
        <v>1.745029110829505E-2</v>
      </c>
      <c r="M45" s="122">
        <f t="shared" si="4"/>
        <v>4585189925812.3027</v>
      </c>
      <c r="N45" s="122">
        <f t="shared" si="5"/>
        <v>-6948341.4727549851</v>
      </c>
      <c r="O45" s="122">
        <f t="shared" si="6"/>
        <v>48279449222006.914</v>
      </c>
      <c r="P45"/>
    </row>
    <row r="46" spans="1:18" x14ac:dyDescent="0.2">
      <c r="A46" s="42">
        <v>43343</v>
      </c>
      <c r="B46" s="43">
        <v>125658529.45404264</v>
      </c>
      <c r="C46" s="124">
        <v>31</v>
      </c>
      <c r="D46" s="124">
        <v>0</v>
      </c>
      <c r="E46" s="148">
        <v>10.350000000000001</v>
      </c>
      <c r="F46" s="148">
        <v>89.284999999999997</v>
      </c>
      <c r="G46" s="148">
        <v>0</v>
      </c>
      <c r="H46" s="158">
        <v>28118914</v>
      </c>
      <c r="I46" s="43">
        <f t="shared" si="7"/>
        <v>118223646.8393244</v>
      </c>
      <c r="J46" s="26">
        <f t="shared" si="8"/>
        <v>-7434882.6147182435</v>
      </c>
      <c r="K46" s="35">
        <f t="shared" si="9"/>
        <v>-5.9167353358511317E-2</v>
      </c>
      <c r="L46" s="9">
        <f t="shared" si="3"/>
        <v>5.9167353358511317E-2</v>
      </c>
      <c r="M46" s="122">
        <f t="shared" si="4"/>
        <v>55277479494639.586</v>
      </c>
      <c r="N46" s="122">
        <f t="shared" si="5"/>
        <v>-5293576.9555905461</v>
      </c>
      <c r="O46" s="122">
        <f t="shared" si="6"/>
        <v>28021956984759.273</v>
      </c>
      <c r="P46"/>
    </row>
    <row r="47" spans="1:18" x14ac:dyDescent="0.2">
      <c r="A47" s="42">
        <v>43373</v>
      </c>
      <c r="B47" s="43">
        <v>108129936.19218436</v>
      </c>
      <c r="C47" s="124">
        <v>30</v>
      </c>
      <c r="D47" s="124">
        <v>0</v>
      </c>
      <c r="E47" s="148">
        <v>48.02</v>
      </c>
      <c r="F47" s="148">
        <v>44.279999999999994</v>
      </c>
      <c r="G47" s="148">
        <v>0</v>
      </c>
      <c r="H47" s="158">
        <v>26444395</v>
      </c>
      <c r="I47" s="43">
        <f t="shared" si="7"/>
        <v>103148211.05413543</v>
      </c>
      <c r="J47" s="26">
        <f t="shared" si="8"/>
        <v>-4981725.138048932</v>
      </c>
      <c r="K47" s="35">
        <f t="shared" si="9"/>
        <v>-4.6071655209290796E-2</v>
      </c>
      <c r="L47" s="9">
        <f t="shared" si="3"/>
        <v>4.6071655209290796E-2</v>
      </c>
      <c r="M47" s="122">
        <f t="shared" si="4"/>
        <v>24817585351068.648</v>
      </c>
      <c r="N47" s="122">
        <f t="shared" si="5"/>
        <v>2453157.4766693115</v>
      </c>
      <c r="O47" s="122">
        <f t="shared" si="6"/>
        <v>6017981605338.5439</v>
      </c>
      <c r="P47"/>
    </row>
    <row r="48" spans="1:18" x14ac:dyDescent="0.2">
      <c r="A48" s="42">
        <v>43404</v>
      </c>
      <c r="B48" s="43">
        <v>98672488.174848199</v>
      </c>
      <c r="C48" s="124">
        <v>31</v>
      </c>
      <c r="D48" s="124">
        <v>1</v>
      </c>
      <c r="E48" s="148">
        <v>202.59500000000003</v>
      </c>
      <c r="F48" s="148">
        <v>7.6800000000000015</v>
      </c>
      <c r="G48" s="148">
        <v>0</v>
      </c>
      <c r="H48" s="158">
        <v>28462067</v>
      </c>
      <c r="I48" s="43">
        <f t="shared" si="7"/>
        <v>96054362.564961866</v>
      </c>
      <c r="J48" s="26">
        <f t="shared" si="8"/>
        <v>-2618125.6098863333</v>
      </c>
      <c r="K48" s="35">
        <f t="shared" si="9"/>
        <v>-2.6533491333947109E-2</v>
      </c>
      <c r="L48" s="9">
        <f t="shared" si="3"/>
        <v>2.6533491333947109E-2</v>
      </c>
      <c r="M48" s="122">
        <f t="shared" si="4"/>
        <v>6854581709142.6846</v>
      </c>
      <c r="N48" s="122">
        <f t="shared" si="5"/>
        <v>2363599.5281625986</v>
      </c>
      <c r="O48" s="122">
        <f t="shared" si="6"/>
        <v>5586602729530.459</v>
      </c>
      <c r="P48"/>
    </row>
    <row r="49" spans="1:16" x14ac:dyDescent="0.2">
      <c r="A49" s="42">
        <v>43434</v>
      </c>
      <c r="B49" s="43">
        <v>99695234.883144855</v>
      </c>
      <c r="C49" s="124">
        <v>30</v>
      </c>
      <c r="D49" s="124">
        <v>1</v>
      </c>
      <c r="E49" s="148">
        <v>394.15</v>
      </c>
      <c r="F49" s="148">
        <v>0.43000000000000005</v>
      </c>
      <c r="G49" s="148">
        <v>0</v>
      </c>
      <c r="H49" s="158">
        <v>27990486</v>
      </c>
      <c r="I49" s="43">
        <f t="shared" si="7"/>
        <v>95139796.991602615</v>
      </c>
      <c r="J49" s="26">
        <f t="shared" si="8"/>
        <v>-4555437.891542241</v>
      </c>
      <c r="K49" s="35">
        <f t="shared" si="9"/>
        <v>-4.5693637182176033E-2</v>
      </c>
      <c r="L49" s="9">
        <f t="shared" si="3"/>
        <v>4.5693637182176033E-2</v>
      </c>
      <c r="M49" s="122">
        <f t="shared" si="4"/>
        <v>20752014383698.816</v>
      </c>
      <c r="N49" s="122">
        <f t="shared" si="5"/>
        <v>-1937312.2816559076</v>
      </c>
      <c r="O49" s="122">
        <f t="shared" si="6"/>
        <v>3753178876654.8188</v>
      </c>
      <c r="P49"/>
    </row>
    <row r="50" spans="1:16" x14ac:dyDescent="0.2">
      <c r="A50" s="42">
        <v>43465</v>
      </c>
      <c r="B50" s="43">
        <v>99245234.492302865</v>
      </c>
      <c r="C50" s="124">
        <v>31</v>
      </c>
      <c r="D50" s="124">
        <v>0</v>
      </c>
      <c r="E50" s="148">
        <v>538.66000000000008</v>
      </c>
      <c r="F50" s="148">
        <v>0</v>
      </c>
      <c r="G50" s="148">
        <v>0</v>
      </c>
      <c r="H50" s="158">
        <v>24418226</v>
      </c>
      <c r="I50" s="43">
        <f t="shared" si="7"/>
        <v>103375760.71584235</v>
      </c>
      <c r="J50" s="26">
        <f t="shared" si="8"/>
        <v>4130526.2235394865</v>
      </c>
      <c r="K50" s="35">
        <f t="shared" si="9"/>
        <v>4.161939104350483E-2</v>
      </c>
      <c r="L50" s="9">
        <f t="shared" si="3"/>
        <v>4.161939104350483E-2</v>
      </c>
      <c r="M50" s="122">
        <f t="shared" si="4"/>
        <v>17061246883347.373</v>
      </c>
      <c r="N50" s="122">
        <f t="shared" si="5"/>
        <v>8685964.1150817275</v>
      </c>
      <c r="O50" s="122">
        <f t="shared" si="6"/>
        <v>75445972608487.5</v>
      </c>
      <c r="P50"/>
    </row>
    <row r="51" spans="1:16" x14ac:dyDescent="0.2">
      <c r="A51" s="42">
        <v>43496</v>
      </c>
      <c r="B51" s="43">
        <v>107535273.41986367</v>
      </c>
      <c r="C51" s="124">
        <v>31</v>
      </c>
      <c r="D51" s="124">
        <v>0</v>
      </c>
      <c r="E51" s="148">
        <v>664.15000000000009</v>
      </c>
      <c r="F51" s="148">
        <v>0</v>
      </c>
      <c r="G51" s="148">
        <v>0</v>
      </c>
      <c r="H51" s="158">
        <v>25785115</v>
      </c>
      <c r="I51" s="43">
        <f t="shared" si="7"/>
        <v>107422598.92039889</v>
      </c>
      <c r="J51" s="26">
        <f t="shared" si="8"/>
        <v>-112674.49946478009</v>
      </c>
      <c r="K51" s="35">
        <f t="shared" si="9"/>
        <v>-1.0477910724683861E-3</v>
      </c>
      <c r="L51" s="9">
        <f t="shared" si="3"/>
        <v>1.0477910724683861E-3</v>
      </c>
      <c r="M51" s="122">
        <f t="shared" si="4"/>
        <v>12695542829.638729</v>
      </c>
      <c r="N51" s="122">
        <f t="shared" si="5"/>
        <v>-4243200.7230042666</v>
      </c>
      <c r="O51" s="122">
        <f t="shared" si="6"/>
        <v>18004752375703.93</v>
      </c>
      <c r="P51"/>
    </row>
    <row r="52" spans="1:16" x14ac:dyDescent="0.2">
      <c r="A52" s="42">
        <v>43524</v>
      </c>
      <c r="B52" s="43">
        <v>96859354.592762962</v>
      </c>
      <c r="C52" s="124">
        <v>28</v>
      </c>
      <c r="D52" s="124">
        <v>0</v>
      </c>
      <c r="E52" s="148">
        <v>591.35000000000014</v>
      </c>
      <c r="F52" s="148">
        <v>0</v>
      </c>
      <c r="G52" s="148">
        <v>0</v>
      </c>
      <c r="H52" s="158">
        <v>24283797</v>
      </c>
      <c r="I52" s="43">
        <f t="shared" si="7"/>
        <v>96034113.677831873</v>
      </c>
      <c r="J52" s="26">
        <f t="shared" si="8"/>
        <v>-825240.91493108869</v>
      </c>
      <c r="K52" s="35">
        <f t="shared" si="9"/>
        <v>-8.51999188308393E-3</v>
      </c>
      <c r="L52" s="9">
        <f t="shared" si="3"/>
        <v>8.51999188308393E-3</v>
      </c>
      <c r="M52" s="122">
        <f t="shared" si="4"/>
        <v>681022567676.30029</v>
      </c>
      <c r="N52" s="122">
        <f t="shared" si="5"/>
        <v>-712566.41546630859</v>
      </c>
      <c r="O52" s="122">
        <f t="shared" si="6"/>
        <v>507750896450.50391</v>
      </c>
      <c r="P52"/>
    </row>
    <row r="53" spans="1:16" x14ac:dyDescent="0.2">
      <c r="A53" s="42">
        <v>43555</v>
      </c>
      <c r="B53" s="43">
        <v>101305036.83655693</v>
      </c>
      <c r="C53" s="124">
        <v>31</v>
      </c>
      <c r="D53" s="124">
        <v>1</v>
      </c>
      <c r="E53" s="148">
        <v>501.71499999999986</v>
      </c>
      <c r="F53" s="148">
        <v>0</v>
      </c>
      <c r="G53" s="148">
        <v>0</v>
      </c>
      <c r="H53" s="158">
        <v>27688795</v>
      </c>
      <c r="I53" s="43">
        <f t="shared" si="7"/>
        <v>99874287.571218312</v>
      </c>
      <c r="J53" s="26">
        <f t="shared" si="8"/>
        <v>-1430749.2653386146</v>
      </c>
      <c r="K53" s="35">
        <f t="shared" si="9"/>
        <v>-1.4123179952512633E-2</v>
      </c>
      <c r="L53" s="9">
        <f t="shared" si="3"/>
        <v>1.4123179952512633E-2</v>
      </c>
      <c r="M53" s="122">
        <f t="shared" si="4"/>
        <v>2047043460266.9854</v>
      </c>
      <c r="N53" s="122">
        <f t="shared" si="5"/>
        <v>-605508.3504075259</v>
      </c>
      <c r="O53" s="122">
        <f t="shared" si="6"/>
        <v>366640362413.24316</v>
      </c>
      <c r="P53"/>
    </row>
    <row r="54" spans="1:16" x14ac:dyDescent="0.2">
      <c r="A54" s="42">
        <v>43585</v>
      </c>
      <c r="B54" s="43">
        <v>89056447.545817196</v>
      </c>
      <c r="C54" s="124">
        <v>30</v>
      </c>
      <c r="D54" s="124">
        <v>1</v>
      </c>
      <c r="E54" s="148">
        <v>325.64</v>
      </c>
      <c r="F54" s="148">
        <v>0.44000000000000006</v>
      </c>
      <c r="G54" s="148">
        <v>0</v>
      </c>
      <c r="H54" s="158">
        <v>26428544</v>
      </c>
      <c r="I54" s="43">
        <f t="shared" si="7"/>
        <v>92151426.798131883</v>
      </c>
      <c r="J54" s="26">
        <f t="shared" si="8"/>
        <v>3094979.2523146868</v>
      </c>
      <c r="K54" s="35">
        <f t="shared" si="9"/>
        <v>3.475300595975829E-2</v>
      </c>
      <c r="L54" s="9">
        <f t="shared" si="3"/>
        <v>3.475300595975829E-2</v>
      </c>
      <c r="M54" s="122">
        <f t="shared" si="4"/>
        <v>9578896572258.377</v>
      </c>
      <c r="N54" s="122">
        <f t="shared" si="5"/>
        <v>4525728.5176533014</v>
      </c>
      <c r="O54" s="122">
        <f t="shared" si="6"/>
        <v>20482218615500.348</v>
      </c>
      <c r="P54"/>
    </row>
    <row r="55" spans="1:16" x14ac:dyDescent="0.2">
      <c r="A55" s="42">
        <v>43616</v>
      </c>
      <c r="B55" s="43">
        <v>91298977.245728895</v>
      </c>
      <c r="C55" s="124">
        <v>31</v>
      </c>
      <c r="D55" s="124">
        <v>1</v>
      </c>
      <c r="E55" s="148">
        <v>142.04000000000002</v>
      </c>
      <c r="F55" s="148">
        <v>24.169999999999998</v>
      </c>
      <c r="G55" s="148">
        <v>0</v>
      </c>
      <c r="H55" s="158">
        <v>29199081</v>
      </c>
      <c r="I55" s="43">
        <f t="shared" si="7"/>
        <v>99655326.168433756</v>
      </c>
      <c r="J55" s="26">
        <f t="shared" si="8"/>
        <v>8356348.9227048606</v>
      </c>
      <c r="K55" s="35">
        <f t="shared" si="9"/>
        <v>9.1527300467057343E-2</v>
      </c>
      <c r="L55" s="9">
        <f t="shared" si="3"/>
        <v>9.1527300467057343E-2</v>
      </c>
      <c r="M55" s="122">
        <f t="shared" si="4"/>
        <v>69828567317990.688</v>
      </c>
      <c r="N55" s="122">
        <f t="shared" si="5"/>
        <v>5261369.6703901738</v>
      </c>
      <c r="O55" s="122">
        <f t="shared" si="6"/>
        <v>27682010808501.605</v>
      </c>
      <c r="P55"/>
    </row>
    <row r="56" spans="1:16" x14ac:dyDescent="0.2">
      <c r="A56" s="42">
        <v>43646</v>
      </c>
      <c r="B56" s="43">
        <v>97475324.66641596</v>
      </c>
      <c r="C56" s="124">
        <v>30</v>
      </c>
      <c r="D56" s="124">
        <v>0</v>
      </c>
      <c r="E56" s="148">
        <v>27.95</v>
      </c>
      <c r="F56" s="148">
        <v>65.360000000000014</v>
      </c>
      <c r="G56" s="148">
        <v>0</v>
      </c>
      <c r="H56" s="158">
        <v>27741318</v>
      </c>
      <c r="I56" s="43">
        <f t="shared" si="7"/>
        <v>109342104.28419971</v>
      </c>
      <c r="J56" s="26">
        <f t="shared" si="8"/>
        <v>11866779.617783755</v>
      </c>
      <c r="K56" s="35">
        <f t="shared" si="9"/>
        <v>0.12174137053038533</v>
      </c>
      <c r="L56" s="9">
        <f t="shared" si="3"/>
        <v>0.12174137053038533</v>
      </c>
      <c r="M56" s="122">
        <f t="shared" si="4"/>
        <v>140820458497047.97</v>
      </c>
      <c r="N56" s="122">
        <f t="shared" si="5"/>
        <v>3510430.6950788945</v>
      </c>
      <c r="O56" s="122">
        <f t="shared" si="6"/>
        <v>12323123664952.09</v>
      </c>
      <c r="P56"/>
    </row>
    <row r="57" spans="1:16" x14ac:dyDescent="0.2">
      <c r="A57" s="42">
        <v>43677</v>
      </c>
      <c r="B57" s="43">
        <v>124837774.26326104</v>
      </c>
      <c r="C57" s="124">
        <v>31</v>
      </c>
      <c r="D57" s="124">
        <v>0</v>
      </c>
      <c r="E57" s="148">
        <v>4.17</v>
      </c>
      <c r="F57" s="148">
        <v>111.47499999999999</v>
      </c>
      <c r="G57" s="148">
        <v>0</v>
      </c>
      <c r="H57" s="158">
        <v>24905053</v>
      </c>
      <c r="I57" s="43">
        <f t="shared" si="7"/>
        <v>120682086.264676</v>
      </c>
      <c r="J57" s="26">
        <f t="shared" si="8"/>
        <v>-4155687.9985850304</v>
      </c>
      <c r="K57" s="35">
        <f t="shared" si="9"/>
        <v>-3.328870626787539E-2</v>
      </c>
      <c r="L57" s="9">
        <f t="shared" si="3"/>
        <v>3.328870626787539E-2</v>
      </c>
      <c r="M57" s="122">
        <f t="shared" si="4"/>
        <v>17269742741583.656</v>
      </c>
      <c r="N57" s="122">
        <f t="shared" si="5"/>
        <v>-16022467.616368786</v>
      </c>
      <c r="O57" s="122">
        <f t="shared" si="6"/>
        <v>256719468517586.44</v>
      </c>
      <c r="P57"/>
    </row>
    <row r="58" spans="1:16" x14ac:dyDescent="0.2">
      <c r="A58" s="42">
        <v>43708</v>
      </c>
      <c r="B58" s="43">
        <v>118141073.69349033</v>
      </c>
      <c r="C58" s="124">
        <v>31</v>
      </c>
      <c r="D58" s="124">
        <v>0</v>
      </c>
      <c r="E58" s="148">
        <v>10.350000000000001</v>
      </c>
      <c r="F58" s="148">
        <v>89.284999999999997</v>
      </c>
      <c r="G58" s="148">
        <v>0</v>
      </c>
      <c r="H58" s="158">
        <v>27300101</v>
      </c>
      <c r="I58" s="43">
        <f t="shared" si="7"/>
        <v>117439070.50797395</v>
      </c>
      <c r="J58" s="26">
        <f t="shared" si="8"/>
        <v>-702003.18551637232</v>
      </c>
      <c r="K58" s="35">
        <f t="shared" si="9"/>
        <v>-5.9420755506055072E-3</v>
      </c>
      <c r="L58" s="9">
        <f t="shared" si="3"/>
        <v>5.9420755506055072E-3</v>
      </c>
      <c r="M58" s="122">
        <f t="shared" si="4"/>
        <v>492808472475.13428</v>
      </c>
      <c r="N58" s="122">
        <f t="shared" si="5"/>
        <v>3453684.8130686581</v>
      </c>
      <c r="O58" s="122">
        <f t="shared" si="6"/>
        <v>11927938788021.092</v>
      </c>
      <c r="P58"/>
    </row>
    <row r="59" spans="1:16" x14ac:dyDescent="0.2">
      <c r="A59" s="42">
        <v>43738</v>
      </c>
      <c r="B59" s="43">
        <v>103250132.30306661</v>
      </c>
      <c r="C59" s="124">
        <v>30</v>
      </c>
      <c r="D59" s="124">
        <v>0</v>
      </c>
      <c r="E59" s="148">
        <v>48.02</v>
      </c>
      <c r="F59" s="148">
        <v>44.279999999999994</v>
      </c>
      <c r="G59" s="148">
        <v>0</v>
      </c>
      <c r="H59" s="158">
        <v>26985608</v>
      </c>
      <c r="I59" s="43">
        <f t="shared" si="7"/>
        <v>103666794.55246675</v>
      </c>
      <c r="J59" s="26">
        <f t="shared" si="8"/>
        <v>416662.24940013885</v>
      </c>
      <c r="K59" s="35">
        <f t="shared" si="9"/>
        <v>4.0354645568600753E-3</v>
      </c>
      <c r="L59" s="9">
        <f t="shared" si="3"/>
        <v>4.0354645568600753E-3</v>
      </c>
      <c r="M59" s="122">
        <f t="shared" si="4"/>
        <v>173607430075.1835</v>
      </c>
      <c r="N59" s="122">
        <f t="shared" si="5"/>
        <v>1118665.4349165112</v>
      </c>
      <c r="O59" s="122">
        <f t="shared" si="6"/>
        <v>1251412355276.947</v>
      </c>
      <c r="P59"/>
    </row>
    <row r="60" spans="1:16" x14ac:dyDescent="0.2">
      <c r="A60" s="42">
        <v>43769</v>
      </c>
      <c r="B60" s="43">
        <v>95937832.409395814</v>
      </c>
      <c r="C60" s="124">
        <v>31</v>
      </c>
      <c r="D60" s="124">
        <v>1</v>
      </c>
      <c r="E60" s="148">
        <v>202.59500000000003</v>
      </c>
      <c r="F60" s="148">
        <v>7.6800000000000015</v>
      </c>
      <c r="G60" s="148">
        <v>0</v>
      </c>
      <c r="H60" s="158">
        <v>27257415</v>
      </c>
      <c r="I60" s="43">
        <f t="shared" si="7"/>
        <v>94900080.150400817</v>
      </c>
      <c r="J60" s="26">
        <f t="shared" si="8"/>
        <v>-1037752.2589949965</v>
      </c>
      <c r="K60" s="35">
        <f t="shared" si="9"/>
        <v>-1.0816924178217755E-2</v>
      </c>
      <c r="L60" s="9">
        <f t="shared" si="3"/>
        <v>1.0816924178217755E-2</v>
      </c>
      <c r="M60" s="122">
        <f t="shared" si="4"/>
        <v>1076929751049.2184</v>
      </c>
      <c r="N60" s="122">
        <f t="shared" si="5"/>
        <v>-1454414.5083951354</v>
      </c>
      <c r="O60" s="122">
        <f t="shared" si="6"/>
        <v>2115321562230.2634</v>
      </c>
      <c r="P60"/>
    </row>
    <row r="61" spans="1:16" x14ac:dyDescent="0.2">
      <c r="A61" s="42">
        <v>43799</v>
      </c>
      <c r="B61" s="43">
        <v>99115827.645073593</v>
      </c>
      <c r="C61" s="124">
        <v>30</v>
      </c>
      <c r="D61" s="124">
        <v>1</v>
      </c>
      <c r="E61" s="148">
        <v>394.15</v>
      </c>
      <c r="F61" s="148">
        <v>0.43000000000000005</v>
      </c>
      <c r="G61" s="148">
        <v>0</v>
      </c>
      <c r="H61" s="158">
        <v>26937494</v>
      </c>
      <c r="I61" s="43">
        <f t="shared" si="7"/>
        <v>94130833.284014478</v>
      </c>
      <c r="J61" s="26">
        <f t="shared" si="8"/>
        <v>-4984994.3610591143</v>
      </c>
      <c r="K61" s="35">
        <f t="shared" si="9"/>
        <v>-5.0294634868106113E-2</v>
      </c>
      <c r="L61" s="9">
        <f t="shared" si="3"/>
        <v>5.0294634868106113E-2</v>
      </c>
      <c r="M61" s="122">
        <f t="shared" si="4"/>
        <v>24850168779791.168</v>
      </c>
      <c r="N61" s="122">
        <f t="shared" si="5"/>
        <v>-3947242.1020641178</v>
      </c>
      <c r="O61" s="122">
        <f t="shared" si="6"/>
        <v>15580720212307.555</v>
      </c>
      <c r="P61"/>
    </row>
    <row r="62" spans="1:16" x14ac:dyDescent="0.2">
      <c r="A62" s="42">
        <v>43830</v>
      </c>
      <c r="B62" s="43">
        <v>99333506.661479488</v>
      </c>
      <c r="C62" s="124">
        <v>31</v>
      </c>
      <c r="D62" s="124">
        <v>0</v>
      </c>
      <c r="E62" s="148">
        <v>538.66000000000008</v>
      </c>
      <c r="F62" s="148">
        <v>0</v>
      </c>
      <c r="G62" s="148">
        <v>0</v>
      </c>
      <c r="H62" s="158">
        <v>24304667</v>
      </c>
      <c r="I62" s="43">
        <f t="shared" si="7"/>
        <v>103266949.90847629</v>
      </c>
      <c r="J62" s="26">
        <f t="shared" si="8"/>
        <v>3933443.2469968051</v>
      </c>
      <c r="K62" s="35">
        <f t="shared" si="9"/>
        <v>3.959835285390316E-2</v>
      </c>
      <c r="L62" s="9">
        <f t="shared" si="3"/>
        <v>3.959835285390316E-2</v>
      </c>
      <c r="M62" s="122">
        <f t="shared" si="4"/>
        <v>15471975777344.77</v>
      </c>
      <c r="N62" s="122">
        <f t="shared" si="5"/>
        <v>8918437.6080559194</v>
      </c>
      <c r="O62" s="122">
        <f t="shared" si="6"/>
        <v>79538529368786.188</v>
      </c>
      <c r="P62"/>
    </row>
    <row r="63" spans="1:16" x14ac:dyDescent="0.2">
      <c r="A63" s="42">
        <v>43861</v>
      </c>
      <c r="B63" s="43">
        <v>101727973.46398915</v>
      </c>
      <c r="C63" s="124">
        <v>31</v>
      </c>
      <c r="D63" s="124">
        <v>0</v>
      </c>
      <c r="E63" s="148">
        <v>664.15000000000009</v>
      </c>
      <c r="F63" s="148">
        <v>0</v>
      </c>
      <c r="G63" s="148">
        <v>0</v>
      </c>
      <c r="H63" s="158">
        <v>24323231</v>
      </c>
      <c r="I63" s="43">
        <f t="shared" si="7"/>
        <v>106021840.03457281</v>
      </c>
      <c r="J63" s="26">
        <f t="shared" si="8"/>
        <v>4293866.5705836564</v>
      </c>
      <c r="K63" s="35">
        <f t="shared" si="9"/>
        <v>4.2209300199061266E-2</v>
      </c>
      <c r="L63" s="9">
        <f t="shared" si="3"/>
        <v>4.2209300199061266E-2</v>
      </c>
      <c r="M63" s="122">
        <f t="shared" si="4"/>
        <v>18437290125975.852</v>
      </c>
      <c r="N63" s="122">
        <f t="shared" si="5"/>
        <v>360423.32358685136</v>
      </c>
      <c r="O63" s="122">
        <f t="shared" si="6"/>
        <v>129904972185.39217</v>
      </c>
      <c r="P63"/>
    </row>
    <row r="64" spans="1:16" x14ac:dyDescent="0.2">
      <c r="A64" s="42">
        <v>43890</v>
      </c>
      <c r="B64" s="43">
        <v>96246966.849938035</v>
      </c>
      <c r="C64" s="124">
        <v>29</v>
      </c>
      <c r="D64" s="124">
        <v>0</v>
      </c>
      <c r="E64" s="148">
        <v>591.35000000000014</v>
      </c>
      <c r="F64" s="148">
        <v>0</v>
      </c>
      <c r="G64" s="148">
        <v>0</v>
      </c>
      <c r="H64" s="158">
        <v>24448125</v>
      </c>
      <c r="I64" s="43">
        <f t="shared" si="7"/>
        <v>98978929.776762947</v>
      </c>
      <c r="J64" s="26">
        <f t="shared" si="8"/>
        <v>2731962.9268249124</v>
      </c>
      <c r="K64" s="35">
        <f t="shared" si="9"/>
        <v>2.8384924909731546E-2</v>
      </c>
      <c r="L64" s="9">
        <f t="shared" si="3"/>
        <v>2.8384924909731546E-2</v>
      </c>
      <c r="M64" s="122">
        <f t="shared" si="4"/>
        <v>7463621433545.7422</v>
      </c>
      <c r="N64" s="122">
        <f t="shared" si="5"/>
        <v>-1561903.643758744</v>
      </c>
      <c r="O64" s="122">
        <f t="shared" si="6"/>
        <v>2439542992386.8413</v>
      </c>
      <c r="P64"/>
    </row>
    <row r="65" spans="1:16" x14ac:dyDescent="0.2">
      <c r="A65" s="42">
        <v>43921</v>
      </c>
      <c r="B65" s="43">
        <v>93303821.743051916</v>
      </c>
      <c r="C65" s="124">
        <v>31</v>
      </c>
      <c r="D65" s="124">
        <v>1</v>
      </c>
      <c r="E65" s="148">
        <v>501.71499999999986</v>
      </c>
      <c r="F65" s="148">
        <v>0</v>
      </c>
      <c r="G65" s="149">
        <v>0.5</v>
      </c>
      <c r="H65" s="158">
        <v>23426971</v>
      </c>
      <c r="I65" s="43">
        <f t="shared" si="7"/>
        <v>92835916.639877677</v>
      </c>
      <c r="J65" s="26">
        <f t="shared" si="8"/>
        <v>-467905.1031742394</v>
      </c>
      <c r="K65" s="35">
        <f t="shared" si="9"/>
        <v>-5.0148546376031274E-3</v>
      </c>
      <c r="L65" s="9">
        <f t="shared" si="3"/>
        <v>5.0148546376031274E-3</v>
      </c>
      <c r="M65" s="122">
        <f t="shared" si="4"/>
        <v>218935185576.49561</v>
      </c>
      <c r="N65" s="122">
        <f t="shared" si="5"/>
        <v>-3199868.0299991518</v>
      </c>
      <c r="O65" s="122">
        <f t="shared" si="6"/>
        <v>10239155409410.652</v>
      </c>
    </row>
    <row r="66" spans="1:16" x14ac:dyDescent="0.2">
      <c r="A66" s="42">
        <v>43951</v>
      </c>
      <c r="B66" s="43">
        <v>75450000.117405117</v>
      </c>
      <c r="C66" s="124">
        <v>30</v>
      </c>
      <c r="D66" s="124">
        <v>1</v>
      </c>
      <c r="E66" s="148">
        <v>325.64</v>
      </c>
      <c r="F66" s="148">
        <v>0.44000000000000006</v>
      </c>
      <c r="G66" s="148">
        <v>1</v>
      </c>
      <c r="H66" s="158">
        <v>13875633</v>
      </c>
      <c r="I66" s="43">
        <f t="shared" si="7"/>
        <v>74213895.741109431</v>
      </c>
      <c r="J66" s="26">
        <f t="shared" si="8"/>
        <v>-1236104.3762956858</v>
      </c>
      <c r="K66" s="35">
        <f t="shared" si="9"/>
        <v>-1.6383093099698168E-2</v>
      </c>
      <c r="L66" s="9">
        <f t="shared" si="3"/>
        <v>1.6383093099698168E-2</v>
      </c>
      <c r="M66" s="122">
        <f t="shared" si="4"/>
        <v>1527954029097.3464</v>
      </c>
      <c r="N66" s="122">
        <f t="shared" si="5"/>
        <v>-768199.27312144637</v>
      </c>
      <c r="O66" s="122">
        <f t="shared" si="6"/>
        <v>590130123224.3186</v>
      </c>
    </row>
    <row r="67" spans="1:16" x14ac:dyDescent="0.2">
      <c r="A67" s="42">
        <v>43982</v>
      </c>
      <c r="B67" s="43">
        <v>82947057.693563133</v>
      </c>
      <c r="C67" s="124">
        <v>31</v>
      </c>
      <c r="D67" s="124">
        <v>1</v>
      </c>
      <c r="E67" s="148">
        <v>142.04000000000002</v>
      </c>
      <c r="F67" s="148">
        <v>24.169999999999998</v>
      </c>
      <c r="G67" s="148">
        <v>1</v>
      </c>
      <c r="H67" s="158">
        <v>17021201</v>
      </c>
      <c r="I67" s="43">
        <f t="shared" ref="I67:I98" si="10">$R$18+$R$19*C67+$R$20*D67+$R$21*E67+$R$22*F67+$R$23*G67+$R$24*H67</f>
        <v>82077145.104783028</v>
      </c>
      <c r="J67" s="26">
        <f t="shared" ref="J67:J98" si="11">I67-B67</f>
        <v>-869912.58878010511</v>
      </c>
      <c r="K67" s="35">
        <f t="shared" ref="K67:K98" si="12">J67/B67</f>
        <v>-1.0487564151990555E-2</v>
      </c>
      <c r="L67" s="9">
        <f t="shared" si="3"/>
        <v>1.0487564151990555E-2</v>
      </c>
      <c r="M67" s="122">
        <f t="shared" si="4"/>
        <v>756747912118.10425</v>
      </c>
      <c r="N67" s="122">
        <f t="shared" si="5"/>
        <v>366191.78751558065</v>
      </c>
      <c r="O67" s="122">
        <f t="shared" si="6"/>
        <v>134096425243.85617</v>
      </c>
    </row>
    <row r="68" spans="1:16" x14ac:dyDescent="0.2">
      <c r="A68" s="42">
        <v>44012</v>
      </c>
      <c r="B68" s="43">
        <v>107234011.92917119</v>
      </c>
      <c r="C68" s="124">
        <v>30</v>
      </c>
      <c r="D68" s="124">
        <v>0</v>
      </c>
      <c r="E68" s="148">
        <v>27.95</v>
      </c>
      <c r="F68" s="148">
        <v>65.360000000000014</v>
      </c>
      <c r="G68" s="149">
        <v>0.5</v>
      </c>
      <c r="H68" s="158">
        <v>24931567</v>
      </c>
      <c r="I68" s="43">
        <f t="shared" si="10"/>
        <v>103695091.46172279</v>
      </c>
      <c r="J68" s="26">
        <f t="shared" si="11"/>
        <v>-3538920.4674483985</v>
      </c>
      <c r="K68" s="35">
        <f t="shared" si="12"/>
        <v>-3.3001847117180322E-2</v>
      </c>
      <c r="L68" s="9">
        <f t="shared" ref="L68:L121" si="13">ABS(K68)</f>
        <v>3.3001847117180322E-2</v>
      </c>
      <c r="M68" s="122">
        <f t="shared" ref="M68:M122" si="14">J68*J68</f>
        <v>12523958074925.191</v>
      </c>
      <c r="N68" s="122">
        <f t="shared" si="5"/>
        <v>-2669007.8786682934</v>
      </c>
      <c r="O68" s="122">
        <f t="shared" si="6"/>
        <v>7123603056393.4238</v>
      </c>
    </row>
    <row r="69" spans="1:16" x14ac:dyDescent="0.2">
      <c r="A69" s="42">
        <v>44043</v>
      </c>
      <c r="B69" s="43">
        <v>132543766.93619674</v>
      </c>
      <c r="C69" s="124">
        <v>31</v>
      </c>
      <c r="D69" s="124">
        <v>0</v>
      </c>
      <c r="E69" s="148">
        <v>4.17</v>
      </c>
      <c r="F69" s="148">
        <v>111.47499999999999</v>
      </c>
      <c r="G69" s="148">
        <v>0</v>
      </c>
      <c r="H69" s="158">
        <v>24260284</v>
      </c>
      <c r="I69" s="43">
        <f t="shared" si="10"/>
        <v>120064276.70792922</v>
      </c>
      <c r="J69" s="26">
        <f t="shared" si="11"/>
        <v>-12479490.228267521</v>
      </c>
      <c r="K69" s="35">
        <f t="shared" si="12"/>
        <v>-9.4153731380479291E-2</v>
      </c>
      <c r="L69" s="9">
        <f t="shared" si="13"/>
        <v>9.4153731380479291E-2</v>
      </c>
      <c r="M69" s="122">
        <f t="shared" si="14"/>
        <v>155737676357424.53</v>
      </c>
      <c r="N69" s="122">
        <f t="shared" ref="N69:N122" si="15">J69-J68</f>
        <v>-8940569.7608191222</v>
      </c>
      <c r="O69" s="122">
        <f t="shared" ref="O69:O122" si="16">N69*N69</f>
        <v>79933787648073.297</v>
      </c>
    </row>
    <row r="70" spans="1:16" x14ac:dyDescent="0.2">
      <c r="A70" s="42">
        <v>44074</v>
      </c>
      <c r="B70" s="43">
        <v>122116742.81957178</v>
      </c>
      <c r="C70" s="124">
        <v>31</v>
      </c>
      <c r="D70" s="124">
        <v>0</v>
      </c>
      <c r="E70" s="148">
        <v>10.350000000000001</v>
      </c>
      <c r="F70" s="148">
        <v>89.284999999999997</v>
      </c>
      <c r="G70" s="148">
        <v>0</v>
      </c>
      <c r="H70" s="158">
        <v>24766026</v>
      </c>
      <c r="I70" s="43">
        <f t="shared" si="10"/>
        <v>115010951.67392164</v>
      </c>
      <c r="J70" s="26">
        <f t="shared" si="11"/>
        <v>-7105791.1456501335</v>
      </c>
      <c r="K70" s="35">
        <f t="shared" si="12"/>
        <v>-5.8188508648228381E-2</v>
      </c>
      <c r="L70" s="9">
        <f t="shared" si="13"/>
        <v>5.8188508648228381E-2</v>
      </c>
      <c r="M70" s="122">
        <f t="shared" si="14"/>
        <v>50492267805599.836</v>
      </c>
      <c r="N70" s="122">
        <f t="shared" si="15"/>
        <v>5373699.0826173872</v>
      </c>
      <c r="O70" s="122">
        <f t="shared" si="16"/>
        <v>28876641830522.949</v>
      </c>
    </row>
    <row r="71" spans="1:16" x14ac:dyDescent="0.2">
      <c r="A71" s="42">
        <v>44104</v>
      </c>
      <c r="B71" s="43">
        <v>100506202.09329976</v>
      </c>
      <c r="C71" s="124">
        <v>30</v>
      </c>
      <c r="D71" s="124">
        <v>0</v>
      </c>
      <c r="E71" s="148">
        <v>48.02</v>
      </c>
      <c r="F71" s="148">
        <v>44.279999999999994</v>
      </c>
      <c r="G71" s="148">
        <v>0</v>
      </c>
      <c r="H71" s="158">
        <v>26177718</v>
      </c>
      <c r="I71" s="43">
        <f t="shared" si="10"/>
        <v>102892684.50251065</v>
      </c>
      <c r="J71" s="26">
        <f t="shared" si="11"/>
        <v>2386482.4092108905</v>
      </c>
      <c r="K71" s="35">
        <f t="shared" si="12"/>
        <v>2.3744628286675507E-2</v>
      </c>
      <c r="L71" s="9">
        <f t="shared" si="13"/>
        <v>2.3744628286675507E-2</v>
      </c>
      <c r="M71" s="122">
        <f t="shared" si="14"/>
        <v>5695298289473.0166</v>
      </c>
      <c r="N71" s="122">
        <f t="shared" si="15"/>
        <v>9492273.554861024</v>
      </c>
      <c r="O71" s="122">
        <f t="shared" si="16"/>
        <v>90103257240313.938</v>
      </c>
    </row>
    <row r="72" spans="1:16" x14ac:dyDescent="0.2">
      <c r="A72" s="42">
        <v>44135</v>
      </c>
      <c r="B72" s="43">
        <v>96549474.494415179</v>
      </c>
      <c r="C72" s="124">
        <v>31</v>
      </c>
      <c r="D72" s="124">
        <v>1</v>
      </c>
      <c r="E72" s="148">
        <v>202.59500000000003</v>
      </c>
      <c r="F72" s="148">
        <v>7.6800000000000015</v>
      </c>
      <c r="G72" s="148">
        <v>0</v>
      </c>
      <c r="H72" s="158">
        <v>26073606</v>
      </c>
      <c r="I72" s="43">
        <f t="shared" si="10"/>
        <v>93765769.236627296</v>
      </c>
      <c r="J72" s="26">
        <f t="shared" si="11"/>
        <v>-2783705.2577878833</v>
      </c>
      <c r="K72" s="35">
        <f t="shared" si="12"/>
        <v>-2.8831904806989956E-2</v>
      </c>
      <c r="L72" s="9">
        <f t="shared" si="13"/>
        <v>2.8831904806989956E-2</v>
      </c>
      <c r="M72" s="122">
        <f t="shared" si="14"/>
        <v>7749014962235.9053</v>
      </c>
      <c r="N72" s="122">
        <f t="shared" si="15"/>
        <v>-5170187.6669987738</v>
      </c>
      <c r="O72" s="122">
        <f t="shared" si="16"/>
        <v>26730840511986.223</v>
      </c>
    </row>
    <row r="73" spans="1:16" x14ac:dyDescent="0.2">
      <c r="A73" s="42">
        <v>44165</v>
      </c>
      <c r="B73" s="43">
        <v>96970533.682447717</v>
      </c>
      <c r="C73" s="124">
        <v>30</v>
      </c>
      <c r="D73" s="124">
        <v>1</v>
      </c>
      <c r="E73" s="148">
        <v>394.15</v>
      </c>
      <c r="F73" s="148">
        <v>0.43000000000000005</v>
      </c>
      <c r="G73" s="148">
        <v>0</v>
      </c>
      <c r="H73" s="158">
        <v>25421619</v>
      </c>
      <c r="I73" s="43">
        <f t="shared" si="10"/>
        <v>92678340.900178537</v>
      </c>
      <c r="J73" s="26">
        <f t="shared" si="11"/>
        <v>-4292192.7822691798</v>
      </c>
      <c r="K73" s="35">
        <f t="shared" si="12"/>
        <v>-4.4262856140659709E-2</v>
      </c>
      <c r="L73" s="9">
        <f t="shared" si="13"/>
        <v>4.4262856140659709E-2</v>
      </c>
      <c r="M73" s="122">
        <f t="shared" si="14"/>
        <v>18422918880163.645</v>
      </c>
      <c r="N73" s="122">
        <f t="shared" si="15"/>
        <v>-1508487.5244812965</v>
      </c>
      <c r="O73" s="122">
        <f t="shared" si="16"/>
        <v>2275534611515.7104</v>
      </c>
    </row>
    <row r="74" spans="1:16" x14ac:dyDescent="0.2">
      <c r="A74" s="42">
        <v>44196</v>
      </c>
      <c r="B74" s="43">
        <v>102496938.11188227</v>
      </c>
      <c r="C74" s="124">
        <v>31</v>
      </c>
      <c r="D74" s="124">
        <v>0</v>
      </c>
      <c r="E74" s="148">
        <v>538.66000000000008</v>
      </c>
      <c r="F74" s="148">
        <v>0</v>
      </c>
      <c r="G74" s="148">
        <v>0</v>
      </c>
      <c r="H74" s="158">
        <v>23882588</v>
      </c>
      <c r="I74" s="43">
        <f t="shared" si="10"/>
        <v>102862519.1124825</v>
      </c>
      <c r="J74" s="26">
        <f t="shared" si="11"/>
        <v>365581.00060023367</v>
      </c>
      <c r="K74" s="35">
        <f t="shared" si="12"/>
        <v>3.5667504545470181E-3</v>
      </c>
      <c r="L74" s="9">
        <f t="shared" si="13"/>
        <v>3.5667504545470181E-3</v>
      </c>
      <c r="M74" s="122">
        <f t="shared" si="14"/>
        <v>133649467999.86806</v>
      </c>
      <c r="N74" s="122">
        <f t="shared" si="15"/>
        <v>4657773.7828694135</v>
      </c>
      <c r="O74" s="122">
        <f t="shared" si="16"/>
        <v>21694856612385.645</v>
      </c>
    </row>
    <row r="75" spans="1:16" x14ac:dyDescent="0.2">
      <c r="A75" s="42">
        <v>44227</v>
      </c>
      <c r="B75" s="43">
        <v>104088527.65940124</v>
      </c>
      <c r="C75" s="124">
        <v>31</v>
      </c>
      <c r="D75" s="124">
        <v>0</v>
      </c>
      <c r="E75" s="148">
        <v>664.15000000000009</v>
      </c>
      <c r="F75" s="148">
        <v>0</v>
      </c>
      <c r="G75" s="148">
        <v>0</v>
      </c>
      <c r="H75" s="158">
        <v>23201982</v>
      </c>
      <c r="I75" s="43">
        <f t="shared" si="10"/>
        <v>104947473.32697247</v>
      </c>
      <c r="J75" s="26">
        <f t="shared" si="11"/>
        <v>858945.66757123172</v>
      </c>
      <c r="K75" s="35">
        <f t="shared" si="12"/>
        <v>8.2520685697647297E-3</v>
      </c>
      <c r="L75" s="9">
        <f t="shared" si="13"/>
        <v>8.2520685697647297E-3</v>
      </c>
      <c r="M75" s="122">
        <f t="shared" si="14"/>
        <v>737787659839.38892</v>
      </c>
      <c r="N75" s="122">
        <f t="shared" si="15"/>
        <v>493364.66697099805</v>
      </c>
      <c r="O75" s="122">
        <f t="shared" si="16"/>
        <v>243408694615.40381</v>
      </c>
      <c r="P75" s="36"/>
    </row>
    <row r="76" spans="1:16" x14ac:dyDescent="0.2">
      <c r="A76" s="42">
        <v>44255</v>
      </c>
      <c r="B76" s="43">
        <v>97661986.004538685</v>
      </c>
      <c r="C76" s="124">
        <v>28</v>
      </c>
      <c r="D76" s="124">
        <v>0</v>
      </c>
      <c r="E76" s="148">
        <v>591.35000000000014</v>
      </c>
      <c r="F76" s="148">
        <v>0</v>
      </c>
      <c r="G76" s="148">
        <v>0</v>
      </c>
      <c r="H76" s="158">
        <v>22541306</v>
      </c>
      <c r="I76" s="43">
        <f t="shared" si="10"/>
        <v>94364480.6893581</v>
      </c>
      <c r="J76" s="26">
        <f t="shared" si="11"/>
        <v>-3297505.3151805848</v>
      </c>
      <c r="K76" s="35">
        <f t="shared" si="12"/>
        <v>-3.3764471214289445E-2</v>
      </c>
      <c r="L76" s="9">
        <f t="shared" si="13"/>
        <v>3.3764471214289445E-2</v>
      </c>
      <c r="M76" s="122">
        <f t="shared" si="14"/>
        <v>10873541303644.207</v>
      </c>
      <c r="N76" s="122">
        <f t="shared" si="15"/>
        <v>-4156450.9827518165</v>
      </c>
      <c r="O76" s="122">
        <f t="shared" si="16"/>
        <v>17276084772018.541</v>
      </c>
    </row>
    <row r="77" spans="1:16" x14ac:dyDescent="0.2">
      <c r="A77" s="42">
        <v>44286</v>
      </c>
      <c r="B77" s="43">
        <v>98713388.067602977</v>
      </c>
      <c r="C77" s="124">
        <v>31</v>
      </c>
      <c r="D77" s="124">
        <v>1</v>
      </c>
      <c r="E77" s="148">
        <v>501.71499999999986</v>
      </c>
      <c r="F77" s="148">
        <v>0</v>
      </c>
      <c r="G77" s="148">
        <v>0</v>
      </c>
      <c r="H77" s="158">
        <v>28036090</v>
      </c>
      <c r="I77" s="43">
        <f t="shared" si="10"/>
        <v>100207061.27778667</v>
      </c>
      <c r="J77" s="26">
        <f t="shared" si="11"/>
        <v>1493673.210183695</v>
      </c>
      <c r="K77" s="35">
        <f t="shared" si="12"/>
        <v>1.5131414688763051E-2</v>
      </c>
      <c r="L77" s="9">
        <f t="shared" si="13"/>
        <v>1.5131414688763051E-2</v>
      </c>
      <c r="M77" s="122">
        <f t="shared" si="14"/>
        <v>2231059658820.4644</v>
      </c>
      <c r="N77" s="122">
        <f t="shared" si="15"/>
        <v>4791178.5253642797</v>
      </c>
      <c r="O77" s="122">
        <f t="shared" si="16"/>
        <v>22955391661911.836</v>
      </c>
    </row>
    <row r="78" spans="1:16" x14ac:dyDescent="0.2">
      <c r="A78" s="42">
        <v>44316</v>
      </c>
      <c r="B78" s="43">
        <v>88295580.927439258</v>
      </c>
      <c r="C78" s="124">
        <v>30</v>
      </c>
      <c r="D78" s="124">
        <v>1</v>
      </c>
      <c r="E78" s="148">
        <v>325.64</v>
      </c>
      <c r="F78" s="148">
        <v>0.44000000000000006</v>
      </c>
      <c r="G78" s="148">
        <v>0</v>
      </c>
      <c r="H78" s="158">
        <v>24252177</v>
      </c>
      <c r="I78" s="43">
        <f t="shared" si="10"/>
        <v>90066059.276448458</v>
      </c>
      <c r="J78" s="26">
        <f t="shared" si="11"/>
        <v>1770478.3490092009</v>
      </c>
      <c r="K78" s="35">
        <f t="shared" si="12"/>
        <v>2.0051720940192565E-2</v>
      </c>
      <c r="L78" s="9">
        <f t="shared" si="13"/>
        <v>2.0051720940192565E-2</v>
      </c>
      <c r="M78" s="122">
        <f t="shared" si="14"/>
        <v>3134593584310.3457</v>
      </c>
      <c r="N78" s="122">
        <f t="shared" si="15"/>
        <v>276805.13882550597</v>
      </c>
      <c r="O78" s="122">
        <f t="shared" si="16"/>
        <v>76621084880.207626</v>
      </c>
    </row>
    <row r="79" spans="1:16" x14ac:dyDescent="0.2">
      <c r="A79" s="42">
        <v>44347</v>
      </c>
      <c r="B79" s="43">
        <v>93370392.542211473</v>
      </c>
      <c r="C79" s="124">
        <v>31</v>
      </c>
      <c r="D79" s="124">
        <v>1</v>
      </c>
      <c r="E79" s="148">
        <v>142.04000000000002</v>
      </c>
      <c r="F79" s="148">
        <v>24.169999999999998</v>
      </c>
      <c r="G79" s="148">
        <v>0</v>
      </c>
      <c r="H79" s="158">
        <v>24670787</v>
      </c>
      <c r="I79" s="43">
        <f t="shared" si="10"/>
        <v>95316371.738305941</v>
      </c>
      <c r="J79" s="26">
        <f t="shared" si="11"/>
        <v>1945979.1960944682</v>
      </c>
      <c r="K79" s="35">
        <f t="shared" si="12"/>
        <v>2.0841501712812419E-2</v>
      </c>
      <c r="L79" s="9">
        <f t="shared" si="13"/>
        <v>2.0841501712812419E-2</v>
      </c>
      <c r="M79" s="122">
        <f t="shared" si="14"/>
        <v>3786835031632.4727</v>
      </c>
      <c r="N79" s="122">
        <f t="shared" si="15"/>
        <v>175500.84708526731</v>
      </c>
      <c r="O79" s="122">
        <f t="shared" si="16"/>
        <v>30800547327.646378</v>
      </c>
    </row>
    <row r="80" spans="1:16" x14ac:dyDescent="0.2">
      <c r="A80" s="42">
        <v>44377</v>
      </c>
      <c r="B80" s="43">
        <v>113551851.67839402</v>
      </c>
      <c r="C80" s="124">
        <v>30</v>
      </c>
      <c r="D80" s="124">
        <v>0</v>
      </c>
      <c r="E80" s="148">
        <v>27.95</v>
      </c>
      <c r="F80" s="148">
        <v>65.360000000000014</v>
      </c>
      <c r="G80" s="148">
        <v>0</v>
      </c>
      <c r="H80" s="158">
        <v>27031100</v>
      </c>
      <c r="I80" s="43">
        <f t="shared" si="10"/>
        <v>108661582.31776898</v>
      </c>
      <c r="J80" s="26">
        <f t="shared" si="11"/>
        <v>-4890269.3606250435</v>
      </c>
      <c r="K80" s="35">
        <f t="shared" si="12"/>
        <v>-4.3066399079738964E-2</v>
      </c>
      <c r="L80" s="9">
        <f t="shared" si="13"/>
        <v>4.3066399079738964E-2</v>
      </c>
      <c r="M80" s="122">
        <f t="shared" si="14"/>
        <v>23914734419468.07</v>
      </c>
      <c r="N80" s="122">
        <f t="shared" si="15"/>
        <v>-6836248.5567195117</v>
      </c>
      <c r="O80" s="122">
        <f t="shared" si="16"/>
        <v>46734294329249.609</v>
      </c>
    </row>
    <row r="81" spans="1:16" x14ac:dyDescent="0.2">
      <c r="A81" s="42">
        <v>44408</v>
      </c>
      <c r="B81" s="43">
        <v>117971615.43042192</v>
      </c>
      <c r="C81" s="124">
        <v>31</v>
      </c>
      <c r="D81" s="124">
        <v>0</v>
      </c>
      <c r="E81" s="148">
        <v>4.17</v>
      </c>
      <c r="F81" s="148">
        <v>111.47499999999999</v>
      </c>
      <c r="G81" s="148">
        <v>0</v>
      </c>
      <c r="H81" s="158">
        <v>24544535</v>
      </c>
      <c r="I81" s="43">
        <f t="shared" si="10"/>
        <v>120336642.445604</v>
      </c>
      <c r="J81" s="26">
        <f t="shared" si="11"/>
        <v>2365027.0151820779</v>
      </c>
      <c r="K81" s="35">
        <f t="shared" si="12"/>
        <v>2.0047424175325793E-2</v>
      </c>
      <c r="L81" s="9">
        <f t="shared" si="13"/>
        <v>2.0047424175325793E-2</v>
      </c>
      <c r="M81" s="122">
        <f t="shared" si="14"/>
        <v>5593352782541.0488</v>
      </c>
      <c r="N81" s="122">
        <f t="shared" si="15"/>
        <v>7255296.3758071214</v>
      </c>
      <c r="O81" s="122">
        <f t="shared" si="16"/>
        <v>52639325500799.953</v>
      </c>
      <c r="P81"/>
    </row>
    <row r="82" spans="1:16" x14ac:dyDescent="0.2">
      <c r="A82" s="42">
        <v>44439</v>
      </c>
      <c r="B82" s="43">
        <v>130469863.47873995</v>
      </c>
      <c r="C82" s="124">
        <v>31</v>
      </c>
      <c r="D82" s="124">
        <v>0</v>
      </c>
      <c r="E82" s="148">
        <v>10.350000000000001</v>
      </c>
      <c r="F82" s="148">
        <v>89.284999999999997</v>
      </c>
      <c r="G82" s="148">
        <v>0</v>
      </c>
      <c r="H82" s="158">
        <v>26790218</v>
      </c>
      <c r="I82" s="43">
        <f t="shared" si="10"/>
        <v>116950507.02210116</v>
      </c>
      <c r="J82" s="26">
        <f t="shared" si="11"/>
        <v>-13519356.456638783</v>
      </c>
      <c r="K82" s="35">
        <f t="shared" si="12"/>
        <v>-0.10362053041346028</v>
      </c>
      <c r="L82" s="9">
        <f t="shared" si="13"/>
        <v>0.10362053041346028</v>
      </c>
      <c r="M82" s="122">
        <f t="shared" si="14"/>
        <v>182772999001660.75</v>
      </c>
      <c r="N82" s="122">
        <f t="shared" si="15"/>
        <v>-15884383.471820861</v>
      </c>
      <c r="O82" s="122">
        <f t="shared" si="16"/>
        <v>252313638279855.75</v>
      </c>
      <c r="P82"/>
    </row>
    <row r="83" spans="1:16" x14ac:dyDescent="0.2">
      <c r="A83" s="42">
        <v>44469</v>
      </c>
      <c r="B83" s="43">
        <v>102644680.11281681</v>
      </c>
      <c r="C83" s="124">
        <v>30</v>
      </c>
      <c r="D83" s="124">
        <v>0</v>
      </c>
      <c r="E83" s="148">
        <v>48.02</v>
      </c>
      <c r="F83" s="148">
        <v>44.279999999999994</v>
      </c>
      <c r="G83" s="148">
        <v>0</v>
      </c>
      <c r="H83" s="158">
        <v>26666952</v>
      </c>
      <c r="I83" s="43">
        <f t="shared" si="10"/>
        <v>103361462.37595904</v>
      </c>
      <c r="J83" s="26">
        <f t="shared" si="11"/>
        <v>716782.26314222813</v>
      </c>
      <c r="K83" s="35">
        <f t="shared" si="12"/>
        <v>6.9831408929757728E-3</v>
      </c>
      <c r="L83" s="9">
        <f t="shared" si="13"/>
        <v>6.9831408929757728E-3</v>
      </c>
      <c r="M83" s="122">
        <f t="shared" si="14"/>
        <v>513776812755.29437</v>
      </c>
      <c r="N83" s="122">
        <f t="shared" si="15"/>
        <v>14236138.719781011</v>
      </c>
      <c r="O83" s="122">
        <f t="shared" si="16"/>
        <v>202667645648848.13</v>
      </c>
      <c r="P83"/>
    </row>
    <row r="84" spans="1:16" x14ac:dyDescent="0.2">
      <c r="A84" s="42">
        <v>44500</v>
      </c>
      <c r="B84" s="43">
        <v>97619119.432651818</v>
      </c>
      <c r="C84" s="124">
        <v>31</v>
      </c>
      <c r="D84" s="124">
        <v>1</v>
      </c>
      <c r="E84" s="148">
        <v>202.59500000000003</v>
      </c>
      <c r="F84" s="148">
        <v>7.6800000000000015</v>
      </c>
      <c r="G84" s="148">
        <v>0</v>
      </c>
      <c r="H84" s="158">
        <v>27970892</v>
      </c>
      <c r="I84" s="43">
        <f t="shared" si="10"/>
        <v>95583724.849694699</v>
      </c>
      <c r="J84" s="26">
        <f t="shared" si="11"/>
        <v>-2035394.5829571187</v>
      </c>
      <c r="K84" s="35">
        <f t="shared" si="12"/>
        <v>-2.0850368194125671E-2</v>
      </c>
      <c r="L84" s="9">
        <f t="shared" si="13"/>
        <v>2.0850368194125671E-2</v>
      </c>
      <c r="M84" s="122">
        <f t="shared" si="14"/>
        <v>4142831108331.1836</v>
      </c>
      <c r="N84" s="122">
        <f t="shared" si="15"/>
        <v>-2752176.8460993469</v>
      </c>
      <c r="O84" s="122">
        <f t="shared" si="16"/>
        <v>7574477392205.3477</v>
      </c>
      <c r="P84"/>
    </row>
    <row r="85" spans="1:16" x14ac:dyDescent="0.2">
      <c r="A85" s="42">
        <v>44530</v>
      </c>
      <c r="B85" s="43">
        <v>98799324.65014717</v>
      </c>
      <c r="C85" s="124">
        <v>30</v>
      </c>
      <c r="D85" s="124">
        <v>1</v>
      </c>
      <c r="E85" s="148">
        <v>394.15</v>
      </c>
      <c r="F85" s="148">
        <v>0.43000000000000005</v>
      </c>
      <c r="G85" s="148">
        <v>0</v>
      </c>
      <c r="H85" s="158">
        <v>28892274</v>
      </c>
      <c r="I85" s="43">
        <f t="shared" si="10"/>
        <v>96003878.925689951</v>
      </c>
      <c r="J85" s="26">
        <f t="shared" si="11"/>
        <v>-2795445.7244572192</v>
      </c>
      <c r="K85" s="35">
        <f t="shared" si="12"/>
        <v>-2.8294178470915844E-2</v>
      </c>
      <c r="L85" s="9">
        <f t="shared" si="13"/>
        <v>2.8294178470915844E-2</v>
      </c>
      <c r="M85" s="122">
        <f t="shared" si="14"/>
        <v>7814516798386.1475</v>
      </c>
      <c r="N85" s="122">
        <f t="shared" si="15"/>
        <v>-760051.14150010049</v>
      </c>
      <c r="O85" s="122">
        <f t="shared" si="16"/>
        <v>577677737695.60583</v>
      </c>
      <c r="P85"/>
    </row>
    <row r="86" spans="1:16" x14ac:dyDescent="0.2">
      <c r="A86" s="42">
        <v>44561</v>
      </c>
      <c r="B86" s="43">
        <v>104640080.90230054</v>
      </c>
      <c r="C86" s="124">
        <v>31</v>
      </c>
      <c r="D86" s="124">
        <v>0</v>
      </c>
      <c r="E86" s="148">
        <v>538.66000000000008</v>
      </c>
      <c r="F86" s="148">
        <v>0</v>
      </c>
      <c r="G86" s="148">
        <v>0</v>
      </c>
      <c r="H86" s="158">
        <v>27630968</v>
      </c>
      <c r="I86" s="43">
        <f t="shared" si="10"/>
        <v>106454169.7444429</v>
      </c>
      <c r="J86" s="26">
        <f t="shared" si="11"/>
        <v>1814088.8421423584</v>
      </c>
      <c r="K86" s="35">
        <f t="shared" si="12"/>
        <v>1.7336462534237922E-2</v>
      </c>
      <c r="L86" s="9">
        <f t="shared" si="13"/>
        <v>1.7336462534237922E-2</v>
      </c>
      <c r="M86" s="122">
        <f t="shared" si="14"/>
        <v>3290918327185.4028</v>
      </c>
      <c r="N86" s="122">
        <f t="shared" si="15"/>
        <v>4609534.5665995777</v>
      </c>
      <c r="O86" s="122">
        <f t="shared" si="16"/>
        <v>21247808920676.355</v>
      </c>
      <c r="P86"/>
    </row>
    <row r="87" spans="1:16" x14ac:dyDescent="0.2">
      <c r="A87" s="42">
        <v>44592</v>
      </c>
      <c r="B87" s="43">
        <v>115046345.69035631</v>
      </c>
      <c r="C87" s="124">
        <v>31</v>
      </c>
      <c r="D87" s="124">
        <v>0</v>
      </c>
      <c r="E87" s="148">
        <v>664.15000000000009</v>
      </c>
      <c r="F87" s="148">
        <v>0</v>
      </c>
      <c r="G87" s="148">
        <v>0</v>
      </c>
      <c r="H87" s="158">
        <v>25270848</v>
      </c>
      <c r="I87" s="43">
        <f t="shared" si="10"/>
        <v>106929834.74079427</v>
      </c>
      <c r="J87" s="26">
        <f t="shared" si="11"/>
        <v>-8116510.949562043</v>
      </c>
      <c r="K87" s="35">
        <f t="shared" si="12"/>
        <v>-7.0549924040241851E-2</v>
      </c>
      <c r="L87" s="9">
        <f t="shared" si="13"/>
        <v>7.0549924040241851E-2</v>
      </c>
      <c r="M87" s="122">
        <f t="shared" si="14"/>
        <v>65877749994360.539</v>
      </c>
      <c r="N87" s="122">
        <f t="shared" si="15"/>
        <v>-9930599.7917044014</v>
      </c>
      <c r="O87" s="122">
        <f t="shared" si="16"/>
        <v>98616812222999.5</v>
      </c>
      <c r="P87"/>
    </row>
    <row r="88" spans="1:16" x14ac:dyDescent="0.2">
      <c r="A88" s="42">
        <v>44620</v>
      </c>
      <c r="B88" s="43">
        <v>103232207.4484663</v>
      </c>
      <c r="C88" s="124">
        <v>28</v>
      </c>
      <c r="D88" s="124">
        <v>0</v>
      </c>
      <c r="E88" s="148">
        <v>591.35000000000014</v>
      </c>
      <c r="F88" s="148">
        <v>0</v>
      </c>
      <c r="G88" s="148">
        <v>0</v>
      </c>
      <c r="H88" s="158">
        <v>27257211</v>
      </c>
      <c r="I88" s="43">
        <f t="shared" si="10"/>
        <v>98883201.623072177</v>
      </c>
      <c r="J88" s="26">
        <f t="shared" si="11"/>
        <v>-4349005.8253941238</v>
      </c>
      <c r="K88" s="35">
        <f t="shared" si="12"/>
        <v>-4.2128381567013908E-2</v>
      </c>
      <c r="L88" s="9">
        <f t="shared" si="13"/>
        <v>4.2128381567013908E-2</v>
      </c>
      <c r="M88" s="122">
        <f t="shared" si="14"/>
        <v>18913851669312.023</v>
      </c>
      <c r="N88" s="122">
        <f t="shared" si="15"/>
        <v>3767505.1241679192</v>
      </c>
      <c r="O88" s="122">
        <f t="shared" si="16"/>
        <v>14194094860631.527</v>
      </c>
      <c r="P88"/>
    </row>
    <row r="89" spans="1:16" x14ac:dyDescent="0.2">
      <c r="A89" s="42">
        <v>44651</v>
      </c>
      <c r="B89" s="43">
        <v>106142247.22642912</v>
      </c>
      <c r="C89" s="124">
        <v>31</v>
      </c>
      <c r="D89" s="124">
        <v>1</v>
      </c>
      <c r="E89" s="148">
        <v>501.71499999999986</v>
      </c>
      <c r="F89" s="148">
        <v>0</v>
      </c>
      <c r="G89" s="148">
        <v>0</v>
      </c>
      <c r="H89" s="158">
        <v>34138042</v>
      </c>
      <c r="I89" s="43">
        <f t="shared" si="10"/>
        <v>106053875.0365283</v>
      </c>
      <c r="J89" s="26">
        <f t="shared" si="11"/>
        <v>-88372.189900815487</v>
      </c>
      <c r="K89" s="35">
        <f t="shared" si="12"/>
        <v>-8.3258261634780104E-4</v>
      </c>
      <c r="L89" s="9">
        <f t="shared" si="13"/>
        <v>8.3258261634780104E-4</v>
      </c>
      <c r="M89" s="122">
        <f t="shared" si="14"/>
        <v>7809643947.8657951</v>
      </c>
      <c r="N89" s="122">
        <f t="shared" si="15"/>
        <v>4260633.6354933083</v>
      </c>
      <c r="O89" s="122">
        <f t="shared" si="16"/>
        <v>18152998975896.926</v>
      </c>
      <c r="P89"/>
    </row>
    <row r="90" spans="1:16" x14ac:dyDescent="0.2">
      <c r="A90" s="42">
        <v>44681</v>
      </c>
      <c r="B90" s="43">
        <v>93125671.525608063</v>
      </c>
      <c r="C90" s="124">
        <v>30</v>
      </c>
      <c r="D90" s="124">
        <v>1</v>
      </c>
      <c r="E90" s="148">
        <v>325.64</v>
      </c>
      <c r="F90" s="148">
        <v>0.44000000000000006</v>
      </c>
      <c r="G90" s="148">
        <v>0</v>
      </c>
      <c r="H90" s="158">
        <v>30789756</v>
      </c>
      <c r="I90" s="43">
        <f t="shared" si="10"/>
        <v>96330285.354605153</v>
      </c>
      <c r="J90" s="26">
        <f t="shared" si="11"/>
        <v>3204613.8289970905</v>
      </c>
      <c r="K90" s="35">
        <f t="shared" si="12"/>
        <v>3.4411712436520504E-2</v>
      </c>
      <c r="L90" s="9">
        <f t="shared" si="13"/>
        <v>3.4411712436520504E-2</v>
      </c>
      <c r="M90" s="122">
        <f t="shared" si="14"/>
        <v>10269549792999.393</v>
      </c>
      <c r="N90" s="122">
        <f t="shared" si="15"/>
        <v>3292986.0188979059</v>
      </c>
      <c r="O90" s="122">
        <f t="shared" si="16"/>
        <v>10843756920657.08</v>
      </c>
      <c r="P90"/>
    </row>
    <row r="91" spans="1:16" x14ac:dyDescent="0.2">
      <c r="A91" s="42">
        <v>44712</v>
      </c>
      <c r="B91" s="43">
        <v>97950607.021456242</v>
      </c>
      <c r="C91" s="124">
        <v>31</v>
      </c>
      <c r="D91" s="124">
        <v>1</v>
      </c>
      <c r="E91" s="148">
        <v>142.04000000000002</v>
      </c>
      <c r="F91" s="148">
        <v>24.169999999999998</v>
      </c>
      <c r="G91" s="148">
        <v>0</v>
      </c>
      <c r="H91" s="158">
        <v>31642434</v>
      </c>
      <c r="I91" s="43">
        <f t="shared" si="10"/>
        <v>101996516.32166056</v>
      </c>
      <c r="J91" s="26">
        <f t="shared" si="11"/>
        <v>4045909.3002043217</v>
      </c>
      <c r="K91" s="35">
        <f t="shared" si="12"/>
        <v>4.1305607216074305E-2</v>
      </c>
      <c r="L91" s="9">
        <f t="shared" si="13"/>
        <v>4.1305607216074305E-2</v>
      </c>
      <c r="M91" s="122">
        <f t="shared" si="14"/>
        <v>16369382065479.824</v>
      </c>
      <c r="N91" s="122">
        <f t="shared" si="15"/>
        <v>841295.47120723128</v>
      </c>
      <c r="O91" s="122">
        <f t="shared" si="16"/>
        <v>707778069873.79736</v>
      </c>
      <c r="P91"/>
    </row>
    <row r="92" spans="1:16" x14ac:dyDescent="0.2">
      <c r="A92" s="42">
        <v>44742</v>
      </c>
      <c r="B92" s="43">
        <v>109712884.40321456</v>
      </c>
      <c r="C92" s="124">
        <v>30</v>
      </c>
      <c r="D92" s="124">
        <v>0</v>
      </c>
      <c r="E92" s="148">
        <v>27.95</v>
      </c>
      <c r="F92" s="148">
        <v>65.360000000000014</v>
      </c>
      <c r="G92" s="148">
        <v>0</v>
      </c>
      <c r="H92" s="158">
        <v>33600843</v>
      </c>
      <c r="I92" s="43">
        <f t="shared" si="10"/>
        <v>114956627.53670818</v>
      </c>
      <c r="J92" s="26">
        <f t="shared" si="11"/>
        <v>5243743.1334936172</v>
      </c>
      <c r="K92" s="35">
        <f t="shared" si="12"/>
        <v>4.7795144225922626E-2</v>
      </c>
      <c r="L92" s="9">
        <f t="shared" si="13"/>
        <v>4.7795144225922626E-2</v>
      </c>
      <c r="M92" s="122">
        <f t="shared" si="14"/>
        <v>27496842050061.461</v>
      </c>
      <c r="N92" s="122">
        <f t="shared" si="15"/>
        <v>1197833.8332892954</v>
      </c>
      <c r="O92" s="122">
        <f t="shared" si="16"/>
        <v>1434805892172.5276</v>
      </c>
      <c r="P92"/>
    </row>
    <row r="93" spans="1:16" x14ac:dyDescent="0.2">
      <c r="A93" s="42">
        <v>44773</v>
      </c>
      <c r="B93" s="43">
        <v>124383883.10574748</v>
      </c>
      <c r="C93" s="124">
        <v>31</v>
      </c>
      <c r="D93" s="124">
        <v>0</v>
      </c>
      <c r="E93" s="148">
        <v>4.17</v>
      </c>
      <c r="F93" s="148">
        <v>111.47499999999999</v>
      </c>
      <c r="G93" s="148">
        <v>0</v>
      </c>
      <c r="H93" s="158">
        <v>29061042</v>
      </c>
      <c r="I93" s="43">
        <f t="shared" si="10"/>
        <v>124664302.72039032</v>
      </c>
      <c r="J93" s="26">
        <f t="shared" si="11"/>
        <v>280419.6146428436</v>
      </c>
      <c r="K93" s="35">
        <f t="shared" si="12"/>
        <v>2.2544690488914805E-3</v>
      </c>
      <c r="L93" s="9">
        <f t="shared" si="13"/>
        <v>2.2544690488914805E-3</v>
      </c>
      <c r="M93" s="122">
        <f t="shared" si="14"/>
        <v>78635160276.440903</v>
      </c>
      <c r="N93" s="122">
        <f t="shared" si="15"/>
        <v>-4963323.5188507736</v>
      </c>
      <c r="O93" s="122">
        <f t="shared" si="16"/>
        <v>24634580352777.227</v>
      </c>
      <c r="P93"/>
    </row>
    <row r="94" spans="1:16" x14ac:dyDescent="0.2">
      <c r="A94" s="42">
        <v>44804</v>
      </c>
      <c r="B94" s="43">
        <v>126135137.59434547</v>
      </c>
      <c r="C94" s="124">
        <v>31</v>
      </c>
      <c r="D94" s="124">
        <v>0</v>
      </c>
      <c r="E94" s="148">
        <v>10.350000000000001</v>
      </c>
      <c r="F94" s="148">
        <v>89.284999999999997</v>
      </c>
      <c r="G94" s="148">
        <v>0</v>
      </c>
      <c r="H94" s="158">
        <v>32383717</v>
      </c>
      <c r="I94" s="43">
        <f t="shared" si="10"/>
        <v>122310127.50300753</v>
      </c>
      <c r="J94" s="26">
        <f t="shared" si="11"/>
        <v>-3825010.0913379341</v>
      </c>
      <c r="K94" s="35">
        <f t="shared" si="12"/>
        <v>-3.0324699082973104E-2</v>
      </c>
      <c r="L94" s="9">
        <f t="shared" si="13"/>
        <v>3.0324699082973104E-2</v>
      </c>
      <c r="M94" s="122">
        <f t="shared" si="14"/>
        <v>14630702198837.031</v>
      </c>
      <c r="N94" s="122">
        <f t="shared" si="15"/>
        <v>-4105429.7059807777</v>
      </c>
      <c r="O94" s="122">
        <f t="shared" si="16"/>
        <v>16854553070749.416</v>
      </c>
      <c r="P94"/>
    </row>
    <row r="95" spans="1:16" x14ac:dyDescent="0.2">
      <c r="A95" s="42">
        <v>44834</v>
      </c>
      <c r="B95" s="43">
        <v>108184142.84036405</v>
      </c>
      <c r="C95" s="124">
        <v>30</v>
      </c>
      <c r="D95" s="124">
        <v>0</v>
      </c>
      <c r="E95" s="148">
        <v>48.02</v>
      </c>
      <c r="F95" s="148">
        <v>44.279999999999994</v>
      </c>
      <c r="G95" s="148">
        <v>0</v>
      </c>
      <c r="H95" s="158">
        <v>32071846</v>
      </c>
      <c r="I95" s="43">
        <f t="shared" si="10"/>
        <v>108540363.91496494</v>
      </c>
      <c r="J95" s="26">
        <f t="shared" si="11"/>
        <v>356221.07460089028</v>
      </c>
      <c r="K95" s="35">
        <f t="shared" si="12"/>
        <v>3.2927290936392425E-3</v>
      </c>
      <c r="L95" s="9">
        <f t="shared" si="13"/>
        <v>3.2927290936392425E-3</v>
      </c>
      <c r="M95" s="122">
        <f t="shared" si="14"/>
        <v>126893453989.81303</v>
      </c>
      <c r="N95" s="122">
        <f t="shared" si="15"/>
        <v>4181231.1659388244</v>
      </c>
      <c r="O95" s="122">
        <f t="shared" si="16"/>
        <v>17482694063018.141</v>
      </c>
      <c r="P95"/>
    </row>
    <row r="96" spans="1:16" x14ac:dyDescent="0.2">
      <c r="A96" s="42">
        <v>44865</v>
      </c>
      <c r="B96" s="43">
        <v>98090428.634903163</v>
      </c>
      <c r="C96" s="124">
        <v>31</v>
      </c>
      <c r="D96" s="124">
        <v>1</v>
      </c>
      <c r="E96" s="148">
        <v>202.59500000000003</v>
      </c>
      <c r="F96" s="148">
        <v>7.6800000000000015</v>
      </c>
      <c r="G96" s="148">
        <v>0</v>
      </c>
      <c r="H96" s="158">
        <v>31414203</v>
      </c>
      <c r="I96" s="43">
        <f t="shared" si="10"/>
        <v>98883062.197878763</v>
      </c>
      <c r="J96" s="26">
        <f t="shared" si="11"/>
        <v>792633.56297560036</v>
      </c>
      <c r="K96" s="35">
        <f t="shared" si="12"/>
        <v>8.0806412410105461E-3</v>
      </c>
      <c r="L96" s="9">
        <f t="shared" si="13"/>
        <v>8.0806412410105461E-3</v>
      </c>
      <c r="M96" s="122">
        <f t="shared" si="14"/>
        <v>628267965155.39502</v>
      </c>
      <c r="N96" s="122">
        <f t="shared" si="15"/>
        <v>436412.48837471008</v>
      </c>
      <c r="O96" s="122">
        <f t="shared" si="16"/>
        <v>190455860009.40646</v>
      </c>
      <c r="P96"/>
    </row>
    <row r="97" spans="1:16" x14ac:dyDescent="0.2">
      <c r="A97" s="42">
        <v>44895</v>
      </c>
      <c r="B97" s="43">
        <v>101481024.77935709</v>
      </c>
      <c r="C97" s="124">
        <v>30</v>
      </c>
      <c r="D97" s="124">
        <v>1</v>
      </c>
      <c r="E97" s="148">
        <v>394.15</v>
      </c>
      <c r="F97" s="148">
        <v>0.43000000000000005</v>
      </c>
      <c r="G97" s="148">
        <v>0</v>
      </c>
      <c r="H97" s="158">
        <v>32695844</v>
      </c>
      <c r="I97" s="43">
        <f t="shared" si="10"/>
        <v>99648411.922399357</v>
      </c>
      <c r="J97" s="26">
        <f t="shared" si="11"/>
        <v>-1832612.8569577336</v>
      </c>
      <c r="K97" s="35">
        <f t="shared" si="12"/>
        <v>-1.8058675116281613E-2</v>
      </c>
      <c r="L97" s="9">
        <f t="shared" si="13"/>
        <v>1.8058675116281613E-2</v>
      </c>
      <c r="M97" s="122">
        <f t="shared" si="14"/>
        <v>3358469883486.7866</v>
      </c>
      <c r="N97" s="122">
        <f t="shared" si="15"/>
        <v>-2625246.419933334</v>
      </c>
      <c r="O97" s="122">
        <f t="shared" si="16"/>
        <v>6891918765372.7871</v>
      </c>
      <c r="P97"/>
    </row>
    <row r="98" spans="1:16" x14ac:dyDescent="0.2">
      <c r="A98" s="42">
        <v>44926</v>
      </c>
      <c r="B98" s="43">
        <v>107894072.91841982</v>
      </c>
      <c r="C98" s="124">
        <v>31</v>
      </c>
      <c r="D98" s="124">
        <v>0</v>
      </c>
      <c r="E98" s="148">
        <v>538.66000000000008</v>
      </c>
      <c r="F98" s="148">
        <v>0</v>
      </c>
      <c r="G98" s="148">
        <v>0</v>
      </c>
      <c r="H98" s="158">
        <v>29643493</v>
      </c>
      <c r="I98" s="43">
        <f t="shared" si="10"/>
        <v>108382545.91977359</v>
      </c>
      <c r="J98" s="26">
        <f t="shared" si="11"/>
        <v>488473.00135377049</v>
      </c>
      <c r="K98" s="35">
        <f t="shared" si="12"/>
        <v>4.5273386029565455E-3</v>
      </c>
      <c r="L98" s="9">
        <f t="shared" si="13"/>
        <v>4.5273386029565455E-3</v>
      </c>
      <c r="M98" s="122">
        <f t="shared" si="14"/>
        <v>238605873051.56067</v>
      </c>
      <c r="N98" s="122">
        <f t="shared" si="15"/>
        <v>2321085.8583115041</v>
      </c>
      <c r="O98" s="122">
        <f t="shared" si="16"/>
        <v>5387439561653.6514</v>
      </c>
      <c r="P98"/>
    </row>
    <row r="99" spans="1:16" x14ac:dyDescent="0.2">
      <c r="A99" s="42">
        <v>44957</v>
      </c>
      <c r="B99" s="43">
        <v>109159766.62384973</v>
      </c>
      <c r="C99" s="124">
        <v>31</v>
      </c>
      <c r="D99" s="124">
        <v>0</v>
      </c>
      <c r="E99" s="148">
        <v>664.15000000000009</v>
      </c>
      <c r="F99" s="148">
        <v>0</v>
      </c>
      <c r="G99" s="148">
        <v>0</v>
      </c>
      <c r="H99" s="158">
        <v>30319221</v>
      </c>
      <c r="I99" s="43">
        <f t="shared" ref="I99:I130" si="17">$R$18+$R$19*C99+$R$20*D99+$R$21*E99+$R$22*F99+$R$23*G99+$R$24*H99</f>
        <v>111767122.33592118</v>
      </c>
      <c r="J99" s="26">
        <f t="shared" ref="J99:J122" si="18">I99-B99</f>
        <v>2607355.7120714486</v>
      </c>
      <c r="K99" s="35">
        <f t="shared" ref="K99:K122" si="19">J99/B99</f>
        <v>2.3885684192199264E-2</v>
      </c>
      <c r="L99" s="9">
        <f t="shared" si="13"/>
        <v>2.3885684192199264E-2</v>
      </c>
      <c r="M99" s="122">
        <f t="shared" si="14"/>
        <v>6798303809271.6104</v>
      </c>
      <c r="N99" s="122">
        <f t="shared" si="15"/>
        <v>2118882.7107176781</v>
      </c>
      <c r="O99" s="122">
        <f t="shared" si="16"/>
        <v>4489663941778.2949</v>
      </c>
      <c r="P99"/>
    </row>
    <row r="100" spans="1:16" x14ac:dyDescent="0.2">
      <c r="A100" s="42">
        <v>44985</v>
      </c>
      <c r="B100" s="43">
        <v>98690852.438404366</v>
      </c>
      <c r="C100" s="124">
        <v>28</v>
      </c>
      <c r="D100" s="124">
        <v>0</v>
      </c>
      <c r="E100" s="148">
        <v>591.35000000000014</v>
      </c>
      <c r="F100" s="148">
        <v>0</v>
      </c>
      <c r="G100" s="148">
        <v>0</v>
      </c>
      <c r="H100" s="158">
        <v>28706074</v>
      </c>
      <c r="I100" s="43">
        <f t="shared" si="17"/>
        <v>100271483.95025727</v>
      </c>
      <c r="J100" s="26">
        <f t="shared" si="18"/>
        <v>1580631.5118529052</v>
      </c>
      <c r="K100" s="35">
        <f t="shared" si="19"/>
        <v>1.6015988035359408E-2</v>
      </c>
      <c r="L100" s="9">
        <f t="shared" si="13"/>
        <v>1.6015988035359408E-2</v>
      </c>
      <c r="M100" s="122">
        <f t="shared" si="14"/>
        <v>2498395976262.4009</v>
      </c>
      <c r="N100" s="122">
        <f t="shared" si="15"/>
        <v>-1026724.2002185434</v>
      </c>
      <c r="O100" s="122">
        <f t="shared" si="16"/>
        <v>1054162583314.4076</v>
      </c>
      <c r="P100"/>
    </row>
    <row r="101" spans="1:16" x14ac:dyDescent="0.2">
      <c r="A101" s="42">
        <v>45016</v>
      </c>
      <c r="B101" s="43">
        <v>105297730.73756778</v>
      </c>
      <c r="C101" s="124">
        <v>31</v>
      </c>
      <c r="D101" s="124">
        <v>1</v>
      </c>
      <c r="E101" s="148">
        <v>501.71499999999986</v>
      </c>
      <c r="F101" s="148">
        <v>0</v>
      </c>
      <c r="G101" s="148">
        <v>0</v>
      </c>
      <c r="H101" s="158">
        <v>35137172</v>
      </c>
      <c r="I101" s="43">
        <f t="shared" si="17"/>
        <v>107011228.85228619</v>
      </c>
      <c r="J101" s="26">
        <f t="shared" si="18"/>
        <v>1713498.1147184074</v>
      </c>
      <c r="K101" s="35">
        <f t="shared" si="19"/>
        <v>1.627288739003253E-2</v>
      </c>
      <c r="L101" s="9">
        <f t="shared" si="13"/>
        <v>1.627288739003253E-2</v>
      </c>
      <c r="M101" s="122">
        <f t="shared" si="14"/>
        <v>2936075789143.5366</v>
      </c>
      <c r="N101" s="122">
        <f t="shared" si="15"/>
        <v>132866.60286550224</v>
      </c>
      <c r="O101" s="122">
        <f t="shared" si="16"/>
        <v>17653534157.019089</v>
      </c>
      <c r="P101"/>
    </row>
    <row r="102" spans="1:16" x14ac:dyDescent="0.2">
      <c r="A102" s="42">
        <v>45046</v>
      </c>
      <c r="B102" s="43">
        <v>93761339.532633618</v>
      </c>
      <c r="C102" s="124">
        <v>30</v>
      </c>
      <c r="D102" s="124">
        <v>1</v>
      </c>
      <c r="E102" s="148">
        <v>325.64</v>
      </c>
      <c r="F102" s="148">
        <v>0.44000000000000006</v>
      </c>
      <c r="G102" s="148">
        <v>0</v>
      </c>
      <c r="H102" s="158">
        <v>30806218</v>
      </c>
      <c r="I102" s="43">
        <f t="shared" si="17"/>
        <v>96346059.036223158</v>
      </c>
      <c r="J102" s="26">
        <f t="shared" si="18"/>
        <v>2584719.5035895407</v>
      </c>
      <c r="K102" s="35">
        <f t="shared" si="19"/>
        <v>2.7567007003882763E-2</v>
      </c>
      <c r="L102" s="9">
        <f t="shared" si="13"/>
        <v>2.7567007003882763E-2</v>
      </c>
      <c r="M102" s="122">
        <f t="shared" si="14"/>
        <v>6680774912236.1621</v>
      </c>
      <c r="N102" s="122">
        <f t="shared" si="15"/>
        <v>871221.38887113333</v>
      </c>
      <c r="O102" s="122">
        <f t="shared" si="16"/>
        <v>759026708426.54651</v>
      </c>
      <c r="P102"/>
    </row>
    <row r="103" spans="1:16" x14ac:dyDescent="0.2">
      <c r="A103" s="42">
        <v>45077</v>
      </c>
      <c r="B103" s="43">
        <v>99725480.320875287</v>
      </c>
      <c r="C103" s="124">
        <v>31</v>
      </c>
      <c r="D103" s="124">
        <v>1</v>
      </c>
      <c r="E103" s="148">
        <v>142.04000000000002</v>
      </c>
      <c r="F103" s="148">
        <v>24.169999999999998</v>
      </c>
      <c r="G103" s="148">
        <v>0</v>
      </c>
      <c r="H103" s="158">
        <v>35610160</v>
      </c>
      <c r="I103" s="43">
        <f t="shared" si="17"/>
        <v>105798341.53557849</v>
      </c>
      <c r="J103" s="26">
        <f t="shared" si="18"/>
        <v>6072861.2147032022</v>
      </c>
      <c r="K103" s="35">
        <f t="shared" si="19"/>
        <v>6.0895783055275848E-2</v>
      </c>
      <c r="L103" s="9">
        <f t="shared" si="13"/>
        <v>6.0895783055275848E-2</v>
      </c>
      <c r="M103" s="122">
        <f t="shared" si="14"/>
        <v>36879643333046.453</v>
      </c>
      <c r="N103" s="122">
        <f t="shared" si="15"/>
        <v>3488141.7111136615</v>
      </c>
      <c r="O103" s="122">
        <f t="shared" si="16"/>
        <v>12167132596810.943</v>
      </c>
      <c r="P103"/>
    </row>
    <row r="104" spans="1:16" x14ac:dyDescent="0.2">
      <c r="A104" s="42">
        <v>45107</v>
      </c>
      <c r="B104" s="43">
        <v>106722896.23367156</v>
      </c>
      <c r="C104" s="124">
        <v>30</v>
      </c>
      <c r="D104" s="124">
        <v>0</v>
      </c>
      <c r="E104" s="148">
        <v>27.95</v>
      </c>
      <c r="F104" s="148">
        <v>65.360000000000014</v>
      </c>
      <c r="G104" s="148">
        <v>0</v>
      </c>
      <c r="H104" s="158">
        <v>35430157</v>
      </c>
      <c r="I104" s="43">
        <f t="shared" si="17"/>
        <v>116709453.23318346</v>
      </c>
      <c r="J104" s="26">
        <f t="shared" si="18"/>
        <v>9986556.9995118976</v>
      </c>
      <c r="K104" s="35">
        <f t="shared" si="19"/>
        <v>9.3574643791957859E-2</v>
      </c>
      <c r="L104" s="9">
        <f t="shared" si="13"/>
        <v>9.3574643791957859E-2</v>
      </c>
      <c r="M104" s="122">
        <f t="shared" si="14"/>
        <v>99731320704500.078</v>
      </c>
      <c r="N104" s="122">
        <f t="shared" si="15"/>
        <v>3913695.7848086953</v>
      </c>
      <c r="O104" s="122">
        <f t="shared" si="16"/>
        <v>15317014696029.35</v>
      </c>
      <c r="P104"/>
    </row>
    <row r="105" spans="1:16" x14ac:dyDescent="0.2">
      <c r="A105" s="42">
        <v>45138</v>
      </c>
      <c r="B105" s="43">
        <v>123755861.26405886</v>
      </c>
      <c r="C105" s="124">
        <v>31</v>
      </c>
      <c r="D105" s="124">
        <v>0</v>
      </c>
      <c r="E105" s="148">
        <v>4.17</v>
      </c>
      <c r="F105" s="148">
        <v>111.47499999999999</v>
      </c>
      <c r="G105" s="148">
        <v>0</v>
      </c>
      <c r="H105" s="158">
        <v>30739689</v>
      </c>
      <c r="I105" s="43">
        <f t="shared" si="17"/>
        <v>126272761.19001944</v>
      </c>
      <c r="J105" s="26">
        <f t="shared" si="18"/>
        <v>2516899.9259605855</v>
      </c>
      <c r="K105" s="35">
        <f t="shared" si="19"/>
        <v>2.0337621994244427E-2</v>
      </c>
      <c r="L105" s="9">
        <f t="shared" si="13"/>
        <v>2.0337621994244427E-2</v>
      </c>
      <c r="M105" s="122">
        <f t="shared" si="14"/>
        <v>6334785237300.4004</v>
      </c>
      <c r="N105" s="122">
        <f t="shared" si="15"/>
        <v>-7469657.0735513121</v>
      </c>
      <c r="O105" s="122">
        <f t="shared" si="16"/>
        <v>55795776796455.148</v>
      </c>
      <c r="P105"/>
    </row>
    <row r="106" spans="1:16" x14ac:dyDescent="0.2">
      <c r="A106" s="42">
        <v>45169</v>
      </c>
      <c r="B106" s="43">
        <v>118375930.377653</v>
      </c>
      <c r="C106" s="124">
        <v>31</v>
      </c>
      <c r="D106" s="124">
        <v>0</v>
      </c>
      <c r="E106" s="148">
        <v>10.350000000000001</v>
      </c>
      <c r="F106" s="148">
        <v>89.284999999999997</v>
      </c>
      <c r="G106" s="148">
        <v>0</v>
      </c>
      <c r="H106" s="158">
        <v>34951158</v>
      </c>
      <c r="I106" s="43">
        <f t="shared" si="17"/>
        <v>124770217.21914384</v>
      </c>
      <c r="J106" s="26">
        <f t="shared" si="18"/>
        <v>6394286.841490835</v>
      </c>
      <c r="K106" s="35">
        <f t="shared" si="19"/>
        <v>5.4016782137139153E-2</v>
      </c>
      <c r="L106" s="9">
        <f t="shared" si="13"/>
        <v>5.4016782137139153E-2</v>
      </c>
      <c r="M106" s="122">
        <f t="shared" si="14"/>
        <v>40886904211262.836</v>
      </c>
      <c r="N106" s="122">
        <f t="shared" si="15"/>
        <v>3877386.9155302495</v>
      </c>
      <c r="O106" s="122">
        <f t="shared" si="16"/>
        <v>15034129292725.182</v>
      </c>
      <c r="P106"/>
    </row>
    <row r="107" spans="1:16" x14ac:dyDescent="0.2">
      <c r="A107" s="42">
        <v>45199</v>
      </c>
      <c r="B107" s="43">
        <v>107422330.43802477</v>
      </c>
      <c r="C107" s="124">
        <v>30</v>
      </c>
      <c r="D107" s="124">
        <v>0</v>
      </c>
      <c r="E107" s="148">
        <v>48.02</v>
      </c>
      <c r="F107" s="148">
        <v>44.279999999999994</v>
      </c>
      <c r="G107" s="148">
        <v>0</v>
      </c>
      <c r="H107" s="158">
        <v>33705088</v>
      </c>
      <c r="I107" s="43">
        <f t="shared" si="17"/>
        <v>110105315.88393401</v>
      </c>
      <c r="J107" s="26">
        <f t="shared" si="18"/>
        <v>2682985.4459092319</v>
      </c>
      <c r="K107" s="35">
        <f t="shared" si="19"/>
        <v>2.4976049532430579E-2</v>
      </c>
      <c r="L107" s="9">
        <f t="shared" si="13"/>
        <v>2.4976049532430579E-2</v>
      </c>
      <c r="M107" s="122">
        <f t="shared" si="14"/>
        <v>7198410902960.7598</v>
      </c>
      <c r="N107" s="122">
        <f t="shared" si="15"/>
        <v>-3711301.3955816031</v>
      </c>
      <c r="O107" s="122">
        <f t="shared" si="16"/>
        <v>13773758048845.955</v>
      </c>
      <c r="P107"/>
    </row>
    <row r="108" spans="1:16" x14ac:dyDescent="0.2">
      <c r="A108" s="42">
        <v>45230</v>
      </c>
      <c r="B108" s="43">
        <v>101562981.91450039</v>
      </c>
      <c r="C108" s="124">
        <v>31</v>
      </c>
      <c r="D108" s="124">
        <v>1</v>
      </c>
      <c r="E108" s="148">
        <v>202.59500000000003</v>
      </c>
      <c r="F108" s="148">
        <v>7.6800000000000015</v>
      </c>
      <c r="G108" s="148">
        <v>0</v>
      </c>
      <c r="H108" s="158">
        <v>32086092</v>
      </c>
      <c r="I108" s="43">
        <f t="shared" si="17"/>
        <v>99526857.797966599</v>
      </c>
      <c r="J108" s="26">
        <f t="shared" si="18"/>
        <v>-2036124.1165337861</v>
      </c>
      <c r="K108" s="35">
        <f t="shared" si="19"/>
        <v>-2.0047896173901958E-2</v>
      </c>
      <c r="L108" s="9">
        <f t="shared" si="13"/>
        <v>2.0047896173901958E-2</v>
      </c>
      <c r="M108" s="122">
        <f t="shared" si="14"/>
        <v>4145801417930.4907</v>
      </c>
      <c r="N108" s="122">
        <f t="shared" si="15"/>
        <v>-4719109.562443018</v>
      </c>
      <c r="O108" s="122">
        <f t="shared" si="16"/>
        <v>22269995062341.133</v>
      </c>
      <c r="P108"/>
    </row>
    <row r="109" spans="1:16" x14ac:dyDescent="0.2">
      <c r="A109" s="42">
        <v>45260</v>
      </c>
      <c r="B109" s="43">
        <v>103536145.71430674</v>
      </c>
      <c r="C109" s="124">
        <v>30</v>
      </c>
      <c r="D109" s="124">
        <v>1</v>
      </c>
      <c r="E109" s="148">
        <v>394.15</v>
      </c>
      <c r="F109" s="148">
        <v>0.43000000000000005</v>
      </c>
      <c r="G109" s="148">
        <v>0</v>
      </c>
      <c r="H109" s="158">
        <v>33676082</v>
      </c>
      <c r="I109" s="43">
        <f t="shared" si="17"/>
        <v>100587663.66106288</v>
      </c>
      <c r="J109" s="26">
        <f t="shared" si="18"/>
        <v>-2948482.0532438606</v>
      </c>
      <c r="K109" s="35">
        <f t="shared" si="19"/>
        <v>-2.8477803890631367E-2</v>
      </c>
      <c r="L109" s="9">
        <f t="shared" si="13"/>
        <v>2.8477803890631367E-2</v>
      </c>
      <c r="M109" s="122">
        <f t="shared" si="14"/>
        <v>8693546418301.1318</v>
      </c>
      <c r="N109" s="122">
        <f t="shared" si="15"/>
        <v>-912357.93671007454</v>
      </c>
      <c r="O109" s="122">
        <f t="shared" si="16"/>
        <v>832397004677.86438</v>
      </c>
      <c r="P109"/>
    </row>
    <row r="110" spans="1:16" x14ac:dyDescent="0.2">
      <c r="A110" s="42">
        <v>45291</v>
      </c>
      <c r="B110" s="43">
        <v>103931355.2932533</v>
      </c>
      <c r="C110" s="124">
        <v>31</v>
      </c>
      <c r="D110" s="124">
        <v>0</v>
      </c>
      <c r="E110" s="148">
        <v>538.66000000000008</v>
      </c>
      <c r="F110" s="148">
        <v>0</v>
      </c>
      <c r="G110" s="148">
        <v>0</v>
      </c>
      <c r="H110" s="158">
        <v>28525472</v>
      </c>
      <c r="I110" s="43">
        <f t="shared" si="17"/>
        <v>107311272.24122579</v>
      </c>
      <c r="J110" s="26">
        <f t="shared" si="18"/>
        <v>3379916.9479724914</v>
      </c>
      <c r="K110" s="35">
        <f t="shared" si="19"/>
        <v>3.2520666534518849E-2</v>
      </c>
      <c r="L110" s="9">
        <f t="shared" si="13"/>
        <v>3.2520666534518849E-2</v>
      </c>
      <c r="M110" s="122">
        <f t="shared" si="14"/>
        <v>11423838575191.682</v>
      </c>
      <c r="N110" s="122">
        <f t="shared" si="15"/>
        <v>6328399.001216352</v>
      </c>
      <c r="O110" s="122">
        <f t="shared" si="16"/>
        <v>40048633918596.125</v>
      </c>
      <c r="P110"/>
    </row>
    <row r="111" spans="1:16" x14ac:dyDescent="0.2">
      <c r="A111" s="42">
        <v>45322</v>
      </c>
      <c r="B111" s="43">
        <v>114880415.48694034</v>
      </c>
      <c r="C111" s="124">
        <v>31</v>
      </c>
      <c r="D111" s="124">
        <v>0</v>
      </c>
      <c r="E111" s="148">
        <v>664.15000000000009</v>
      </c>
      <c r="F111" s="148">
        <v>0</v>
      </c>
      <c r="G111" s="148">
        <v>0</v>
      </c>
      <c r="H111" s="158">
        <v>30250424</v>
      </c>
      <c r="I111" s="43">
        <f t="shared" si="17"/>
        <v>111701201.91469201</v>
      </c>
      <c r="J111" s="26">
        <f t="shared" si="18"/>
        <v>-3179213.5722483248</v>
      </c>
      <c r="K111" s="35">
        <f t="shared" si="19"/>
        <v>-2.7674112761280352E-2</v>
      </c>
      <c r="L111" s="9">
        <f t="shared" si="13"/>
        <v>2.7674112761280352E-2</v>
      </c>
      <c r="M111" s="122">
        <f t="shared" si="14"/>
        <v>10107398937967.953</v>
      </c>
      <c r="N111" s="122">
        <f t="shared" si="15"/>
        <v>-6559130.5202208161</v>
      </c>
      <c r="O111" s="122">
        <f t="shared" si="16"/>
        <v>43022193181292.195</v>
      </c>
      <c r="P111"/>
    </row>
    <row r="112" spans="1:16" x14ac:dyDescent="0.2">
      <c r="A112" s="42">
        <v>45351</v>
      </c>
      <c r="B112" s="43">
        <v>103431194.96255615</v>
      </c>
      <c r="C112" s="124">
        <v>29</v>
      </c>
      <c r="D112" s="124">
        <v>0</v>
      </c>
      <c r="E112" s="148">
        <v>591.35000000000014</v>
      </c>
      <c r="F112" s="148">
        <v>0</v>
      </c>
      <c r="G112" s="148">
        <v>0</v>
      </c>
      <c r="H112" s="158">
        <v>30129780</v>
      </c>
      <c r="I112" s="43">
        <f t="shared" si="17"/>
        <v>104423020.22952679</v>
      </c>
      <c r="J112" s="26">
        <f t="shared" si="18"/>
        <v>991825.26697063446</v>
      </c>
      <c r="K112" s="35">
        <f t="shared" si="19"/>
        <v>9.5892275761649288E-3</v>
      </c>
      <c r="L112" s="9">
        <f t="shared" si="13"/>
        <v>9.5892275761649288E-3</v>
      </c>
      <c r="M112" s="122">
        <f t="shared" si="14"/>
        <v>983717360201.37036</v>
      </c>
      <c r="N112" s="122">
        <f t="shared" si="15"/>
        <v>4171038.8392189592</v>
      </c>
      <c r="O112" s="122">
        <f t="shared" si="16"/>
        <v>17397564998273.043</v>
      </c>
      <c r="P112"/>
    </row>
    <row r="113" spans="1:16" x14ac:dyDescent="0.2">
      <c r="A113" s="42">
        <v>45382</v>
      </c>
      <c r="B113" s="43">
        <v>104413098.14979088</v>
      </c>
      <c r="C113" s="124">
        <v>31</v>
      </c>
      <c r="D113" s="124">
        <v>1</v>
      </c>
      <c r="E113" s="148">
        <v>501.71499999999986</v>
      </c>
      <c r="F113" s="148">
        <v>0</v>
      </c>
      <c r="G113" s="148">
        <v>0</v>
      </c>
      <c r="H113" s="158">
        <v>31413629</v>
      </c>
      <c r="I113" s="43">
        <f t="shared" si="17"/>
        <v>103443376.72174402</v>
      </c>
      <c r="J113" s="26">
        <f t="shared" si="18"/>
        <v>-969721.42804686725</v>
      </c>
      <c r="K113" s="35">
        <f t="shared" si="19"/>
        <v>-9.2873542230851747E-3</v>
      </c>
      <c r="L113" s="9">
        <f t="shared" si="13"/>
        <v>9.2873542230851747E-3</v>
      </c>
      <c r="M113" s="122">
        <f t="shared" si="14"/>
        <v>940359648013.25549</v>
      </c>
      <c r="N113" s="122">
        <f t="shared" si="15"/>
        <v>-1961546.6950175017</v>
      </c>
      <c r="O113" s="122">
        <f t="shared" si="16"/>
        <v>3847665436734.084</v>
      </c>
      <c r="P113"/>
    </row>
    <row r="114" spans="1:16" x14ac:dyDescent="0.2">
      <c r="A114" s="42">
        <v>45412</v>
      </c>
      <c r="B114" s="43">
        <v>96287055.06687063</v>
      </c>
      <c r="C114" s="124">
        <v>30</v>
      </c>
      <c r="D114" s="124">
        <v>1</v>
      </c>
      <c r="E114" s="148">
        <v>325.64</v>
      </c>
      <c r="F114" s="148">
        <v>0.44000000000000006</v>
      </c>
      <c r="G114" s="148">
        <v>0</v>
      </c>
      <c r="H114" s="158">
        <v>31886888</v>
      </c>
      <c r="I114" s="43">
        <f t="shared" si="17"/>
        <v>97381543.455743238</v>
      </c>
      <c r="J114" s="26">
        <f t="shared" si="18"/>
        <v>1094488.3888726085</v>
      </c>
      <c r="K114" s="35">
        <f t="shared" si="19"/>
        <v>1.1366931807318176E-2</v>
      </c>
      <c r="L114" s="9">
        <f t="shared" si="13"/>
        <v>1.1366931807318176E-2</v>
      </c>
      <c r="M114" s="122">
        <f t="shared" si="14"/>
        <v>1197904833376.9585</v>
      </c>
      <c r="N114" s="122">
        <f t="shared" si="15"/>
        <v>2064209.8169194758</v>
      </c>
      <c r="O114" s="122">
        <f t="shared" si="16"/>
        <v>4260962168266.7358</v>
      </c>
      <c r="P114"/>
    </row>
    <row r="115" spans="1:16" x14ac:dyDescent="0.2">
      <c r="A115" s="42">
        <v>45443</v>
      </c>
      <c r="B115" s="43">
        <v>103066100.87241673</v>
      </c>
      <c r="C115" s="124">
        <v>31</v>
      </c>
      <c r="D115" s="124">
        <v>1</v>
      </c>
      <c r="E115" s="148">
        <v>142.04000000000002</v>
      </c>
      <c r="F115" s="148">
        <v>24.169999999999998</v>
      </c>
      <c r="G115" s="148">
        <v>0</v>
      </c>
      <c r="H115" s="158">
        <v>33307837</v>
      </c>
      <c r="I115" s="43">
        <f t="shared" si="17"/>
        <v>103592284.55684982</v>
      </c>
      <c r="J115" s="26">
        <f t="shared" si="18"/>
        <v>526183.68443308771</v>
      </c>
      <c r="K115" s="35">
        <f t="shared" si="19"/>
        <v>5.1053031013993527E-3</v>
      </c>
      <c r="L115" s="9">
        <f t="shared" si="13"/>
        <v>5.1053031013993527E-3</v>
      </c>
      <c r="M115" s="122">
        <f t="shared" si="14"/>
        <v>276869269763.57922</v>
      </c>
      <c r="N115" s="122">
        <f t="shared" si="15"/>
        <v>-568304.70443952084</v>
      </c>
      <c r="O115" s="122">
        <f t="shared" si="16"/>
        <v>322970237088.09113</v>
      </c>
      <c r="P115"/>
    </row>
    <row r="116" spans="1:16" x14ac:dyDescent="0.2">
      <c r="A116" s="42">
        <v>45473</v>
      </c>
      <c r="B116" s="43">
        <v>115547124.04135555</v>
      </c>
      <c r="C116" s="124">
        <v>30</v>
      </c>
      <c r="D116" s="124">
        <v>0</v>
      </c>
      <c r="E116" s="148">
        <v>27.95</v>
      </c>
      <c r="F116" s="148">
        <v>65.360000000000014</v>
      </c>
      <c r="G116" s="148">
        <v>0</v>
      </c>
      <c r="H116" s="158">
        <v>31143333</v>
      </c>
      <c r="I116" s="43">
        <f t="shared" si="17"/>
        <v>112601872.32390986</v>
      </c>
      <c r="J116" s="26">
        <f t="shared" si="18"/>
        <v>-2945251.7174456865</v>
      </c>
      <c r="K116" s="35">
        <f t="shared" si="19"/>
        <v>-2.5489615097573085E-2</v>
      </c>
      <c r="L116" s="9">
        <f t="shared" si="13"/>
        <v>2.5489615097573085E-2</v>
      </c>
      <c r="M116" s="122">
        <f t="shared" si="14"/>
        <v>8674507679116.7656</v>
      </c>
      <c r="N116" s="122">
        <f t="shared" si="15"/>
        <v>-3471435.4018787742</v>
      </c>
      <c r="O116" s="122">
        <f t="shared" si="16"/>
        <v>12050863749417.246</v>
      </c>
      <c r="P116"/>
    </row>
    <row r="117" spans="1:16" x14ac:dyDescent="0.2">
      <c r="A117" s="42">
        <v>45504</v>
      </c>
      <c r="B117" s="43">
        <v>127461668.84297444</v>
      </c>
      <c r="C117" s="124">
        <v>31</v>
      </c>
      <c r="D117" s="124">
        <v>0</v>
      </c>
      <c r="E117" s="148">
        <v>4.17</v>
      </c>
      <c r="F117" s="148">
        <v>111.47499999999999</v>
      </c>
      <c r="G117" s="148">
        <v>0</v>
      </c>
      <c r="H117" s="158">
        <v>29943389</v>
      </c>
      <c r="I117" s="43">
        <f t="shared" si="17"/>
        <v>125509756.53247938</v>
      </c>
      <c r="J117" s="26">
        <f t="shared" si="18"/>
        <v>-1951912.3104950637</v>
      </c>
      <c r="K117" s="35">
        <f t="shared" si="19"/>
        <v>-1.5313720024329111E-2</v>
      </c>
      <c r="L117" s="9">
        <f t="shared" si="13"/>
        <v>1.5313720024329111E-2</v>
      </c>
      <c r="M117" s="122">
        <f t="shared" si="14"/>
        <v>3809961667862.1777</v>
      </c>
      <c r="N117" s="122">
        <f t="shared" si="15"/>
        <v>993339.4069506228</v>
      </c>
      <c r="O117" s="122">
        <f t="shared" si="16"/>
        <v>986723177401.01501</v>
      </c>
      <c r="P117"/>
    </row>
    <row r="118" spans="1:16" x14ac:dyDescent="0.2">
      <c r="A118" s="42">
        <v>45535</v>
      </c>
      <c r="B118" s="43">
        <v>124996031.9588691</v>
      </c>
      <c r="C118" s="124">
        <v>31</v>
      </c>
      <c r="D118" s="124">
        <v>0</v>
      </c>
      <c r="E118" s="148">
        <v>10.350000000000001</v>
      </c>
      <c r="F118" s="148">
        <v>89.284999999999997</v>
      </c>
      <c r="G118" s="148">
        <v>0</v>
      </c>
      <c r="H118" s="158">
        <v>31000142</v>
      </c>
      <c r="I118" s="43">
        <f t="shared" si="17"/>
        <v>120984403.31732877</v>
      </c>
      <c r="J118" s="26">
        <f t="shared" si="18"/>
        <v>-4011628.6415403336</v>
      </c>
      <c r="K118" s="35">
        <f t="shared" si="19"/>
        <v>-3.2094047936340818E-2</v>
      </c>
      <c r="L118" s="9">
        <f t="shared" si="13"/>
        <v>3.2094047936340818E-2</v>
      </c>
      <c r="M118" s="122">
        <f t="shared" si="14"/>
        <v>16093164357626.742</v>
      </c>
      <c r="N118" s="122">
        <f t="shared" si="15"/>
        <v>-2059716.33104527</v>
      </c>
      <c r="O118" s="122">
        <f t="shared" si="16"/>
        <v>4242431364374.5884</v>
      </c>
      <c r="P118"/>
    </row>
    <row r="119" spans="1:16" x14ac:dyDescent="0.2">
      <c r="A119" s="42">
        <v>45565</v>
      </c>
      <c r="B119" s="43">
        <v>110145499.18274204</v>
      </c>
      <c r="C119" s="124">
        <v>30</v>
      </c>
      <c r="D119" s="124">
        <v>0</v>
      </c>
      <c r="E119" s="148">
        <v>48.02</v>
      </c>
      <c r="F119" s="148">
        <v>44.279999999999994</v>
      </c>
      <c r="G119" s="148">
        <v>0</v>
      </c>
      <c r="H119" s="158">
        <v>30980059</v>
      </c>
      <c r="I119" s="43">
        <f t="shared" si="17"/>
        <v>107494227.32568741</v>
      </c>
      <c r="J119" s="26">
        <f t="shared" si="18"/>
        <v>-2651271.8570546359</v>
      </c>
      <c r="K119" s="35">
        <f t="shared" si="19"/>
        <v>-2.407063272422888E-2</v>
      </c>
      <c r="L119" s="9">
        <f t="shared" si="13"/>
        <v>2.407063272422888E-2</v>
      </c>
      <c r="M119" s="122">
        <f t="shared" si="14"/>
        <v>7029242460009.9375</v>
      </c>
      <c r="N119" s="122">
        <f t="shared" si="15"/>
        <v>1360356.7844856977</v>
      </c>
      <c r="O119" s="122">
        <f t="shared" si="16"/>
        <v>1850570581096.2671</v>
      </c>
      <c r="P119"/>
    </row>
    <row r="120" spans="1:16" x14ac:dyDescent="0.2">
      <c r="A120" s="42">
        <v>45596</v>
      </c>
      <c r="B120" s="43">
        <v>99238287.909240901</v>
      </c>
      <c r="C120" s="124">
        <v>31</v>
      </c>
      <c r="D120" s="124">
        <v>1</v>
      </c>
      <c r="E120" s="148">
        <v>202.59500000000003</v>
      </c>
      <c r="F120" s="148">
        <v>7.6800000000000015</v>
      </c>
      <c r="G120" s="148">
        <v>0</v>
      </c>
      <c r="H120" s="158">
        <v>31977835</v>
      </c>
      <c r="I120" s="43">
        <f t="shared" si="17"/>
        <v>99423127.300401211</v>
      </c>
      <c r="J120" s="26">
        <f t="shared" si="18"/>
        <v>184839.39116030931</v>
      </c>
      <c r="K120" s="35">
        <f t="shared" si="19"/>
        <v>1.8625814194754703E-3</v>
      </c>
      <c r="L120" s="9">
        <f t="shared" si="13"/>
        <v>1.8625814194754703E-3</v>
      </c>
      <c r="M120" s="122">
        <f t="shared" si="14"/>
        <v>34165600524.513832</v>
      </c>
      <c r="N120" s="122">
        <f t="shared" si="15"/>
        <v>2836111.2482149452</v>
      </c>
      <c r="O120" s="122">
        <f t="shared" si="16"/>
        <v>8043527012251.335</v>
      </c>
      <c r="P120"/>
    </row>
    <row r="121" spans="1:16" x14ac:dyDescent="0.2">
      <c r="A121" s="42">
        <v>45626</v>
      </c>
      <c r="B121" s="43">
        <v>100011016.03030209</v>
      </c>
      <c r="C121" s="124">
        <v>30</v>
      </c>
      <c r="D121" s="124">
        <v>1</v>
      </c>
      <c r="E121" s="148">
        <v>394.15</v>
      </c>
      <c r="F121" s="148">
        <v>0.43000000000000005</v>
      </c>
      <c r="G121" s="148">
        <v>0</v>
      </c>
      <c r="H121" s="158">
        <v>31486058</v>
      </c>
      <c r="I121" s="43">
        <f t="shared" si="17"/>
        <v>98489210.17352736</v>
      </c>
      <c r="J121" s="26">
        <f t="shared" si="18"/>
        <v>-1521805.8567747325</v>
      </c>
      <c r="K121" s="35">
        <f t="shared" si="19"/>
        <v>-1.521638232645936E-2</v>
      </c>
      <c r="L121" s="9">
        <f t="shared" si="13"/>
        <v>1.521638232645936E-2</v>
      </c>
      <c r="M121" s="122">
        <f t="shared" si="14"/>
        <v>2315893065713.8774</v>
      </c>
      <c r="N121" s="122">
        <f t="shared" si="15"/>
        <v>-1706645.2479350418</v>
      </c>
      <c r="O121" s="122">
        <f t="shared" si="16"/>
        <v>2912638002299.2603</v>
      </c>
      <c r="P121"/>
    </row>
    <row r="122" spans="1:16" x14ac:dyDescent="0.2">
      <c r="A122" s="42">
        <v>45657</v>
      </c>
      <c r="B122" s="43">
        <v>109348605.79999998</v>
      </c>
      <c r="C122" s="124">
        <v>31</v>
      </c>
      <c r="D122" s="124">
        <v>0</v>
      </c>
      <c r="E122" s="148">
        <v>538.66000000000008</v>
      </c>
      <c r="F122" s="148">
        <v>0</v>
      </c>
      <c r="G122" s="148">
        <v>0</v>
      </c>
      <c r="H122" s="158">
        <v>28118731</v>
      </c>
      <c r="I122" s="43">
        <f t="shared" si="17"/>
        <v>106921538.12416877</v>
      </c>
      <c r="J122" s="26">
        <f t="shared" si="18"/>
        <v>-2427067.6758312136</v>
      </c>
      <c r="K122" s="35">
        <f t="shared" si="19"/>
        <v>-2.2195689264391281E-2</v>
      </c>
      <c r="L122" s="9">
        <f>ABS(K122)</f>
        <v>2.2195689264391281E-2</v>
      </c>
      <c r="M122" s="122">
        <f t="shared" si="14"/>
        <v>5890657503064.7285</v>
      </c>
      <c r="N122" s="122">
        <f t="shared" si="15"/>
        <v>-905261.81905648112</v>
      </c>
      <c r="O122" s="122">
        <f t="shared" si="16"/>
        <v>819498961041.44922</v>
      </c>
      <c r="P122"/>
    </row>
    <row r="123" spans="1:16" x14ac:dyDescent="0.2">
      <c r="A123" s="42">
        <v>45688</v>
      </c>
      <c r="B123" s="43"/>
      <c r="C123" s="124">
        <v>31</v>
      </c>
      <c r="D123" s="124">
        <f t="shared" ref="D123" si="20">D111</f>
        <v>0</v>
      </c>
      <c r="E123" s="160">
        <v>664.15000000000009</v>
      </c>
      <c r="F123" s="160">
        <v>0</v>
      </c>
      <c r="G123" s="148">
        <v>0</v>
      </c>
      <c r="H123" s="158">
        <v>29645415.52</v>
      </c>
      <c r="I123" s="43">
        <f t="shared" si="17"/>
        <v>111121490.38877058</v>
      </c>
      <c r="J123" s="26"/>
      <c r="K123" t="s">
        <v>47</v>
      </c>
      <c r="L123" s="4">
        <f>AVERAGE(L3:L122)</f>
        <v>3.4162328560875727E-2</v>
      </c>
      <c r="M123" s="5">
        <f>SUM(M3:M122)</f>
        <v>2533892082058994.5</v>
      </c>
      <c r="N123" s="4"/>
      <c r="O123" s="5">
        <f>SUM(O3:O122)</f>
        <v>2901924586848918.5</v>
      </c>
      <c r="P123" s="21"/>
    </row>
    <row r="124" spans="1:16" x14ac:dyDescent="0.2">
      <c r="A124" s="42">
        <v>45716</v>
      </c>
      <c r="B124" s="43"/>
      <c r="C124" s="124">
        <v>28</v>
      </c>
      <c r="D124" s="124">
        <f t="shared" ref="D124:D143" si="21">D112</f>
        <v>0</v>
      </c>
      <c r="E124" s="160">
        <v>591.35000000000014</v>
      </c>
      <c r="F124" s="160">
        <v>0</v>
      </c>
      <c r="G124" s="148">
        <v>0</v>
      </c>
      <c r="H124" s="158">
        <v>29527184.399999999</v>
      </c>
      <c r="I124" s="43">
        <f t="shared" si="17"/>
        <v>101058261.62142968</v>
      </c>
      <c r="J124" s="26"/>
      <c r="P124"/>
    </row>
    <row r="125" spans="1:16" x14ac:dyDescent="0.2">
      <c r="A125" s="42">
        <v>45747</v>
      </c>
      <c r="B125" s="43"/>
      <c r="C125" s="124">
        <v>31</v>
      </c>
      <c r="D125" s="124">
        <f t="shared" si="21"/>
        <v>1</v>
      </c>
      <c r="E125" s="160">
        <v>501.71499999999986</v>
      </c>
      <c r="F125" s="160">
        <v>0</v>
      </c>
      <c r="G125" s="148">
        <v>0</v>
      </c>
      <c r="H125" s="158">
        <v>30785356.419999998</v>
      </c>
      <c r="I125" s="43">
        <f t="shared" si="17"/>
        <v>102841373.82742691</v>
      </c>
      <c r="J125" s="26"/>
      <c r="P125"/>
    </row>
    <row r="126" spans="1:16" x14ac:dyDescent="0.2">
      <c r="A126" s="42">
        <v>45777</v>
      </c>
      <c r="B126" s="43"/>
      <c r="C126" s="124">
        <v>30</v>
      </c>
      <c r="D126" s="124">
        <f t="shared" si="21"/>
        <v>1</v>
      </c>
      <c r="E126" s="160">
        <v>325.64</v>
      </c>
      <c r="F126" s="160">
        <v>0.44000000000000006</v>
      </c>
      <c r="G126" s="148">
        <v>0</v>
      </c>
      <c r="H126" s="158">
        <v>31249150.239999998</v>
      </c>
      <c r="I126" s="43">
        <f t="shared" si="17"/>
        <v>96770471.144843847</v>
      </c>
      <c r="J126" s="26"/>
      <c r="P126"/>
    </row>
    <row r="127" spans="1:16" x14ac:dyDescent="0.2">
      <c r="A127" s="42">
        <v>45808</v>
      </c>
      <c r="B127" s="43"/>
      <c r="C127" s="124">
        <v>31</v>
      </c>
      <c r="D127" s="124">
        <f t="shared" si="21"/>
        <v>1</v>
      </c>
      <c r="E127" s="160">
        <v>142.04000000000002</v>
      </c>
      <c r="F127" s="160">
        <v>24.169999999999998</v>
      </c>
      <c r="G127" s="148">
        <v>0</v>
      </c>
      <c r="H127" s="158">
        <v>32641680.259999998</v>
      </c>
      <c r="I127" s="43">
        <f t="shared" si="17"/>
        <v>102953981.53629009</v>
      </c>
      <c r="J127" s="26"/>
      <c r="P127"/>
    </row>
    <row r="128" spans="1:16" x14ac:dyDescent="0.2">
      <c r="A128" s="42">
        <v>45838</v>
      </c>
      <c r="B128" s="43"/>
      <c r="C128" s="124">
        <v>30</v>
      </c>
      <c r="D128" s="124">
        <f t="shared" si="21"/>
        <v>0</v>
      </c>
      <c r="E128" s="160">
        <v>27.95</v>
      </c>
      <c r="F128" s="160">
        <v>65.360000000000014</v>
      </c>
      <c r="G128" s="148">
        <v>0</v>
      </c>
      <c r="H128" s="158">
        <v>30520466.34</v>
      </c>
      <c r="I128" s="43">
        <f t="shared" si="17"/>
        <v>112005049.31423207</v>
      </c>
      <c r="J128" s="26"/>
      <c r="P128"/>
    </row>
    <row r="129" spans="1:16" x14ac:dyDescent="0.2">
      <c r="A129" s="42">
        <v>45869</v>
      </c>
      <c r="B129" s="43"/>
      <c r="C129" s="124">
        <v>31</v>
      </c>
      <c r="D129" s="124">
        <f t="shared" si="21"/>
        <v>0</v>
      </c>
      <c r="E129" s="160">
        <v>4.17</v>
      </c>
      <c r="F129" s="160">
        <v>111.47499999999999</v>
      </c>
      <c r="G129" s="148">
        <v>0</v>
      </c>
      <c r="H129" s="158">
        <v>29344521.219999999</v>
      </c>
      <c r="I129" s="43">
        <f t="shared" si="17"/>
        <v>124935928.94816355</v>
      </c>
      <c r="J129" s="26"/>
      <c r="K129"/>
      <c r="L129"/>
      <c r="M129"/>
      <c r="N129"/>
      <c r="O129"/>
      <c r="P129"/>
    </row>
    <row r="130" spans="1:16" x14ac:dyDescent="0.2">
      <c r="A130" s="42">
        <v>45900</v>
      </c>
      <c r="B130" s="43"/>
      <c r="C130" s="124">
        <v>31</v>
      </c>
      <c r="D130" s="124">
        <f t="shared" si="21"/>
        <v>0</v>
      </c>
      <c r="E130" s="160">
        <v>10.350000000000001</v>
      </c>
      <c r="F130" s="160">
        <v>89.284999999999997</v>
      </c>
      <c r="G130" s="148">
        <v>0</v>
      </c>
      <c r="H130" s="158">
        <v>30380139.16</v>
      </c>
      <c r="I130" s="43">
        <f t="shared" si="17"/>
        <v>120390324.38400203</v>
      </c>
      <c r="J130" s="26"/>
      <c r="K130"/>
      <c r="L130"/>
      <c r="M130"/>
      <c r="N130"/>
      <c r="O130"/>
      <c r="P130"/>
    </row>
    <row r="131" spans="1:16" x14ac:dyDescent="0.2">
      <c r="A131" s="42">
        <v>45930</v>
      </c>
      <c r="B131" s="43"/>
      <c r="C131" s="124">
        <v>30</v>
      </c>
      <c r="D131" s="124">
        <f t="shared" si="21"/>
        <v>0</v>
      </c>
      <c r="E131" s="160">
        <v>48.02</v>
      </c>
      <c r="F131" s="160">
        <v>44.279999999999994</v>
      </c>
      <c r="G131" s="148">
        <v>0</v>
      </c>
      <c r="H131" s="158">
        <v>30360457.82</v>
      </c>
      <c r="I131" s="43">
        <f t="shared" ref="I131:I146" si="22">$R$18+$R$19*C131+$R$20*D131+$R$21*E131+$R$22*F131+$R$23*G131+$R$24*H131</f>
        <v>106900533.25792736</v>
      </c>
      <c r="J131" s="26"/>
      <c r="K131"/>
      <c r="L131"/>
      <c r="M131"/>
      <c r="N131"/>
      <c r="O131"/>
      <c r="P131"/>
    </row>
    <row r="132" spans="1:16" x14ac:dyDescent="0.2">
      <c r="A132" s="42">
        <v>45961</v>
      </c>
      <c r="B132" s="43"/>
      <c r="C132" s="124">
        <v>31</v>
      </c>
      <c r="D132" s="124">
        <f t="shared" si="21"/>
        <v>1</v>
      </c>
      <c r="E132" s="160">
        <v>202.59500000000003</v>
      </c>
      <c r="F132" s="160">
        <v>7.6800000000000015</v>
      </c>
      <c r="G132" s="148">
        <v>0</v>
      </c>
      <c r="H132" s="158">
        <v>31338278.300000001</v>
      </c>
      <c r="I132" s="43">
        <f t="shared" si="22"/>
        <v>98810312.104041845</v>
      </c>
      <c r="J132" s="26"/>
      <c r="K132"/>
      <c r="L132"/>
      <c r="M132"/>
      <c r="N132"/>
      <c r="O132"/>
      <c r="P132"/>
    </row>
    <row r="133" spans="1:16" x14ac:dyDescent="0.2">
      <c r="A133" s="42">
        <v>45991</v>
      </c>
      <c r="B133" s="43"/>
      <c r="C133" s="124">
        <v>30</v>
      </c>
      <c r="D133" s="124">
        <f t="shared" si="21"/>
        <v>1</v>
      </c>
      <c r="E133" s="160">
        <v>394.15</v>
      </c>
      <c r="F133" s="160">
        <v>0.43000000000000005</v>
      </c>
      <c r="G133" s="148">
        <v>0</v>
      </c>
      <c r="H133" s="158">
        <v>30856336.84</v>
      </c>
      <c r="I133" s="43">
        <f t="shared" si="22"/>
        <v>97885819.268050104</v>
      </c>
      <c r="J133" s="26"/>
      <c r="K133"/>
      <c r="L133"/>
      <c r="M133"/>
      <c r="N133"/>
      <c r="O133"/>
      <c r="P133"/>
    </row>
    <row r="134" spans="1:16" x14ac:dyDescent="0.2">
      <c r="A134" s="42">
        <v>46022</v>
      </c>
      <c r="B134" s="43"/>
      <c r="C134" s="124">
        <v>31</v>
      </c>
      <c r="D134" s="124">
        <f t="shared" si="21"/>
        <v>0</v>
      </c>
      <c r="E134" s="160">
        <v>538.66000000000008</v>
      </c>
      <c r="F134" s="160">
        <v>0</v>
      </c>
      <c r="G134" s="148">
        <v>0</v>
      </c>
      <c r="H134" s="158">
        <v>27556356.379999999</v>
      </c>
      <c r="I134" s="43">
        <f t="shared" si="22"/>
        <v>106382677.82736816</v>
      </c>
      <c r="J134" s="26"/>
      <c r="K134"/>
      <c r="L134"/>
      <c r="M134"/>
      <c r="N134"/>
      <c r="O134"/>
      <c r="P134"/>
    </row>
    <row r="135" spans="1:16" x14ac:dyDescent="0.2">
      <c r="A135" s="42">
        <v>46053</v>
      </c>
      <c r="B135" s="43"/>
      <c r="C135" s="124">
        <v>31</v>
      </c>
      <c r="D135" s="124">
        <f t="shared" si="21"/>
        <v>0</v>
      </c>
      <c r="E135" s="160">
        <v>664.15000000000009</v>
      </c>
      <c r="F135" s="160">
        <v>0</v>
      </c>
      <c r="G135" s="148">
        <v>0</v>
      </c>
      <c r="H135" s="158">
        <v>29052507.209599998</v>
      </c>
      <c r="I135" s="43">
        <f t="shared" si="22"/>
        <v>110553373.09336758</v>
      </c>
      <c r="J135" s="26"/>
      <c r="K135"/>
      <c r="L135"/>
      <c r="M135"/>
      <c r="N135"/>
      <c r="O135"/>
      <c r="P135"/>
    </row>
    <row r="136" spans="1:16" x14ac:dyDescent="0.2">
      <c r="A136" s="42">
        <v>46081</v>
      </c>
      <c r="B136" s="43"/>
      <c r="C136" s="124">
        <v>28</v>
      </c>
      <c r="D136" s="124">
        <f t="shared" si="21"/>
        <v>0</v>
      </c>
      <c r="E136" s="160">
        <v>591.35000000000014</v>
      </c>
      <c r="F136" s="160">
        <v>0</v>
      </c>
      <c r="G136" s="148">
        <v>0</v>
      </c>
      <c r="H136" s="158">
        <v>28936640.711999997</v>
      </c>
      <c r="I136" s="43">
        <f t="shared" si="22"/>
        <v>100492410.07750793</v>
      </c>
      <c r="J136" s="26"/>
      <c r="K136"/>
      <c r="L136"/>
      <c r="M136"/>
      <c r="N136"/>
      <c r="O136"/>
      <c r="P136"/>
    </row>
    <row r="137" spans="1:16" x14ac:dyDescent="0.2">
      <c r="A137" s="42">
        <v>46112</v>
      </c>
      <c r="B137" s="43"/>
      <c r="C137" s="124">
        <v>31</v>
      </c>
      <c r="D137" s="124">
        <f t="shared" si="21"/>
        <v>1</v>
      </c>
      <c r="E137" s="160">
        <v>501.71499999999986</v>
      </c>
      <c r="F137" s="160">
        <v>0</v>
      </c>
      <c r="G137" s="148">
        <v>0</v>
      </c>
      <c r="H137" s="158">
        <v>30169649.291599996</v>
      </c>
      <c r="I137" s="43">
        <f t="shared" si="22"/>
        <v>102251410.99099612</v>
      </c>
      <c r="J137" s="26"/>
      <c r="K137"/>
      <c r="L137"/>
      <c r="M137"/>
      <c r="N137"/>
      <c r="O137"/>
      <c r="P137"/>
    </row>
    <row r="138" spans="1:16" x14ac:dyDescent="0.2">
      <c r="A138" s="42">
        <v>46142</v>
      </c>
      <c r="B138" s="43"/>
      <c r="C138" s="124">
        <v>30</v>
      </c>
      <c r="D138" s="124">
        <f t="shared" si="21"/>
        <v>1</v>
      </c>
      <c r="E138" s="160">
        <v>325.64</v>
      </c>
      <c r="F138" s="160">
        <v>0.44000000000000006</v>
      </c>
      <c r="G138" s="148">
        <v>0</v>
      </c>
      <c r="H138" s="158">
        <v>30624167.235199999</v>
      </c>
      <c r="I138" s="43">
        <f t="shared" si="22"/>
        <v>96171620.280162469</v>
      </c>
      <c r="J138" s="26"/>
      <c r="K138"/>
      <c r="L138"/>
      <c r="M138"/>
      <c r="N138"/>
      <c r="O138"/>
      <c r="P138"/>
    </row>
    <row r="139" spans="1:16" x14ac:dyDescent="0.2">
      <c r="A139" s="42">
        <v>46173</v>
      </c>
      <c r="B139" s="43"/>
      <c r="C139" s="124">
        <v>31</v>
      </c>
      <c r="D139" s="124">
        <f t="shared" si="21"/>
        <v>1</v>
      </c>
      <c r="E139" s="160">
        <v>142.04000000000002</v>
      </c>
      <c r="F139" s="160">
        <v>24.169999999999998</v>
      </c>
      <c r="G139" s="148">
        <v>0</v>
      </c>
      <c r="H139" s="158">
        <v>31988846.654799998</v>
      </c>
      <c r="I139" s="43">
        <f t="shared" si="22"/>
        <v>102328444.57614157</v>
      </c>
      <c r="J139" s="26"/>
      <c r="K139"/>
      <c r="L139"/>
      <c r="M139"/>
      <c r="N139"/>
      <c r="O139"/>
      <c r="P139"/>
    </row>
    <row r="140" spans="1:16" x14ac:dyDescent="0.2">
      <c r="A140" s="42">
        <v>46203</v>
      </c>
      <c r="B140" s="43"/>
      <c r="C140" s="124">
        <v>30</v>
      </c>
      <c r="D140" s="124">
        <f t="shared" si="21"/>
        <v>0</v>
      </c>
      <c r="E140" s="160">
        <v>27.95</v>
      </c>
      <c r="F140" s="160">
        <v>65.360000000000014</v>
      </c>
      <c r="G140" s="148">
        <v>0</v>
      </c>
      <c r="H140" s="158">
        <v>29910057.0132</v>
      </c>
      <c r="I140" s="43">
        <f t="shared" si="22"/>
        <v>111420162.76474783</v>
      </c>
      <c r="J140" s="26"/>
      <c r="K140"/>
      <c r="L140"/>
      <c r="M140"/>
      <c r="N140"/>
      <c r="O140"/>
      <c r="P140"/>
    </row>
    <row r="141" spans="1:16" x14ac:dyDescent="0.2">
      <c r="A141" s="42">
        <v>46234</v>
      </c>
      <c r="B141" s="43"/>
      <c r="C141" s="124">
        <v>31</v>
      </c>
      <c r="D141" s="124">
        <f t="shared" si="21"/>
        <v>0</v>
      </c>
      <c r="E141" s="160">
        <v>4.17</v>
      </c>
      <c r="F141" s="160">
        <v>111.47499999999999</v>
      </c>
      <c r="G141" s="148">
        <v>0</v>
      </c>
      <c r="H141" s="158">
        <v>28757630.795599997</v>
      </c>
      <c r="I141" s="43">
        <f t="shared" si="22"/>
        <v>124373577.91553405</v>
      </c>
      <c r="J141" s="26"/>
      <c r="K141"/>
      <c r="L141"/>
      <c r="M141"/>
      <c r="N141"/>
      <c r="O141"/>
      <c r="P141"/>
    </row>
    <row r="142" spans="1:16" x14ac:dyDescent="0.2">
      <c r="A142" s="42">
        <v>46265</v>
      </c>
      <c r="B142" s="43"/>
      <c r="C142" s="124">
        <v>31</v>
      </c>
      <c r="D142" s="124">
        <f t="shared" si="21"/>
        <v>0</v>
      </c>
      <c r="E142" s="160">
        <v>10.350000000000001</v>
      </c>
      <c r="F142" s="160">
        <v>89.284999999999997</v>
      </c>
      <c r="G142" s="148">
        <v>0</v>
      </c>
      <c r="H142" s="158">
        <v>29772536.376800001</v>
      </c>
      <c r="I142" s="43">
        <f t="shared" si="22"/>
        <v>119808127.02934185</v>
      </c>
      <c r="J142" s="26"/>
      <c r="K142"/>
      <c r="L142"/>
      <c r="M142"/>
      <c r="N142"/>
      <c r="O142"/>
      <c r="P142"/>
    </row>
    <row r="143" spans="1:16" x14ac:dyDescent="0.2">
      <c r="A143" s="42">
        <v>46295</v>
      </c>
      <c r="B143" s="43"/>
      <c r="C143" s="124">
        <v>30</v>
      </c>
      <c r="D143" s="124">
        <f t="shared" si="21"/>
        <v>0</v>
      </c>
      <c r="E143" s="160">
        <v>48.02</v>
      </c>
      <c r="F143" s="160">
        <v>44.279999999999994</v>
      </c>
      <c r="G143" s="148">
        <v>0</v>
      </c>
      <c r="H143" s="158">
        <v>29753248.663600001</v>
      </c>
      <c r="I143" s="43">
        <f t="shared" si="22"/>
        <v>106318713.07152252</v>
      </c>
      <c r="J143" s="26"/>
      <c r="K143"/>
      <c r="L143"/>
      <c r="M143"/>
      <c r="N143"/>
      <c r="O143"/>
      <c r="P143"/>
    </row>
    <row r="144" spans="1:16" x14ac:dyDescent="0.2">
      <c r="A144" s="42">
        <v>46326</v>
      </c>
      <c r="B144" s="43"/>
      <c r="C144" s="124">
        <v>31</v>
      </c>
      <c r="D144" s="124">
        <f t="shared" ref="D144:D146" si="23">D132</f>
        <v>1</v>
      </c>
      <c r="E144" s="160">
        <v>202.59500000000003</v>
      </c>
      <c r="F144" s="160">
        <v>7.6800000000000015</v>
      </c>
      <c r="G144" s="148">
        <v>0</v>
      </c>
      <c r="H144" s="158">
        <v>30711512.734000001</v>
      </c>
      <c r="I144" s="43">
        <f t="shared" si="22"/>
        <v>98209753.211609676</v>
      </c>
      <c r="J144" s="26"/>
      <c r="K144"/>
      <c r="L144"/>
      <c r="M144"/>
      <c r="N144"/>
      <c r="O144"/>
      <c r="P144"/>
    </row>
    <row r="145" spans="1:16" x14ac:dyDescent="0.2">
      <c r="A145" s="42">
        <v>46356</v>
      </c>
      <c r="B145" s="43"/>
      <c r="C145" s="124">
        <v>30</v>
      </c>
      <c r="D145" s="124">
        <f t="shared" si="23"/>
        <v>1</v>
      </c>
      <c r="E145" s="160">
        <v>394.15</v>
      </c>
      <c r="F145" s="160">
        <v>0.43000000000000005</v>
      </c>
      <c r="G145" s="148">
        <v>0</v>
      </c>
      <c r="H145" s="158">
        <v>30239210.1032</v>
      </c>
      <c r="I145" s="43">
        <f t="shared" si="22"/>
        <v>97294496.180682391</v>
      </c>
      <c r="J145" s="26"/>
      <c r="P145"/>
    </row>
    <row r="146" spans="1:16" x14ac:dyDescent="0.2">
      <c r="A146" s="42">
        <v>46387</v>
      </c>
      <c r="B146" s="43"/>
      <c r="C146" s="124">
        <v>31</v>
      </c>
      <c r="D146" s="124">
        <f t="shared" si="23"/>
        <v>0</v>
      </c>
      <c r="E146" s="160">
        <v>538.66000000000008</v>
      </c>
      <c r="F146" s="160">
        <v>0</v>
      </c>
      <c r="G146" s="148">
        <v>0</v>
      </c>
      <c r="H146" s="158">
        <v>27005229.2524</v>
      </c>
      <c r="I146" s="43">
        <f t="shared" si="22"/>
        <v>105854594.73650356</v>
      </c>
      <c r="J146" s="26"/>
      <c r="P146"/>
    </row>
    <row r="147" spans="1:16" x14ac:dyDescent="0.2">
      <c r="A147" s="27"/>
      <c r="P147"/>
    </row>
    <row r="148" spans="1:16" x14ac:dyDescent="0.2">
      <c r="A148" s="27"/>
      <c r="P148"/>
    </row>
    <row r="149" spans="1:16" x14ac:dyDescent="0.2">
      <c r="A149" s="27"/>
      <c r="C149" s="93" t="s">
        <v>83</v>
      </c>
      <c r="D149" s="93"/>
      <c r="P149"/>
    </row>
    <row r="150" spans="1:16" x14ac:dyDescent="0.2">
      <c r="A150" s="27"/>
      <c r="C150"/>
      <c r="D150"/>
      <c r="I150" s="26">
        <f>SUM(I2:I146)</f>
        <v>14989607958.313303</v>
      </c>
      <c r="P150"/>
    </row>
    <row r="151" spans="1:16" ht="38.25" x14ac:dyDescent="0.2">
      <c r="A151" s="27"/>
      <c r="J151" s="140"/>
      <c r="K151" s="140"/>
      <c r="M151" s="140" t="s">
        <v>123</v>
      </c>
      <c r="N151" s="140" t="s">
        <v>98</v>
      </c>
      <c r="P151"/>
    </row>
    <row r="152" spans="1:16" x14ac:dyDescent="0.2">
      <c r="A152" s="21">
        <v>2015</v>
      </c>
      <c r="B152" s="5">
        <f>SUM(B3:B14)</f>
        <v>1231539607.5130768</v>
      </c>
      <c r="I152" s="5">
        <f>SUM(I3:I14)</f>
        <v>1208315268.2509594</v>
      </c>
      <c r="J152" s="5"/>
      <c r="K152" s="30"/>
      <c r="L152" s="4"/>
      <c r="M152" s="30">
        <f>'Power Purchased Model'!I152</f>
        <v>1199063315.6184342</v>
      </c>
      <c r="N152" s="4">
        <f t="shared" ref="N152:N163" si="24">I152/M152</f>
        <v>1.0077159833947162</v>
      </c>
      <c r="O152" s="4"/>
      <c r="P152"/>
    </row>
    <row r="153" spans="1:16" x14ac:dyDescent="0.2">
      <c r="A153" s="21">
        <v>2016</v>
      </c>
      <c r="B153" s="5">
        <f>SUM(B15:B26)</f>
        <v>1210177045.3450112</v>
      </c>
      <c r="C153" s="128">
        <f>(B153-B152)/B152</f>
        <v>-1.734622422027033E-2</v>
      </c>
      <c r="D153" s="128" t="e">
        <f>(C153-C152)/C152</f>
        <v>#DIV/0!</v>
      </c>
      <c r="F153" s="35"/>
      <c r="G153" s="35"/>
      <c r="H153" s="35"/>
      <c r="I153" s="5">
        <f>SUM(I15:I26)</f>
        <v>1219796812.4771073</v>
      </c>
      <c r="J153" s="4"/>
      <c r="K153" s="30"/>
      <c r="L153" s="4"/>
      <c r="M153" s="30">
        <f>'Power Purchased Model'!I153</f>
        <v>1234463415.012821</v>
      </c>
      <c r="N153" s="4">
        <f t="shared" si="24"/>
        <v>0.98811904641535175</v>
      </c>
      <c r="O153" s="4"/>
      <c r="P153"/>
    </row>
    <row r="154" spans="1:16" x14ac:dyDescent="0.2">
      <c r="A154" s="21">
        <v>2017</v>
      </c>
      <c r="B154" s="5">
        <f>SUM(B27:B38)</f>
        <v>1189510537.4268792</v>
      </c>
      <c r="C154" s="128">
        <f t="shared" ref="C154:C161" si="25">(B154-B153)/B153</f>
        <v>-1.707725989153944E-2</v>
      </c>
      <c r="D154" s="128">
        <f t="shared" ref="D154:D161" si="26">(C154-C153)/C153</f>
        <v>-1.5505641188275732E-2</v>
      </c>
      <c r="F154" s="35"/>
      <c r="G154" s="35"/>
      <c r="H154" s="35"/>
      <c r="I154" s="5">
        <f>SUM(I27:I38)</f>
        <v>1223711098.2343457</v>
      </c>
      <c r="J154" s="4"/>
      <c r="K154" s="30"/>
      <c r="L154" s="4"/>
      <c r="M154" s="30">
        <f>'Power Purchased Model'!I154</f>
        <v>1213060463.1429799</v>
      </c>
      <c r="N154" s="4">
        <f t="shared" si="24"/>
        <v>1.008779970508453</v>
      </c>
      <c r="O154" s="4"/>
      <c r="P154"/>
    </row>
    <row r="155" spans="1:16" x14ac:dyDescent="0.2">
      <c r="A155" s="21">
        <v>2018</v>
      </c>
      <c r="B155" s="5">
        <f>SUM(B39:B50)</f>
        <v>1250661109.3807051</v>
      </c>
      <c r="C155" s="128">
        <f t="shared" si="25"/>
        <v>5.1408180112557399E-2</v>
      </c>
      <c r="D155" s="128">
        <f t="shared" si="26"/>
        <v>-4.0103295516411546</v>
      </c>
      <c r="F155" s="35"/>
      <c r="G155" s="35"/>
      <c r="H155" s="35"/>
      <c r="I155" s="5">
        <f>SUM(I39:I50)</f>
        <v>1238712931.1247592</v>
      </c>
      <c r="J155" s="4"/>
      <c r="K155" s="30"/>
      <c r="L155" s="4"/>
      <c r="M155" s="30">
        <f>'Power Purchased Model'!I155</f>
        <v>1265520593.3952279</v>
      </c>
      <c r="N155" s="4">
        <f t="shared" si="24"/>
        <v>0.9788168897366204</v>
      </c>
      <c r="O155" s="4"/>
      <c r="P155"/>
    </row>
    <row r="156" spans="1:16" x14ac:dyDescent="0.2">
      <c r="A156" s="21">
        <v>2019</v>
      </c>
      <c r="B156" s="5">
        <f>SUM(B51:B62)</f>
        <v>1224146561.2829125</v>
      </c>
      <c r="C156" s="128">
        <f t="shared" si="25"/>
        <v>-2.1200425837916988E-2</v>
      </c>
      <c r="D156" s="128">
        <f t="shared" si="26"/>
        <v>-1.4123940157286057</v>
      </c>
      <c r="F156" s="35"/>
      <c r="G156" s="35"/>
      <c r="H156" s="35"/>
      <c r="I156" s="5">
        <f>SUM(I51:I62)</f>
        <v>1238565672.0882227</v>
      </c>
      <c r="J156" s="4"/>
      <c r="K156" s="30"/>
      <c r="L156" s="4"/>
      <c r="M156" s="30">
        <f>'Power Purchased Model'!I156</f>
        <v>1234831313.4750786</v>
      </c>
      <c r="N156" s="4">
        <f t="shared" si="24"/>
        <v>1.0030241852246482</v>
      </c>
      <c r="O156" s="4"/>
      <c r="P156"/>
    </row>
    <row r="157" spans="1:16" x14ac:dyDescent="0.2">
      <c r="A157" s="21">
        <v>2020</v>
      </c>
      <c r="B157" s="5">
        <f>SUM(B63:B74)</f>
        <v>1208093489.9349318</v>
      </c>
      <c r="C157" s="128">
        <f t="shared" si="25"/>
        <v>-1.3113684141837582E-2</v>
      </c>
      <c r="D157" s="128">
        <f t="shared" si="26"/>
        <v>-0.3814424180865395</v>
      </c>
      <c r="F157" s="35"/>
      <c r="G157" s="35"/>
      <c r="H157" s="35"/>
      <c r="I157" s="5">
        <f>SUM(I63:I74)</f>
        <v>1185097360.8924787</v>
      </c>
      <c r="J157" s="4"/>
      <c r="K157" s="30"/>
      <c r="L157" s="4"/>
      <c r="M157" s="30">
        <f>'Power Purchased Model'!I157</f>
        <v>1193727392.6835506</v>
      </c>
      <c r="N157" s="4">
        <f t="shared" si="24"/>
        <v>0.9927705170845823</v>
      </c>
      <c r="O157" s="4"/>
      <c r="P157"/>
    </row>
    <row r="158" spans="1:16" x14ac:dyDescent="0.2">
      <c r="A158" s="21">
        <v>2021</v>
      </c>
      <c r="B158" s="5">
        <f>SUM(B75:B86)</f>
        <v>1247826410.8866661</v>
      </c>
      <c r="C158" s="128">
        <f t="shared" si="25"/>
        <v>3.2888945501953107E-2</v>
      </c>
      <c r="D158" s="128">
        <f t="shared" si="26"/>
        <v>-3.5079867065750814</v>
      </c>
      <c r="F158" s="35"/>
      <c r="G158" s="35"/>
      <c r="H158" s="35"/>
      <c r="I158" s="5">
        <f>SUM(I75:I86)</f>
        <v>1232253413.9901323</v>
      </c>
      <c r="J158" s="4"/>
      <c r="K158" s="30"/>
      <c r="L158" s="4"/>
      <c r="M158" s="30">
        <f>'Power Purchased Model'!I158</f>
        <v>1245247088.4116158</v>
      </c>
      <c r="N158" s="4">
        <f t="shared" si="24"/>
        <v>0.98956538461932264</v>
      </c>
      <c r="O158" s="4"/>
      <c r="P158"/>
    </row>
    <row r="159" spans="1:16" x14ac:dyDescent="0.2">
      <c r="A159" s="21">
        <v>2022</v>
      </c>
      <c r="B159" s="5">
        <f>SUM(B87:B98)</f>
        <v>1291378653.1886678</v>
      </c>
      <c r="C159" s="128">
        <f t="shared" si="25"/>
        <v>3.4902484770341469E-2</v>
      </c>
      <c r="D159" s="128">
        <f t="shared" si="26"/>
        <v>6.1222372370339083E-2</v>
      </c>
      <c r="F159" s="35"/>
      <c r="G159" s="35"/>
      <c r="H159" s="35"/>
      <c r="I159" s="5">
        <f>SUM(I87:I98)</f>
        <v>1287579154.7917831</v>
      </c>
      <c r="J159" s="4"/>
      <c r="K159" s="30"/>
      <c r="L159" s="4"/>
      <c r="M159" s="30">
        <f>'Power Purchased Model'!I159</f>
        <v>1293544336.379257</v>
      </c>
      <c r="N159" s="4">
        <f t="shared" si="24"/>
        <v>0.99538849854642719</v>
      </c>
      <c r="O159" s="4"/>
      <c r="P159"/>
    </row>
    <row r="160" spans="1:16" x14ac:dyDescent="0.2">
      <c r="A160" s="21">
        <v>2023</v>
      </c>
      <c r="B160" s="5">
        <f>SUM(B99:B110)</f>
        <v>1271942670.8887992</v>
      </c>
      <c r="C160" s="128">
        <f t="shared" si="25"/>
        <v>-1.5050568051343673E-2</v>
      </c>
      <c r="D160" s="128">
        <f t="shared" si="26"/>
        <v>-1.4312176668903802</v>
      </c>
      <c r="F160" s="35"/>
      <c r="G160" s="35"/>
      <c r="H160" s="35"/>
      <c r="I160" s="5">
        <f>SUM(I99:I110)</f>
        <v>1306477776.9368026</v>
      </c>
      <c r="J160" s="4"/>
      <c r="K160" s="30"/>
      <c r="L160" s="4"/>
      <c r="M160" s="30">
        <f>'Power Purchased Model'!I160</f>
        <v>1274798029.3695586</v>
      </c>
      <c r="N160" s="4">
        <f t="shared" si="24"/>
        <v>1.0248507974105601</v>
      </c>
      <c r="O160" s="4"/>
      <c r="P160"/>
    </row>
    <row r="161" spans="1:18" x14ac:dyDescent="0.2">
      <c r="A161" s="21">
        <v>2024</v>
      </c>
      <c r="B161" s="5">
        <f>SUM(B111:B122)</f>
        <v>1308826098.3040588</v>
      </c>
      <c r="C161" s="128">
        <f t="shared" si="25"/>
        <v>2.8997712129184609E-2</v>
      </c>
      <c r="D161" s="128">
        <f t="shared" si="26"/>
        <v>-2.9266855596587118</v>
      </c>
      <c r="F161" s="35"/>
      <c r="G161" s="35"/>
      <c r="H161" s="35"/>
      <c r="I161" s="5">
        <f>SUM(I111:I122)</f>
        <v>1291965561.976059</v>
      </c>
      <c r="J161" s="4"/>
      <c r="K161" s="30"/>
      <c r="L161" s="4"/>
      <c r="M161" s="30">
        <f>'Power Purchased Model'!I161</f>
        <v>1278219103.2741249</v>
      </c>
      <c r="N161" s="4">
        <f t="shared" si="24"/>
        <v>1.0107543837098998</v>
      </c>
      <c r="O161" s="4"/>
      <c r="P161"/>
    </row>
    <row r="162" spans="1:18" x14ac:dyDescent="0.2">
      <c r="A162" s="21">
        <v>2025</v>
      </c>
      <c r="F162" s="35"/>
      <c r="G162" s="35"/>
      <c r="H162" s="35"/>
      <c r="I162" s="12">
        <f>SUM(I123:I134)</f>
        <v>1282056223.6225464</v>
      </c>
      <c r="J162" s="4"/>
      <c r="K162" s="30"/>
      <c r="L162" s="4"/>
      <c r="M162" s="30">
        <f>'Power Purchased Model'!I162</f>
        <v>1282056223.6225464</v>
      </c>
      <c r="N162" s="4">
        <f t="shared" si="24"/>
        <v>1</v>
      </c>
      <c r="O162" s="4"/>
      <c r="P162"/>
    </row>
    <row r="163" spans="1:18" x14ac:dyDescent="0.2">
      <c r="A163" s="21">
        <v>2026</v>
      </c>
      <c r="F163" s="35"/>
      <c r="G163" s="35"/>
      <c r="H163" s="35"/>
      <c r="I163" s="12">
        <f>SUM(I135:I146)</f>
        <v>1275076683.9281175</v>
      </c>
      <c r="J163" s="4"/>
      <c r="K163" s="30"/>
      <c r="L163" s="4"/>
      <c r="M163" s="30">
        <f>'Power Purchased Model'!I163</f>
        <v>1275076683.9281175</v>
      </c>
      <c r="N163" s="4">
        <f t="shared" si="24"/>
        <v>1</v>
      </c>
      <c r="O163" s="4"/>
      <c r="P163"/>
      <c r="Q163" s="5"/>
      <c r="R163" s="30"/>
    </row>
    <row r="164" spans="1:18" x14ac:dyDescent="0.2">
      <c r="I164" s="5"/>
      <c r="P164"/>
      <c r="Q164" s="5"/>
      <c r="R164" s="30"/>
    </row>
    <row r="165" spans="1:18" x14ac:dyDescent="0.2">
      <c r="A165" s="36" t="s">
        <v>5</v>
      </c>
      <c r="B165" s="5">
        <f>SUM(B152:B161)</f>
        <v>12434102184.151709</v>
      </c>
      <c r="I165" s="5">
        <f>SUM(I152:I161)</f>
        <v>12432475050.76265</v>
      </c>
      <c r="J165" s="26">
        <f>I165-B165</f>
        <v>-1627133.3890590668</v>
      </c>
      <c r="K165" s="1" t="s">
        <v>58</v>
      </c>
      <c r="P165" s="4"/>
      <c r="Q165" s="5"/>
      <c r="R165" s="30"/>
    </row>
    <row r="166" spans="1:18" x14ac:dyDescent="0.2">
      <c r="P166" s="4"/>
      <c r="Q166" s="5"/>
      <c r="R166" s="30"/>
    </row>
    <row r="167" spans="1:18" x14ac:dyDescent="0.2">
      <c r="I167" s="5">
        <f>SUM(I152:I163)</f>
        <v>14989607958.313314</v>
      </c>
      <c r="J167" s="26">
        <f>I150-I167</f>
        <v>0</v>
      </c>
      <c r="P167" s="4"/>
      <c r="Q167" s="5"/>
      <c r="R167" s="30"/>
    </row>
    <row r="168" spans="1:18" x14ac:dyDescent="0.2">
      <c r="I168" s="184"/>
      <c r="J168" s="184"/>
      <c r="K168"/>
      <c r="L168"/>
      <c r="M168"/>
      <c r="N168"/>
      <c r="O168"/>
      <c r="P168" s="4"/>
      <c r="Q168" s="5"/>
      <c r="R168" s="30"/>
    </row>
    <row r="169" spans="1:18" x14ac:dyDescent="0.2">
      <c r="P169" s="5"/>
      <c r="Q169" s="5"/>
      <c r="R169" s="30"/>
    </row>
    <row r="170" spans="1:18" x14ac:dyDescent="0.2">
      <c r="J170" s="26"/>
      <c r="P170" s="5"/>
      <c r="Q170" s="5"/>
      <c r="R170" s="30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44" sqref="J44"/>
    </sheetView>
  </sheetViews>
  <sheetFormatPr defaultRowHeight="12.75" x14ac:dyDescent="0.2"/>
  <cols>
    <col min="1" max="1" width="27.28515625" customWidth="1"/>
    <col min="2" max="5" width="18" style="1" customWidth="1"/>
    <col min="6" max="6" width="15.5703125" style="1" customWidth="1"/>
    <col min="7" max="7" width="15.5703125" style="5" customWidth="1"/>
    <col min="8" max="8" width="15" style="5" customWidth="1"/>
    <col min="9" max="10" width="14.140625" style="5" bestFit="1" customWidth="1"/>
    <col min="11" max="11" width="14.140625" style="5" customWidth="1"/>
    <col min="12" max="12" width="11.42578125" style="5" customWidth="1"/>
    <col min="13" max="13" width="12.42578125" style="5" customWidth="1"/>
    <col min="14" max="14" width="16.85546875" style="5" bestFit="1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5" bestFit="1" customWidth="1"/>
  </cols>
  <sheetData>
    <row r="2" spans="1:22" s="115" customFormat="1" ht="38.25" x14ac:dyDescent="0.2">
      <c r="B2" s="116" t="s">
        <v>2</v>
      </c>
      <c r="C2" s="116" t="s">
        <v>3</v>
      </c>
      <c r="D2" s="116" t="s">
        <v>27</v>
      </c>
      <c r="E2" s="116" t="s">
        <v>4</v>
      </c>
      <c r="F2" s="116" t="s">
        <v>0</v>
      </c>
      <c r="G2" s="117" t="s">
        <v>1</v>
      </c>
      <c r="H2" s="118" t="str">
        <f>Inputs!B4</f>
        <v>Residential</v>
      </c>
      <c r="I2" s="118" t="str">
        <f>Inputs!C4</f>
        <v>General Service &lt; 50 kW</v>
      </c>
      <c r="J2" s="118" t="str">
        <f>Inputs!D4</f>
        <v>General Service &gt; 50 to 4999 kW</v>
      </c>
      <c r="K2" s="118" t="s">
        <v>114</v>
      </c>
      <c r="L2" s="118" t="str">
        <f>Inputs!F4</f>
        <v>USL</v>
      </c>
      <c r="M2" s="118" t="str">
        <f>Inputs!G4</f>
        <v>Sentinel Lighting</v>
      </c>
      <c r="N2" s="118" t="str">
        <f>Inputs!H4</f>
        <v>Street Lighting</v>
      </c>
      <c r="V2" s="119"/>
    </row>
    <row r="3" spans="1:22" x14ac:dyDescent="0.2">
      <c r="A3">
        <v>2015</v>
      </c>
      <c r="B3" s="51">
        <f>+'Power Purchased Model'!B152</f>
        <v>1231015857.4130769</v>
      </c>
      <c r="C3" s="51">
        <f>+'Power Purchased Model'!I152</f>
        <v>1199063315.6184342</v>
      </c>
      <c r="D3" s="20">
        <f>C3-B3</f>
        <v>-31952541.794642687</v>
      </c>
      <c r="E3" s="4">
        <f>D3/B3</f>
        <v>-2.5956238989308784E-2</v>
      </c>
      <c r="F3" s="14">
        <f>1 +(B3-G3)/G3</f>
        <v>1.0715344436293734</v>
      </c>
      <c r="G3" s="5">
        <f t="shared" ref="G3:G11" si="0">SUM(H3:N3)</f>
        <v>1148834612.5799999</v>
      </c>
      <c r="H3" s="32">
        <f>SUMIF(Inputs!A$24:A$143,'Rate Class Energy Model'!A3,Inputs!F$24:F$143)</f>
        <v>396832649.18000001</v>
      </c>
      <c r="I3" s="32">
        <f>SUMIF(Inputs!A$24:A$143,'Rate Class Energy Model'!A3,Inputs!H$24:H$143)</f>
        <v>152529020.18000001</v>
      </c>
      <c r="J3" s="32">
        <f>SUMIF(Inputs!A$24:A$143,'Rate Class Energy Model'!A3,Inputs!J$24:J$143)</f>
        <v>526568935.87000006</v>
      </c>
      <c r="K3" s="32">
        <f>SUMIF(Inputs!A$24:A$143,'Rate Class Energy Model'!A3,Inputs!M$24:M$143)</f>
        <v>60621606.239999995</v>
      </c>
      <c r="L3" s="32">
        <f>SUMIF(Inputs!A$24:A$143,'Rate Class Energy Model'!A3,Inputs!P$24:P$143)</f>
        <v>1247803</v>
      </c>
      <c r="M3" s="32">
        <f>SUMIF(Inputs!A$24:A$143,'Rate Class Energy Model'!A3,Inputs!R$24:R$143)</f>
        <v>452830</v>
      </c>
      <c r="N3" s="32">
        <f>SUMIF(Inputs!A$24:A$143,'Rate Class Energy Model'!A3,Inputs!U$24:U$143)</f>
        <v>10581768.109999999</v>
      </c>
    </row>
    <row r="4" spans="1:22" x14ac:dyDescent="0.2">
      <c r="A4">
        <v>2016</v>
      </c>
      <c r="B4" s="51">
        <f>+'Power Purchased Model'!B153</f>
        <v>1210096646.9295385</v>
      </c>
      <c r="C4" s="51">
        <f>+'Power Purchased Model'!I153</f>
        <v>1234463415.012821</v>
      </c>
      <c r="D4" s="20">
        <f t="shared" ref="D4:D11" si="1">C4-B4</f>
        <v>24366768.083282471</v>
      </c>
      <c r="E4" s="4">
        <f t="shared" ref="E4:E11" si="2">D4/B4</f>
        <v>2.0136216512218218E-2</v>
      </c>
      <c r="F4" s="14">
        <f>1 +(B4-G4)/G4</f>
        <v>1.03943939872206</v>
      </c>
      <c r="G4" s="5">
        <f t="shared" si="0"/>
        <v>1164182008.5108311</v>
      </c>
      <c r="H4" s="32">
        <f>SUMIF(Inputs!A$24:A$143,'Rate Class Energy Model'!A4,Inputs!F$24:F$143)</f>
        <v>405183154.93929309</v>
      </c>
      <c r="I4" s="32">
        <f>SUMIF(Inputs!A$24:A$143,'Rate Class Energy Model'!A4,Inputs!H$24:H$143)</f>
        <v>152498210.56566197</v>
      </c>
      <c r="J4" s="32">
        <f>SUMIF(Inputs!A$24:A$143,'Rate Class Energy Model'!A4,Inputs!J$24:J$143)</f>
        <v>527388658.34421581</v>
      </c>
      <c r="K4" s="32">
        <f>SUMIF(Inputs!A$24:A$143,'Rate Class Energy Model'!A4,Inputs!M$24:M$143)</f>
        <v>68820300.615814403</v>
      </c>
      <c r="L4" s="32">
        <f>SUMIF(Inputs!A$24:A$143,'Rate Class Energy Model'!A4,Inputs!P$24:P$143)</f>
        <v>1254320.98</v>
      </c>
      <c r="M4" s="32">
        <f>SUMIF(Inputs!A$24:A$143,'Rate Class Energy Model'!A4,Inputs!R$24:R$143)</f>
        <v>434815.05158768682</v>
      </c>
      <c r="N4" s="32">
        <f>SUMIF(Inputs!A$24:A$143,'Rate Class Energy Model'!A4,Inputs!U$24:U$143)</f>
        <v>8602548.0142581649</v>
      </c>
    </row>
    <row r="5" spans="1:22" x14ac:dyDescent="0.2">
      <c r="A5">
        <v>2017</v>
      </c>
      <c r="B5" s="51">
        <f>+'Power Purchased Model'!B154</f>
        <v>1188982964.0009999</v>
      </c>
      <c r="C5" s="51">
        <f>+'Power Purchased Model'!I154</f>
        <v>1213060463.1429799</v>
      </c>
      <c r="D5" s="20">
        <f t="shared" si="1"/>
        <v>24077499.141979933</v>
      </c>
      <c r="E5" s="4">
        <f t="shared" si="2"/>
        <v>2.0250499688370373E-2</v>
      </c>
      <c r="F5" s="14">
        <f>1 +(B5-G5)/G5</f>
        <v>1.0330537252584473</v>
      </c>
      <c r="G5" s="5">
        <f t="shared" si="0"/>
        <v>1150940105.9500003</v>
      </c>
      <c r="H5" s="32">
        <f>SUMIF(Inputs!A$24:A$143,'Rate Class Energy Model'!A5,Inputs!F$24:F$143)</f>
        <v>387000724.86000001</v>
      </c>
      <c r="I5" s="32">
        <f>SUMIF(Inputs!A$24:A$143,'Rate Class Energy Model'!A5,Inputs!H$24:H$143)</f>
        <v>152138066.16999999</v>
      </c>
      <c r="J5" s="32">
        <f>SUMIF(Inputs!A$24:A$143,'Rate Class Energy Model'!A5,Inputs!J$24:J$143)</f>
        <v>535305319.84000009</v>
      </c>
      <c r="K5" s="32">
        <f>SUMIF(Inputs!A$24:A$143,'Rate Class Energy Model'!A5,Inputs!M$24:M$143)</f>
        <v>68876378.480000004</v>
      </c>
      <c r="L5" s="32">
        <f>SUMIF(Inputs!A$24:A$143,'Rate Class Energy Model'!A5,Inputs!P$24:P$143)</f>
        <v>1348220.9</v>
      </c>
      <c r="M5" s="32">
        <f>SUMIF(Inputs!A$24:A$143,'Rate Class Energy Model'!A5,Inputs!R$24:R$143)</f>
        <v>423108.89999999997</v>
      </c>
      <c r="N5" s="32">
        <f>SUMIF(Inputs!A$24:A$143,'Rate Class Energy Model'!A5,Inputs!U$24:U$143)</f>
        <v>5848286.7999999998</v>
      </c>
    </row>
    <row r="6" spans="1:22" x14ac:dyDescent="0.2">
      <c r="A6">
        <v>2018</v>
      </c>
      <c r="B6" s="51">
        <f>+'Power Purchased Model'!B155</f>
        <v>1250101306.4174209</v>
      </c>
      <c r="C6" s="51">
        <f>+'Power Purchased Model'!I155</f>
        <v>1265520593.3952279</v>
      </c>
      <c r="D6" s="20">
        <f t="shared" si="1"/>
        <v>15419286.977807045</v>
      </c>
      <c r="E6" s="4">
        <f t="shared" si="2"/>
        <v>1.2334429936719382E-2</v>
      </c>
      <c r="F6" s="14">
        <f t="shared" ref="F6:F11" si="3">1 +(B6-G6)/G6</f>
        <v>1.0373855975952133</v>
      </c>
      <c r="G6" s="5">
        <f t="shared" si="0"/>
        <v>1205049799.5299997</v>
      </c>
      <c r="H6" s="32">
        <f>SUMIF(Inputs!A$24:A$143,'Rate Class Energy Model'!A6,Inputs!F$24:F$143)</f>
        <v>425242692</v>
      </c>
      <c r="I6" s="32">
        <f>SUMIF(Inputs!A$24:A$143,'Rate Class Energy Model'!A6,Inputs!H$24:H$143)</f>
        <v>158043644</v>
      </c>
      <c r="J6" s="32">
        <f>SUMIF(Inputs!A$24:A$143,'Rate Class Energy Model'!A6,Inputs!J$24:J$143)</f>
        <v>535709795.42999995</v>
      </c>
      <c r="K6" s="32">
        <f>SUMIF(Inputs!A$24:A$143,'Rate Class Energy Model'!A6,Inputs!M$24:M$143)</f>
        <v>78736784.100000009</v>
      </c>
      <c r="L6" s="32">
        <f>SUMIF(Inputs!A$24:A$143,'Rate Class Energy Model'!A6,Inputs!P$24:P$143)</f>
        <v>1344468</v>
      </c>
      <c r="M6" s="32">
        <f>SUMIF(Inputs!A$24:A$143,'Rate Class Energy Model'!A6,Inputs!R$24:R$143)</f>
        <v>420751</v>
      </c>
      <c r="N6" s="32">
        <f>SUMIF(Inputs!A$24:A$143,'Rate Class Energy Model'!A6,Inputs!U$24:U$143)</f>
        <v>5551665</v>
      </c>
    </row>
    <row r="7" spans="1:22" x14ac:dyDescent="0.2">
      <c r="A7">
        <v>2019</v>
      </c>
      <c r="B7" s="51">
        <f>+'Power Purchased Model'!B156</f>
        <v>1224321309.6899998</v>
      </c>
      <c r="C7" s="51">
        <f>+'Power Purchased Model'!I156</f>
        <v>1234831313.4750786</v>
      </c>
      <c r="D7" s="20">
        <f t="shared" si="1"/>
        <v>10510003.785078764</v>
      </c>
      <c r="E7" s="4">
        <f t="shared" si="2"/>
        <v>8.5843509394930937E-3</v>
      </c>
      <c r="F7" s="14">
        <f t="shared" si="3"/>
        <v>1.0438451860391167</v>
      </c>
      <c r="G7" s="5">
        <f t="shared" si="0"/>
        <v>1172895488.78</v>
      </c>
      <c r="H7" s="32">
        <f>SUMIF(Inputs!A$24:A$143,'Rate Class Energy Model'!A7,Inputs!F$24:F$143)</f>
        <v>411936659</v>
      </c>
      <c r="I7" s="32">
        <f>SUMIF(Inputs!A$24:A$143,'Rate Class Energy Model'!A7,Inputs!H$24:H$143)</f>
        <v>153655138</v>
      </c>
      <c r="J7" s="32">
        <f>SUMIF(Inputs!A$24:A$143,'Rate Class Energy Model'!A7,Inputs!J$24:J$143)</f>
        <v>517080386.50000006</v>
      </c>
      <c r="K7" s="32">
        <f>SUMIF(Inputs!A$24:A$143,'Rate Class Energy Model'!A7,Inputs!M$24:M$143)</f>
        <v>83222289.280000001</v>
      </c>
      <c r="L7" s="32">
        <f>SUMIF(Inputs!A$24:A$143,'Rate Class Energy Model'!A7,Inputs!P$24:P$143)</f>
        <v>1276935</v>
      </c>
      <c r="M7" s="32">
        <f>SUMIF(Inputs!A$24:A$143,'Rate Class Energy Model'!A7,Inputs!R$24:R$143)</f>
        <v>423572</v>
      </c>
      <c r="N7" s="32">
        <f>SUMIF(Inputs!A$24:A$143,'Rate Class Energy Model'!A7,Inputs!U$24:U$143)</f>
        <v>5300509</v>
      </c>
    </row>
    <row r="8" spans="1:22" x14ac:dyDescent="0.2">
      <c r="A8">
        <v>2020</v>
      </c>
      <c r="B8" s="51">
        <f>+'Power Purchased Model'!B157</f>
        <v>1208016677.0331349</v>
      </c>
      <c r="C8" s="51">
        <f>+'Power Purchased Model'!I157</f>
        <v>1193727392.6835506</v>
      </c>
      <c r="D8" s="20">
        <f>C8-B8</f>
        <v>-14289284.349584341</v>
      </c>
      <c r="E8" s="4">
        <f t="shared" si="2"/>
        <v>-1.1828714471623472E-2</v>
      </c>
      <c r="F8" s="14">
        <f t="shared" si="3"/>
        <v>1.04190992332999</v>
      </c>
      <c r="G8" s="5">
        <f t="shared" si="0"/>
        <v>1159425253.5500002</v>
      </c>
      <c r="H8" s="32">
        <f>SUMIF(Inputs!A$24:A$143,'Rate Class Energy Model'!A8,Inputs!F$24:F$143)</f>
        <v>439168361</v>
      </c>
      <c r="I8" s="32">
        <f>SUMIF(Inputs!A$24:A$143,'Rate Class Energy Model'!A8,Inputs!H$24:H$143)</f>
        <v>143543988</v>
      </c>
      <c r="J8" s="32">
        <f>SUMIF(Inputs!A$24:A$143,'Rate Class Energy Model'!A8,Inputs!J$24:J$143)</f>
        <v>492213122.17000002</v>
      </c>
      <c r="K8" s="32">
        <f>SUMIF(Inputs!A$24:A$143,'Rate Class Energy Model'!A8,Inputs!M$24:M$143)</f>
        <v>77427944.38000001</v>
      </c>
      <c r="L8" s="32">
        <f>SUMIF(Inputs!A$24:A$143,'Rate Class Energy Model'!A8,Inputs!P$24:P$143)</f>
        <v>1272419</v>
      </c>
      <c r="M8" s="32">
        <f>SUMIF(Inputs!A$24:A$143,'Rate Class Energy Model'!A8,Inputs!R$24:R$143)</f>
        <v>461598</v>
      </c>
      <c r="N8" s="32">
        <f>SUMIF(Inputs!A$24:A$143,'Rate Class Energy Model'!A8,Inputs!U$24:U$143)</f>
        <v>5337821</v>
      </c>
    </row>
    <row r="9" spans="1:22" x14ac:dyDescent="0.2">
      <c r="A9">
        <v>2021</v>
      </c>
      <c r="B9" s="51">
        <f>+'Power Purchased Model'!B158</f>
        <v>1247990626.4064798</v>
      </c>
      <c r="C9" s="51">
        <f>+'Power Purchased Model'!I158</f>
        <v>1245247088.4116158</v>
      </c>
      <c r="D9" s="20">
        <f t="shared" si="1"/>
        <v>-2743537.994863987</v>
      </c>
      <c r="E9" s="4">
        <f t="shared" si="2"/>
        <v>-2.1983642639719606E-3</v>
      </c>
      <c r="F9" s="14">
        <f t="shared" si="3"/>
        <v>1.0400265297067277</v>
      </c>
      <c r="G9" s="5">
        <f t="shared" si="0"/>
        <v>1199960376.74</v>
      </c>
      <c r="H9" s="32">
        <f>SUMIF(Inputs!A$24:A$143,'Rate Class Energy Model'!A9,Inputs!F$24:F$143)</f>
        <v>447806289</v>
      </c>
      <c r="I9" s="32">
        <f>SUMIF(Inputs!A$24:A$143,'Rate Class Energy Model'!A9,Inputs!H$24:H$143)</f>
        <v>153599300</v>
      </c>
      <c r="J9" s="32">
        <f>SUMIF(Inputs!A$24:A$143,'Rate Class Energy Model'!A9,Inputs!J$24:J$143)</f>
        <v>509952255.57999998</v>
      </c>
      <c r="K9" s="32">
        <f>SUMIF(Inputs!A$24:A$143,'Rate Class Energy Model'!A9,Inputs!M$24:M$143)</f>
        <v>81637911.159999996</v>
      </c>
      <c r="L9" s="32">
        <f>SUMIF(Inputs!A$24:A$143,'Rate Class Energy Model'!A9,Inputs!P$24:P$143)</f>
        <v>1247052</v>
      </c>
      <c r="M9" s="32">
        <f>SUMIF(Inputs!A$24:A$143,'Rate Class Energy Model'!A9,Inputs!R$24:R$143)</f>
        <v>357348</v>
      </c>
      <c r="N9" s="32">
        <f>SUMIF(Inputs!A$24:A$143,'Rate Class Energy Model'!A9,Inputs!U$24:U$143)</f>
        <v>5360221</v>
      </c>
    </row>
    <row r="10" spans="1:22" x14ac:dyDescent="0.2">
      <c r="A10">
        <v>2022</v>
      </c>
      <c r="B10" s="51">
        <f>+'Power Purchased Model'!B159</f>
        <v>1291380740</v>
      </c>
      <c r="C10" s="51">
        <f>+'Power Purchased Model'!I159</f>
        <v>1293544336.379257</v>
      </c>
      <c r="D10" s="20">
        <f t="shared" si="1"/>
        <v>2163596.3792569637</v>
      </c>
      <c r="E10" s="4">
        <f t="shared" si="2"/>
        <v>1.6754132319310908E-3</v>
      </c>
      <c r="F10" s="14">
        <f t="shared" si="3"/>
        <v>1.0386777839629397</v>
      </c>
      <c r="G10" s="5">
        <f t="shared" si="0"/>
        <v>1243292924.8500001</v>
      </c>
      <c r="H10" s="32">
        <f>SUMIF(Inputs!A$24:A$143,'Rate Class Energy Model'!A10,Inputs!F$24:F$143)</f>
        <v>447775679</v>
      </c>
      <c r="I10" s="32">
        <f>SUMIF(Inputs!A$24:A$143,'Rate Class Energy Model'!A10,Inputs!H$24:H$143)</f>
        <v>158958811</v>
      </c>
      <c r="J10" s="32">
        <f>SUMIF(Inputs!A$24:A$143,'Rate Class Energy Model'!A10,Inputs!J$24:J$143)</f>
        <v>527626633.36000001</v>
      </c>
      <c r="K10" s="32">
        <f>SUMIF(Inputs!A$24:A$143,'Rate Class Energy Model'!A10,Inputs!M$24:M$143)</f>
        <v>101920233.49000001</v>
      </c>
      <c r="L10" s="32">
        <f>SUMIF(Inputs!A$24:A$143,'Rate Class Energy Model'!A10,Inputs!P$24:P$143)</f>
        <v>1247677</v>
      </c>
      <c r="M10" s="32">
        <f>SUMIF(Inputs!A$24:A$143,'Rate Class Energy Model'!A10,Inputs!R$24:R$143)</f>
        <v>378834</v>
      </c>
      <c r="N10" s="32">
        <f>SUMIF(Inputs!A$24:A$143,'Rate Class Energy Model'!A10,Inputs!U$24:U$143)</f>
        <v>5385057</v>
      </c>
    </row>
    <row r="11" spans="1:22" x14ac:dyDescent="0.2">
      <c r="A11">
        <v>2023</v>
      </c>
      <c r="B11" s="51">
        <f>+'Power Purchased Model'!B160</f>
        <v>1271943858.9100001</v>
      </c>
      <c r="C11" s="51">
        <f>+'Power Purchased Model'!I160</f>
        <v>1274798029.3695586</v>
      </c>
      <c r="D11" s="20">
        <f t="shared" si="1"/>
        <v>2854170.4595584869</v>
      </c>
      <c r="E11" s="4">
        <f t="shared" si="2"/>
        <v>2.2439437397845418E-3</v>
      </c>
      <c r="F11" s="14">
        <f t="shared" si="3"/>
        <v>1.0400070832929702</v>
      </c>
      <c r="G11" s="5">
        <f t="shared" si="0"/>
        <v>1223014611.48</v>
      </c>
      <c r="H11" s="32">
        <f>SUMIF(Inputs!A$24:A$143,'Rate Class Energy Model'!A11,Inputs!F$24:F$143)</f>
        <v>429855844</v>
      </c>
      <c r="I11" s="32">
        <f>SUMIF(Inputs!A$24:A$143,'Rate Class Energy Model'!A11,Inputs!H$24:H$143)</f>
        <v>159307883</v>
      </c>
      <c r="J11" s="32">
        <f>SUMIF(Inputs!A$24:A$143,'Rate Class Energy Model'!A11,Inputs!J$24:J$143)</f>
        <v>523144015.48000002</v>
      </c>
      <c r="K11" s="32">
        <f>SUMIF(Inputs!A$24:A$143,'Rate Class Energy Model'!A11,Inputs!M$24:M$143)</f>
        <v>103677541</v>
      </c>
      <c r="L11" s="32">
        <f>SUMIF(Inputs!A$24:A$143,'Rate Class Energy Model'!A11,Inputs!P$24:P$143)</f>
        <v>1250514</v>
      </c>
      <c r="M11" s="32">
        <f>SUMIF(Inputs!A$24:A$143,'Rate Class Energy Model'!A11,Inputs!R$24:R$143)</f>
        <v>365715</v>
      </c>
      <c r="N11" s="32">
        <f>SUMIF(Inputs!A$24:A$143,'Rate Class Energy Model'!A11,Inputs!U$24:U$143)</f>
        <v>5413099</v>
      </c>
    </row>
    <row r="12" spans="1:22" x14ac:dyDescent="0.2">
      <c r="A12">
        <v>2024</v>
      </c>
      <c r="B12" s="51">
        <f>+'Power Purchased Model'!B161</f>
        <v>1308625063.9620001</v>
      </c>
      <c r="C12" s="51">
        <f>+'Power Purchased Model'!I161</f>
        <v>1278219103.2741249</v>
      </c>
      <c r="D12" s="20">
        <f>C12-B12</f>
        <v>-30405960.687875271</v>
      </c>
      <c r="E12" s="4">
        <f>D12/B12</f>
        <v>-2.32350438068319E-2</v>
      </c>
      <c r="F12" s="14">
        <f>1 +(B12-G12)/G12</f>
        <v>1.0397330339967323</v>
      </c>
      <c r="G12" s="5">
        <f>SUM(H12:N12)</f>
        <v>1258616415.1499999</v>
      </c>
      <c r="H12" s="32">
        <f>SUMIF(Inputs!A$24:A$143,'Rate Class Energy Model'!A12,Inputs!F$24:F$143)</f>
        <v>452835509.43999988</v>
      </c>
      <c r="I12" s="32">
        <f>SUMIF(Inputs!A$24:A$143,'Rate Class Energy Model'!A12,Inputs!H$24:H$143)</f>
        <v>165653053.61000001</v>
      </c>
      <c r="J12" s="32">
        <f>SUMIF(Inputs!A$24:A$143,'Rate Class Energy Model'!A12,Inputs!J$24:J$143)</f>
        <v>525118764.23000008</v>
      </c>
      <c r="K12" s="32">
        <f>SUMIF(Inputs!A$24:A$143,'Rate Class Energy Model'!A12,Inputs!M$24:M$143)</f>
        <v>108051126.57999998</v>
      </c>
      <c r="L12" s="32">
        <f>SUMIF(Inputs!A$24:A$143,'Rate Class Energy Model'!A12,Inputs!P$24:P$143)</f>
        <v>1238523</v>
      </c>
      <c r="M12" s="32">
        <f>SUMIF(Inputs!A$24:A$143,'Rate Class Energy Model'!A12,Inputs!R$24:R$143)</f>
        <v>358166</v>
      </c>
      <c r="N12" s="32">
        <f>SUMIF(Inputs!A$24:A$143,'Rate Class Energy Model'!A12,Inputs!U$24:U$143)</f>
        <v>5361272.29</v>
      </c>
    </row>
    <row r="13" spans="1:22" x14ac:dyDescent="0.2">
      <c r="A13">
        <v>2025</v>
      </c>
      <c r="B13" s="5"/>
      <c r="C13" s="113">
        <f>+'Power Purchased Model'!I162</f>
        <v>1282056223.6225464</v>
      </c>
      <c r="G13" s="12">
        <f>C13/$F$16</f>
        <v>1229717868.7081606</v>
      </c>
      <c r="H13"/>
      <c r="I13"/>
      <c r="J13"/>
      <c r="K13"/>
      <c r="L13"/>
      <c r="M13"/>
      <c r="N13"/>
    </row>
    <row r="14" spans="1:22" x14ac:dyDescent="0.2">
      <c r="A14">
        <v>2026</v>
      </c>
      <c r="B14" s="5"/>
      <c r="C14" s="12">
        <f>+'Power Purchased Model'!I163</f>
        <v>1275076683.9281175</v>
      </c>
      <c r="G14" s="12">
        <f>C14/$F$16</f>
        <v>1223023260.0635059</v>
      </c>
      <c r="H14"/>
      <c r="I14"/>
      <c r="J14"/>
      <c r="K14"/>
      <c r="L14"/>
      <c r="M14"/>
      <c r="N14"/>
    </row>
    <row r="15" spans="1:22" x14ac:dyDescent="0.2">
      <c r="H15" s="28"/>
      <c r="I15" s="28"/>
      <c r="J15" s="28"/>
      <c r="K15" s="28"/>
      <c r="L15" s="28"/>
      <c r="M15" s="28"/>
      <c r="N15" s="28"/>
    </row>
    <row r="16" spans="1:22" x14ac:dyDescent="0.2">
      <c r="A16" s="11" t="s">
        <v>7</v>
      </c>
      <c r="C16" s="29"/>
      <c r="D16" s="31"/>
      <c r="E16" s="46" t="s">
        <v>59</v>
      </c>
      <c r="F16" s="14">
        <f>AVERAGE(F3:F12)</f>
        <v>1.0425612705533571</v>
      </c>
      <c r="H16" s="50"/>
      <c r="I16" s="50"/>
      <c r="J16" s="50"/>
      <c r="K16" s="50"/>
      <c r="L16" s="50"/>
      <c r="M16" s="50"/>
      <c r="N16" s="50"/>
    </row>
    <row r="17" spans="1:17" x14ac:dyDescent="0.2">
      <c r="C17" s="29"/>
      <c r="D17" s="31"/>
      <c r="E17" s="46"/>
      <c r="F17" s="14"/>
    </row>
    <row r="18" spans="1:17" x14ac:dyDescent="0.2">
      <c r="C18" s="111">
        <f>C13/1000000</f>
        <v>1282.0562236225464</v>
      </c>
      <c r="D18" s="31"/>
      <c r="G18" s="111">
        <f>G13/1000000</f>
        <v>1229.7178687081607</v>
      </c>
    </row>
    <row r="19" spans="1:17" x14ac:dyDescent="0.2">
      <c r="A19" s="13" t="s">
        <v>9</v>
      </c>
      <c r="B19" s="8"/>
      <c r="C19" s="111">
        <f>C14/1000000</f>
        <v>1275.0766839281175</v>
      </c>
      <c r="G19" s="111">
        <f>G14/1000000</f>
        <v>1223.0232600635059</v>
      </c>
    </row>
    <row r="21" spans="1:17" x14ac:dyDescent="0.2">
      <c r="A21">
        <v>2024</v>
      </c>
      <c r="H21" s="5">
        <f>H12/'Rate Class Customer Model'!B12</f>
        <v>7972.877254784582</v>
      </c>
      <c r="I21" s="5">
        <f>I12/'Rate Class Customer Model'!C12</f>
        <v>28129.233080319242</v>
      </c>
      <c r="J21" s="5">
        <f>J12/'Rate Class Customer Model'!D12</f>
        <v>1032681.9355555557</v>
      </c>
      <c r="K21" s="5">
        <f>K12/'Rate Class Customer Model'!E12</f>
        <v>27012781.644999996</v>
      </c>
      <c r="L21" s="5">
        <f>L12/'Rate Class Customer Model'!F12</f>
        <v>5504.5466666666671</v>
      </c>
      <c r="M21" s="5">
        <f>M12/'Rate Class Customer Model'!G12</f>
        <v>1178.1776315789473</v>
      </c>
      <c r="N21" s="5">
        <f>N12/'Rate Class Customer Model'!H12</f>
        <v>283.89802695332151</v>
      </c>
    </row>
    <row r="22" spans="1:17" x14ac:dyDescent="0.2">
      <c r="A22">
        <v>2025</v>
      </c>
      <c r="H22" s="12">
        <f t="shared" ref="H22:N22" si="4">H21</f>
        <v>7972.877254784582</v>
      </c>
      <c r="I22" s="12">
        <f t="shared" si="4"/>
        <v>28129.233080319242</v>
      </c>
      <c r="J22" s="12">
        <f t="shared" si="4"/>
        <v>1032681.9355555557</v>
      </c>
      <c r="K22" s="12">
        <f t="shared" ref="K22" si="5">K21</f>
        <v>27012781.644999996</v>
      </c>
      <c r="L22" s="12">
        <f t="shared" si="4"/>
        <v>5504.5466666666671</v>
      </c>
      <c r="M22" s="12">
        <f t="shared" si="4"/>
        <v>1178.1776315789473</v>
      </c>
      <c r="N22" s="12">
        <f t="shared" si="4"/>
        <v>283.89802695332151</v>
      </c>
    </row>
    <row r="23" spans="1:17" x14ac:dyDescent="0.2">
      <c r="A23">
        <v>2026</v>
      </c>
      <c r="H23" s="12">
        <f t="shared" ref="H23:N23" si="6">H22</f>
        <v>7972.877254784582</v>
      </c>
      <c r="I23" s="12">
        <f t="shared" si="6"/>
        <v>28129.233080319242</v>
      </c>
      <c r="J23" s="12">
        <f t="shared" si="6"/>
        <v>1032681.9355555557</v>
      </c>
      <c r="K23" s="12">
        <f t="shared" ref="K23" si="7">K22</f>
        <v>27012781.644999996</v>
      </c>
      <c r="L23" s="12">
        <f t="shared" si="6"/>
        <v>5504.5466666666671</v>
      </c>
      <c r="M23" s="12">
        <f t="shared" si="6"/>
        <v>1178.1776315789473</v>
      </c>
      <c r="N23" s="12">
        <f t="shared" si="6"/>
        <v>283.89802695332151</v>
      </c>
    </row>
    <row r="24" spans="1:17" x14ac:dyDescent="0.2">
      <c r="H24"/>
      <c r="I24"/>
      <c r="J24"/>
      <c r="K24"/>
      <c r="L24"/>
      <c r="M24"/>
      <c r="N24"/>
    </row>
    <row r="25" spans="1:17" x14ac:dyDescent="0.2">
      <c r="D25" s="5"/>
      <c r="H25" s="15"/>
      <c r="I25" s="15"/>
      <c r="J25" s="15"/>
      <c r="K25" s="15"/>
      <c r="L25" s="15"/>
      <c r="M25" s="15"/>
      <c r="N25" s="15"/>
    </row>
    <row r="26" spans="1:17" x14ac:dyDescent="0.2">
      <c r="A26" s="11" t="s">
        <v>29</v>
      </c>
    </row>
    <row r="27" spans="1:17" x14ac:dyDescent="0.2">
      <c r="A27" s="37">
        <f>A22</f>
        <v>2025</v>
      </c>
      <c r="G27" s="5">
        <f>SUM(H27:N27)</f>
        <v>1256398112.4738688</v>
      </c>
      <c r="H27" s="5">
        <f>H22*'Rate Class Customer Model'!B13</f>
        <v>458775200.92472821</v>
      </c>
      <c r="I27" s="5">
        <f>I22*'Rate Class Customer Model'!C13</f>
        <v>166824867.76641628</v>
      </c>
      <c r="J27" s="5">
        <f>J22*'Rate Class Customer Model'!D13</f>
        <v>515791929.62485051</v>
      </c>
      <c r="K27" s="5">
        <f>K21*'Rate Class Customer Model'!E13</f>
        <v>108051126.57999998</v>
      </c>
      <c r="L27" s="5">
        <f>L22*'Rate Class Customer Model'!F13</f>
        <v>1223836.7687942707</v>
      </c>
      <c r="M27" s="5">
        <f>M22*'Rate Class Customer Model'!G13</f>
        <v>337319.97036622465</v>
      </c>
      <c r="N27" s="5">
        <f>N22*'Rate Class Customer Model'!H13</f>
        <v>5393830.8387133554</v>
      </c>
    </row>
    <row r="28" spans="1:17" x14ac:dyDescent="0.2">
      <c r="A28" s="37">
        <f>A23</f>
        <v>2026</v>
      </c>
      <c r="G28" s="5">
        <f>SUM(H28:N28)</f>
        <v>1254433250.6640415</v>
      </c>
      <c r="H28" s="5">
        <f>H23*'Rate Class Customer Model'!B14</f>
        <v>464792801.35033745</v>
      </c>
      <c r="I28" s="5">
        <f>I23*'Rate Class Customer Model'!C14</f>
        <v>168004971.22621244</v>
      </c>
      <c r="J28" s="5">
        <f>J23*'Rate Class Customer Model'!D14</f>
        <v>506630752.48554933</v>
      </c>
      <c r="K28" s="5">
        <f>K23*'Rate Class Customer Model'!E14</f>
        <v>108051126.57999998</v>
      </c>
      <c r="L28" s="5">
        <f>L23*'Rate Class Customer Model'!F14</f>
        <v>1209324.6848486469</v>
      </c>
      <c r="M28" s="5">
        <f>M23*'Rate Class Customer Model'!G14</f>
        <v>317687.22438162932</v>
      </c>
      <c r="N28" s="5">
        <f>N23*'Rate Class Customer Model'!H14</f>
        <v>5426587.112712238</v>
      </c>
    </row>
    <row r="30" spans="1:17" x14ac:dyDescent="0.2">
      <c r="A30" s="11" t="s">
        <v>124</v>
      </c>
      <c r="P30" s="5"/>
    </row>
    <row r="31" spans="1:17" x14ac:dyDescent="0.2">
      <c r="A31" s="37">
        <f>A27</f>
        <v>2025</v>
      </c>
      <c r="F31" s="5"/>
      <c r="G31" s="12">
        <f>SUM(H31:N31)</f>
        <v>1229717868.7081606</v>
      </c>
      <c r="H31" s="5">
        <f>H27+H39</f>
        <v>444972212.90665436</v>
      </c>
      <c r="I31" s="5">
        <f t="shared" ref="I31:N31" si="8">I27+I39</f>
        <v>161805673.95154744</v>
      </c>
      <c r="J31" s="5">
        <f t="shared" si="8"/>
        <v>507933867.69208497</v>
      </c>
      <c r="K31" s="5">
        <f t="shared" si="8"/>
        <v>108051126.57999998</v>
      </c>
      <c r="L31" s="5">
        <f t="shared" si="8"/>
        <v>1223836.7687942707</v>
      </c>
      <c r="M31" s="5">
        <f t="shared" si="8"/>
        <v>337319.97036622465</v>
      </c>
      <c r="N31" s="5">
        <f t="shared" si="8"/>
        <v>5393830.8387133554</v>
      </c>
      <c r="O31" s="5">
        <f>SUM(H31:N31)</f>
        <v>1229717868.7081606</v>
      </c>
      <c r="P31" s="5"/>
      <c r="Q31" s="5"/>
    </row>
    <row r="32" spans="1:17" x14ac:dyDescent="0.2">
      <c r="A32" s="37">
        <f>A28</f>
        <v>2026</v>
      </c>
      <c r="F32" s="5"/>
      <c r="G32" s="12">
        <f>SUM(H32:N32)</f>
        <v>1223023260.0635059</v>
      </c>
      <c r="H32" s="5">
        <f>H28+H40</f>
        <v>448377107.1259684</v>
      </c>
      <c r="I32" s="5">
        <f t="shared" ref="I32:N32" si="9">I28+I40</f>
        <v>162071320.30087325</v>
      </c>
      <c r="J32" s="5">
        <f t="shared" si="9"/>
        <v>497570107.03472197</v>
      </c>
      <c r="K32" s="5">
        <f t="shared" si="9"/>
        <v>108051126.57999998</v>
      </c>
      <c r="L32" s="5">
        <f t="shared" si="9"/>
        <v>1209324.6848486469</v>
      </c>
      <c r="M32" s="5">
        <f t="shared" si="9"/>
        <v>317687.22438162932</v>
      </c>
      <c r="N32" s="5">
        <f t="shared" si="9"/>
        <v>5426587.112712238</v>
      </c>
      <c r="O32" s="5">
        <f>SUM(H32:N32)</f>
        <v>1223023260.0635059</v>
      </c>
      <c r="P32" s="5">
        <f>O32-G32</f>
        <v>0</v>
      </c>
      <c r="Q32" s="5"/>
    </row>
    <row r="33" spans="1:16" x14ac:dyDescent="0.2">
      <c r="P33" s="5"/>
    </row>
    <row r="34" spans="1:16" x14ac:dyDescent="0.2">
      <c r="A34" t="s">
        <v>30</v>
      </c>
      <c r="H34" s="52">
        <f>(100%+J34)/2</f>
        <v>0.66950972636319506</v>
      </c>
      <c r="I34" s="52">
        <f>H34</f>
        <v>0.66950972636319506</v>
      </c>
      <c r="J34" s="52">
        <v>0.33901945272639</v>
      </c>
      <c r="K34" s="142">
        <v>0</v>
      </c>
      <c r="L34" s="45">
        <v>0</v>
      </c>
      <c r="M34" s="45">
        <v>0</v>
      </c>
      <c r="N34" s="45">
        <v>0</v>
      </c>
    </row>
    <row r="35" spans="1:16" x14ac:dyDescent="0.2">
      <c r="A35" s="37">
        <f>+A31</f>
        <v>2025</v>
      </c>
      <c r="G35" s="5">
        <f>G13-G27</f>
        <v>-26680243.765708208</v>
      </c>
      <c r="H35" s="5">
        <f>H27*H$34</f>
        <v>307154459.2333346</v>
      </c>
      <c r="I35" s="5">
        <f t="shared" ref="H35:N36" si="10">I27*I$34</f>
        <v>111690871.56886956</v>
      </c>
      <c r="J35" s="5">
        <f t="shared" si="10"/>
        <v>174863497.70210549</v>
      </c>
      <c r="K35" s="5">
        <f t="shared" ref="K35" si="11">K27*K$34</f>
        <v>0</v>
      </c>
      <c r="L35" s="5">
        <f t="shared" si="10"/>
        <v>0</v>
      </c>
      <c r="M35" s="5">
        <f t="shared" si="10"/>
        <v>0</v>
      </c>
      <c r="N35" s="5">
        <f t="shared" si="10"/>
        <v>0</v>
      </c>
      <c r="O35" s="5">
        <f>SUM(H35:N35)</f>
        <v>593708828.50430965</v>
      </c>
    </row>
    <row r="36" spans="1:16" x14ac:dyDescent="0.2">
      <c r="A36" s="37">
        <f>+A32</f>
        <v>2026</v>
      </c>
      <c r="G36" s="5">
        <f>G14-G28</f>
        <v>-31409990.600535631</v>
      </c>
      <c r="H36" s="5">
        <f t="shared" si="10"/>
        <v>311183301.24764729</v>
      </c>
      <c r="I36" s="5">
        <f t="shared" si="10"/>
        <v>112480962.31331795</v>
      </c>
      <c r="J36" s="5">
        <f t="shared" si="10"/>
        <v>171757680.44201007</v>
      </c>
      <c r="K36" s="5">
        <f t="shared" ref="K36" si="12">K28*K$34</f>
        <v>0</v>
      </c>
      <c r="L36" s="5">
        <f t="shared" si="10"/>
        <v>0</v>
      </c>
      <c r="M36" s="5">
        <f t="shared" si="10"/>
        <v>0</v>
      </c>
      <c r="N36" s="5">
        <f t="shared" si="10"/>
        <v>0</v>
      </c>
      <c r="O36" s="5">
        <f>SUM(H36:N36)</f>
        <v>595421944.00297534</v>
      </c>
    </row>
    <row r="37" spans="1:16" ht="12" customHeight="1" x14ac:dyDescent="0.2"/>
    <row r="38" spans="1:16" x14ac:dyDescent="0.2">
      <c r="A38" t="s">
        <v>31</v>
      </c>
    </row>
    <row r="39" spans="1:16" x14ac:dyDescent="0.2">
      <c r="A39" s="37">
        <f>+A35</f>
        <v>2025</v>
      </c>
      <c r="G39" s="5">
        <f>SUM(H39:N39)</f>
        <v>-26680243.765708208</v>
      </c>
      <c r="H39" s="5">
        <f>H35/$O35*$G35</f>
        <v>-13802988.018073855</v>
      </c>
      <c r="I39" s="5">
        <f t="shared" ref="H39:N40" si="13">I35/$O35*$G35</f>
        <v>-5019193.8148688274</v>
      </c>
      <c r="J39" s="5">
        <f t="shared" si="13"/>
        <v>-7858061.9327655258</v>
      </c>
      <c r="K39" s="5">
        <f t="shared" ref="K39" si="14">K35/$O35*$G35</f>
        <v>0</v>
      </c>
      <c r="L39" s="5">
        <f t="shared" si="13"/>
        <v>0</v>
      </c>
      <c r="M39" s="5">
        <f t="shared" si="13"/>
        <v>0</v>
      </c>
      <c r="N39" s="5">
        <f t="shared" si="13"/>
        <v>0</v>
      </c>
    </row>
    <row r="40" spans="1:16" x14ac:dyDescent="0.2">
      <c r="A40" s="37">
        <f>+A36</f>
        <v>2026</v>
      </c>
      <c r="G40" s="5">
        <f>SUM(H40:N40)</f>
        <v>-31409990.600535631</v>
      </c>
      <c r="H40" s="5">
        <f t="shared" si="13"/>
        <v>-16415694.224369075</v>
      </c>
      <c r="I40" s="5">
        <f t="shared" si="13"/>
        <v>-5933650.9253391996</v>
      </c>
      <c r="J40" s="5">
        <f t="shared" si="13"/>
        <v>-9060645.4508273564</v>
      </c>
      <c r="K40" s="5">
        <f t="shared" ref="K40" si="15">K36/$O36*$G36</f>
        <v>0</v>
      </c>
      <c r="L40" s="5">
        <f t="shared" si="13"/>
        <v>0</v>
      </c>
      <c r="M40" s="5">
        <f t="shared" si="13"/>
        <v>0</v>
      </c>
      <c r="N40" s="5">
        <f t="shared" si="13"/>
        <v>0</v>
      </c>
    </row>
    <row r="41" spans="1:16" x14ac:dyDescent="0.2">
      <c r="A41" s="37"/>
      <c r="G41" s="16"/>
    </row>
    <row r="42" spans="1:16" x14ac:dyDescent="0.2">
      <c r="A42" s="37"/>
    </row>
    <row r="43" spans="1:16" x14ac:dyDescent="0.2">
      <c r="A43" s="37"/>
      <c r="M43" s="51"/>
    </row>
    <row r="44" spans="1:16" x14ac:dyDescent="0.2">
      <c r="A44" s="37"/>
    </row>
    <row r="46" spans="1:16" x14ac:dyDescent="0.2">
      <c r="A46" s="37"/>
    </row>
    <row r="47" spans="1:16" x14ac:dyDescent="0.2">
      <c r="A47" s="37"/>
      <c r="M47" s="51"/>
    </row>
    <row r="48" spans="1:16" x14ac:dyDescent="0.2">
      <c r="A48" s="37"/>
    </row>
    <row r="49" spans="6:6" customFormat="1" x14ac:dyDescent="0.2"/>
    <row r="50" spans="6:6" x14ac:dyDescent="0.2">
      <c r="F50" s="46"/>
    </row>
    <row r="52" spans="6:6" customFormat="1" x14ac:dyDescent="0.2"/>
    <row r="53" spans="6:6" customFormat="1" x14ac:dyDescent="0.2"/>
    <row r="54" spans="6:6" customFormat="1" x14ac:dyDescent="0.2"/>
    <row r="55" spans="6:6" customFormat="1" x14ac:dyDescent="0.2"/>
    <row r="56" spans="6:6" customFormat="1" x14ac:dyDescent="0.2"/>
    <row r="57" spans="6:6" customFormat="1" x14ac:dyDescent="0.2"/>
    <row r="58" spans="6:6" customFormat="1" x14ac:dyDescent="0.2"/>
    <row r="59" spans="6:6" customFormat="1" x14ac:dyDescent="0.2"/>
    <row r="60" spans="6:6" customFormat="1" x14ac:dyDescent="0.2"/>
    <row r="61" spans="6:6" customFormat="1" x14ac:dyDescent="0.2"/>
    <row r="62" spans="6:6" customFormat="1" x14ac:dyDescent="0.2"/>
    <row r="63" spans="6:6" customFormat="1" x14ac:dyDescent="0.2"/>
  </sheetData>
  <phoneticPr fontId="0" type="noConversion"/>
  <pageMargins left="0.38" right="0.75" top="0.73" bottom="0.74" header="0.5" footer="0.5"/>
  <pageSetup scale="41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82"/>
  <sheetViews>
    <sheetView workbookViewId="0">
      <selection activeCell="F37" sqref="F37"/>
    </sheetView>
  </sheetViews>
  <sheetFormatPr defaultRowHeight="12.75" x14ac:dyDescent="0.2"/>
  <cols>
    <col min="1" max="1" width="11" customWidth="1"/>
    <col min="2" max="2" width="15" style="5" customWidth="1"/>
    <col min="3" max="3" width="14.140625" style="5" bestFit="1" customWidth="1"/>
    <col min="4" max="4" width="17.85546875" style="5" bestFit="1" customWidth="1"/>
    <col min="5" max="6" width="12.5703125" style="5" customWidth="1"/>
    <col min="7" max="8" width="11.42578125" style="5" customWidth="1"/>
    <col min="9" max="9" width="11.5703125" customWidth="1"/>
    <col min="10" max="10" width="5" customWidth="1"/>
    <col min="11" max="11" width="12.5703125" bestFit="1" customWidth="1"/>
    <col min="12" max="12" width="9.140625" customWidth="1"/>
  </cols>
  <sheetData>
    <row r="1" spans="1:11" x14ac:dyDescent="0.2">
      <c r="B1" s="185" t="s">
        <v>48</v>
      </c>
      <c r="C1" s="186"/>
      <c r="D1" s="186"/>
      <c r="E1" s="187"/>
      <c r="F1" s="186"/>
      <c r="G1" s="186"/>
      <c r="H1" s="186"/>
    </row>
    <row r="2" spans="1:11" ht="25.5" x14ac:dyDescent="0.2">
      <c r="B2" s="7" t="str">
        <f>Inputs!B4</f>
        <v>Residential</v>
      </c>
      <c r="C2" s="7" t="str">
        <f>Inputs!C4</f>
        <v>General Service &lt; 50 kW</v>
      </c>
      <c r="D2" s="7" t="str">
        <f>Inputs!D4</f>
        <v>General Service &gt; 50 to 4999 kW</v>
      </c>
      <c r="E2" s="7" t="s">
        <v>114</v>
      </c>
      <c r="F2" s="7" t="str">
        <f>Inputs!F4</f>
        <v>USL</v>
      </c>
      <c r="G2" s="7" t="str">
        <f>Inputs!G4</f>
        <v>Sentinel Lighting</v>
      </c>
      <c r="H2" s="7" t="str">
        <f>Inputs!H4</f>
        <v>Street Lighting</v>
      </c>
      <c r="I2" s="1" t="s">
        <v>5</v>
      </c>
      <c r="J2" s="1"/>
    </row>
    <row r="3" spans="1:11" x14ac:dyDescent="0.2">
      <c r="A3" s="3">
        <v>2015</v>
      </c>
      <c r="B3" s="33">
        <f>Inputs!B5</f>
        <v>50511.5</v>
      </c>
      <c r="C3" s="33">
        <f>Inputs!C5</f>
        <v>5527</v>
      </c>
      <c r="D3" s="33">
        <f>Inputs!D5</f>
        <v>597.5</v>
      </c>
      <c r="E3" s="33">
        <f>ROUND(Inputs!E5,0)</f>
        <v>2</v>
      </c>
      <c r="F3" s="33">
        <f>Inputs!F5</f>
        <v>250.5</v>
      </c>
      <c r="G3" s="33">
        <f>Inputs!G5</f>
        <v>521.5</v>
      </c>
      <c r="H3" s="33">
        <f>Inputs!H5</f>
        <v>17883</v>
      </c>
      <c r="I3" s="44">
        <f>SUM(B3:H3)</f>
        <v>75293</v>
      </c>
      <c r="J3" s="5"/>
    </row>
    <row r="4" spans="1:11" x14ac:dyDescent="0.2">
      <c r="A4" s="3">
        <v>2016</v>
      </c>
      <c r="B4" s="33">
        <f>Inputs!B6</f>
        <v>51680.5</v>
      </c>
      <c r="C4" s="33">
        <f>Inputs!C6</f>
        <v>5637.5</v>
      </c>
      <c r="D4" s="33">
        <f>Inputs!D6</f>
        <v>583.5</v>
      </c>
      <c r="E4" s="33">
        <f>ROUND(Inputs!E6,0)</f>
        <v>2</v>
      </c>
      <c r="F4" s="33">
        <f>Inputs!F6</f>
        <v>257.5</v>
      </c>
      <c r="G4" s="33">
        <f>Inputs!G6</f>
        <v>519.5</v>
      </c>
      <c r="H4" s="33">
        <f>Inputs!H6</f>
        <v>17923</v>
      </c>
      <c r="I4" s="44">
        <f t="shared" ref="I4:I14" si="0">SUM(B4:H4)</f>
        <v>76603.5</v>
      </c>
      <c r="J4" s="5"/>
    </row>
    <row r="5" spans="1:11" x14ac:dyDescent="0.2">
      <c r="A5" s="3">
        <v>2017</v>
      </c>
      <c r="B5" s="33">
        <f>Inputs!B7</f>
        <v>52149</v>
      </c>
      <c r="C5" s="33">
        <f>Inputs!C7</f>
        <v>5654.5</v>
      </c>
      <c r="D5" s="33">
        <f>Inputs!D7</f>
        <v>562.5</v>
      </c>
      <c r="E5" s="33">
        <f>ROUND(Inputs!E7,0)</f>
        <v>2</v>
      </c>
      <c r="F5" s="33">
        <f>Inputs!F7</f>
        <v>246</v>
      </c>
      <c r="G5" s="33">
        <f>Inputs!G7</f>
        <v>451</v>
      </c>
      <c r="H5" s="33">
        <f>Inputs!H7</f>
        <v>17946.5</v>
      </c>
      <c r="I5" s="44">
        <f t="shared" si="0"/>
        <v>77011.5</v>
      </c>
      <c r="J5" s="5"/>
    </row>
    <row r="6" spans="1:11" x14ac:dyDescent="0.2">
      <c r="A6" s="3">
        <v>2018</v>
      </c>
      <c r="B6" s="33">
        <f>Inputs!B8</f>
        <v>52685.5</v>
      </c>
      <c r="C6" s="33">
        <f>Inputs!C8</f>
        <v>5686</v>
      </c>
      <c r="D6" s="33">
        <f>Inputs!D8</f>
        <v>549</v>
      </c>
      <c r="E6" s="33">
        <f>ROUND(Inputs!E8,0)</f>
        <v>2</v>
      </c>
      <c r="F6" s="33">
        <f>Inputs!F8</f>
        <v>228</v>
      </c>
      <c r="G6" s="33">
        <f>Inputs!G8</f>
        <v>381.5</v>
      </c>
      <c r="H6" s="33">
        <f>Inputs!H8</f>
        <v>18034</v>
      </c>
      <c r="I6" s="44">
        <f t="shared" si="0"/>
        <v>77566</v>
      </c>
      <c r="J6" s="5"/>
    </row>
    <row r="7" spans="1:11" x14ac:dyDescent="0.2">
      <c r="A7" s="3">
        <v>2019</v>
      </c>
      <c r="B7" s="33">
        <f>Inputs!B9</f>
        <v>53245</v>
      </c>
      <c r="C7" s="33">
        <f>Inputs!C9</f>
        <v>5693.5</v>
      </c>
      <c r="D7" s="33">
        <f>Inputs!D9</f>
        <v>556.5</v>
      </c>
      <c r="E7" s="33">
        <f>ROUND(Inputs!E9,0)</f>
        <v>2</v>
      </c>
      <c r="F7" s="33">
        <f>Inputs!F9</f>
        <v>228</v>
      </c>
      <c r="G7" s="33">
        <f>Inputs!G9</f>
        <v>393</v>
      </c>
      <c r="H7" s="33">
        <f>Inputs!H9</f>
        <v>18074.5</v>
      </c>
      <c r="I7" s="44">
        <f t="shared" si="0"/>
        <v>78192.5</v>
      </c>
      <c r="J7" s="5"/>
    </row>
    <row r="8" spans="1:11" x14ac:dyDescent="0.2">
      <c r="A8" s="3">
        <v>2020</v>
      </c>
      <c r="B8" s="33">
        <f>Inputs!B10</f>
        <v>53932.5</v>
      </c>
      <c r="C8" s="33">
        <f>Inputs!C10</f>
        <v>5703.5</v>
      </c>
      <c r="D8" s="33">
        <f>Inputs!D10</f>
        <v>559.5</v>
      </c>
      <c r="E8" s="33">
        <f>ROUND(Inputs!E10,0)</f>
        <v>2</v>
      </c>
      <c r="F8" s="33">
        <f>Inputs!F10</f>
        <v>226</v>
      </c>
      <c r="G8" s="33">
        <f>Inputs!G10</f>
        <v>376</v>
      </c>
      <c r="H8" s="33">
        <f>Inputs!H10</f>
        <v>18138</v>
      </c>
      <c r="I8" s="44">
        <f t="shared" si="0"/>
        <v>78937.5</v>
      </c>
      <c r="J8" s="5"/>
    </row>
    <row r="9" spans="1:11" x14ac:dyDescent="0.2">
      <c r="A9" s="3">
        <v>2021</v>
      </c>
      <c r="B9" s="33">
        <f>Inputs!B11</f>
        <v>54770.5</v>
      </c>
      <c r="C9" s="33">
        <f>Inputs!C11</f>
        <v>5732</v>
      </c>
      <c r="D9" s="33">
        <f>Inputs!D11</f>
        <v>541.5</v>
      </c>
      <c r="E9" s="33">
        <f>ROUND(Inputs!E11,0)</f>
        <v>2</v>
      </c>
      <c r="F9" s="33">
        <f>Inputs!F11</f>
        <v>224</v>
      </c>
      <c r="G9" s="33">
        <f>Inputs!G11</f>
        <v>341.5</v>
      </c>
      <c r="H9" s="33">
        <f>Inputs!H11</f>
        <v>18334.5</v>
      </c>
      <c r="I9" s="44">
        <f t="shared" si="0"/>
        <v>79946</v>
      </c>
      <c r="J9" s="5"/>
    </row>
    <row r="10" spans="1:11" x14ac:dyDescent="0.2">
      <c r="A10" s="3">
        <v>2022</v>
      </c>
      <c r="B10" s="33">
        <f>Inputs!B12</f>
        <v>55652</v>
      </c>
      <c r="C10" s="33">
        <f>Inputs!C12</f>
        <v>5798.5</v>
      </c>
      <c r="D10" s="33">
        <f>Inputs!D12</f>
        <v>521</v>
      </c>
      <c r="E10" s="33">
        <f>ROUND(Inputs!E12,0)</f>
        <v>3</v>
      </c>
      <c r="F10" s="33">
        <f>Inputs!F12</f>
        <v>224</v>
      </c>
      <c r="G10" s="33">
        <f>Inputs!G12</f>
        <v>323</v>
      </c>
      <c r="H10" s="33">
        <f>Inputs!H12</f>
        <v>18584.5</v>
      </c>
      <c r="I10" s="44">
        <f t="shared" si="0"/>
        <v>81106</v>
      </c>
      <c r="J10" s="5"/>
    </row>
    <row r="11" spans="1:11" x14ac:dyDescent="0.2">
      <c r="A11" s="3">
        <v>2023</v>
      </c>
      <c r="B11" s="33">
        <f>Inputs!B13</f>
        <v>56302</v>
      </c>
      <c r="C11" s="33">
        <f>Inputs!C13</f>
        <v>5860</v>
      </c>
      <c r="D11" s="33">
        <f>Inputs!D13</f>
        <v>512</v>
      </c>
      <c r="E11" s="33">
        <f>ROUND(Inputs!E13,0)</f>
        <v>4</v>
      </c>
      <c r="F11" s="33">
        <f>Inputs!F13</f>
        <v>224</v>
      </c>
      <c r="G11" s="33">
        <f>Inputs!G13</f>
        <v>308</v>
      </c>
      <c r="H11" s="33">
        <f>Inputs!H13</f>
        <v>18793</v>
      </c>
      <c r="I11" s="44">
        <f t="shared" si="0"/>
        <v>82003</v>
      </c>
      <c r="J11" s="5"/>
    </row>
    <row r="12" spans="1:11" x14ac:dyDescent="0.2">
      <c r="A12" s="3">
        <v>2024</v>
      </c>
      <c r="B12" s="33">
        <f>Inputs!B14</f>
        <v>56797</v>
      </c>
      <c r="C12" s="33">
        <f>Inputs!C14</f>
        <v>5889</v>
      </c>
      <c r="D12" s="33">
        <f>Inputs!D14</f>
        <v>508.5</v>
      </c>
      <c r="E12" s="33">
        <f>ROUND(Inputs!E14,0)</f>
        <v>4</v>
      </c>
      <c r="F12" s="33">
        <f>Inputs!F14</f>
        <v>225</v>
      </c>
      <c r="G12" s="33">
        <f>Inputs!G14</f>
        <v>304</v>
      </c>
      <c r="H12" s="33">
        <f>Inputs!H14</f>
        <v>18884.5</v>
      </c>
      <c r="I12" s="44">
        <f t="shared" si="0"/>
        <v>82612</v>
      </c>
      <c r="J12" s="5"/>
    </row>
    <row r="13" spans="1:11" x14ac:dyDescent="0.2">
      <c r="A13" s="3">
        <v>2025</v>
      </c>
      <c r="B13" s="48">
        <f>B12*B31</f>
        <v>57541.987197835493</v>
      </c>
      <c r="C13" s="48">
        <f>C12*C31</f>
        <v>5930.6582333784327</v>
      </c>
      <c r="D13" s="48">
        <f>D12*D31</f>
        <v>499.46833760326018</v>
      </c>
      <c r="E13" s="126">
        <v>4</v>
      </c>
      <c r="F13" s="48">
        <f>F12*F31</f>
        <v>222.33198170620236</v>
      </c>
      <c r="G13" s="48">
        <f>G12*G31</f>
        <v>286.30654777765699</v>
      </c>
      <c r="H13" s="48">
        <f>H12*H31</f>
        <v>18999.183955583492</v>
      </c>
      <c r="I13" s="44">
        <f t="shared" si="0"/>
        <v>83483.936253884531</v>
      </c>
      <c r="J13" s="5"/>
      <c r="K13" s="30"/>
    </row>
    <row r="14" spans="1:11" x14ac:dyDescent="0.2">
      <c r="A14" s="3">
        <v>2026</v>
      </c>
      <c r="B14" s="48">
        <f>B13*B31</f>
        <v>58296.746142857257</v>
      </c>
      <c r="C14" s="48">
        <f>C13*C31</f>
        <v>5972.6111531905917</v>
      </c>
      <c r="D14" s="48">
        <f>D13*D31</f>
        <v>490.5970900062228</v>
      </c>
      <c r="E14" s="126">
        <v>4</v>
      </c>
      <c r="F14" s="48">
        <f>F13*F31</f>
        <v>219.69560039736487</v>
      </c>
      <c r="G14" s="48">
        <f>G13*G31</f>
        <v>269.642892435394</v>
      </c>
      <c r="H14" s="48">
        <f>H13*H31</f>
        <v>19114.564377034141</v>
      </c>
      <c r="I14" s="44">
        <f t="shared" si="0"/>
        <v>84367.857255920972</v>
      </c>
      <c r="J14" s="5"/>
      <c r="K14" s="30"/>
    </row>
    <row r="15" spans="1:11" x14ac:dyDescent="0.2">
      <c r="A15" s="11"/>
    </row>
    <row r="16" spans="1:11" x14ac:dyDescent="0.2">
      <c r="A16" s="11" t="s">
        <v>28</v>
      </c>
      <c r="B16" s="4"/>
      <c r="C16" s="4"/>
      <c r="D16" s="4"/>
      <c r="E16" s="4"/>
      <c r="F16" s="4"/>
      <c r="G16" s="14"/>
      <c r="H16" s="14"/>
    </row>
    <row r="17" spans="1:10" x14ac:dyDescent="0.2">
      <c r="A17" s="3"/>
      <c r="B17" s="14"/>
      <c r="C17" s="14"/>
      <c r="D17" s="14"/>
      <c r="E17" s="14"/>
      <c r="F17" s="14"/>
      <c r="G17" s="14"/>
      <c r="H17" s="14"/>
    </row>
    <row r="18" spans="1:10" x14ac:dyDescent="0.2">
      <c r="A18" s="3">
        <f t="shared" ref="A18:A26" si="1">+A4</f>
        <v>2016</v>
      </c>
      <c r="B18" s="14">
        <f t="shared" ref="B18:H26" si="2">B4/B3</f>
        <v>1.0231432446076636</v>
      </c>
      <c r="C18" s="14">
        <f t="shared" si="2"/>
        <v>1.0199927628007961</v>
      </c>
      <c r="D18" s="14">
        <f t="shared" si="2"/>
        <v>0.97656903765690373</v>
      </c>
      <c r="E18" s="14">
        <f t="shared" si="2"/>
        <v>1</v>
      </c>
      <c r="F18" s="14">
        <f t="shared" si="2"/>
        <v>1.0279441117764472</v>
      </c>
      <c r="G18" s="14">
        <f t="shared" si="2"/>
        <v>0.99616490891658682</v>
      </c>
      <c r="H18" s="14">
        <f t="shared" si="2"/>
        <v>1.0022367611698262</v>
      </c>
    </row>
    <row r="19" spans="1:10" x14ac:dyDescent="0.2">
      <c r="A19" s="3">
        <f t="shared" si="1"/>
        <v>2017</v>
      </c>
      <c r="B19" s="14">
        <f t="shared" si="2"/>
        <v>1.0090653147705615</v>
      </c>
      <c r="C19" s="14">
        <f t="shared" si="2"/>
        <v>1.0030155210643015</v>
      </c>
      <c r="D19" s="14">
        <f t="shared" si="2"/>
        <v>0.96401028277634959</v>
      </c>
      <c r="E19" s="14">
        <f t="shared" si="2"/>
        <v>1</v>
      </c>
      <c r="F19" s="14">
        <f t="shared" si="2"/>
        <v>0.95533980582524269</v>
      </c>
      <c r="G19" s="14">
        <f t="shared" si="2"/>
        <v>0.86814244465832535</v>
      </c>
      <c r="H19" s="14">
        <f t="shared" si="2"/>
        <v>1.0013111644255983</v>
      </c>
    </row>
    <row r="20" spans="1:10" x14ac:dyDescent="0.2">
      <c r="A20" s="3">
        <f t="shared" si="1"/>
        <v>2018</v>
      </c>
      <c r="B20" s="14">
        <f t="shared" si="2"/>
        <v>1.0102878291050643</v>
      </c>
      <c r="C20" s="14">
        <f t="shared" si="2"/>
        <v>1.0055707843310637</v>
      </c>
      <c r="D20" s="14">
        <f t="shared" si="2"/>
        <v>0.97599999999999998</v>
      </c>
      <c r="E20" s="14">
        <f t="shared" si="2"/>
        <v>1</v>
      </c>
      <c r="F20" s="14">
        <f t="shared" si="2"/>
        <v>0.92682926829268297</v>
      </c>
      <c r="G20" s="14">
        <f t="shared" si="2"/>
        <v>0.84589800443458985</v>
      </c>
      <c r="H20" s="14">
        <f t="shared" si="2"/>
        <v>1.0048756024851642</v>
      </c>
    </row>
    <row r="21" spans="1:10" x14ac:dyDescent="0.2">
      <c r="A21" s="3">
        <f t="shared" si="1"/>
        <v>2019</v>
      </c>
      <c r="B21" s="14">
        <f t="shared" si="2"/>
        <v>1.010619620199106</v>
      </c>
      <c r="C21" s="14">
        <f t="shared" si="2"/>
        <v>1.0013190291945129</v>
      </c>
      <c r="D21" s="14">
        <f t="shared" si="2"/>
        <v>1.0136612021857923</v>
      </c>
      <c r="E21" s="14">
        <f t="shared" si="2"/>
        <v>1</v>
      </c>
      <c r="F21" s="14">
        <f t="shared" si="2"/>
        <v>1</v>
      </c>
      <c r="G21" s="14">
        <f t="shared" si="2"/>
        <v>1.0301441677588468</v>
      </c>
      <c r="H21" s="14">
        <f t="shared" si="2"/>
        <v>1.0022457580126427</v>
      </c>
    </row>
    <row r="22" spans="1:10" x14ac:dyDescent="0.2">
      <c r="A22" s="3">
        <f t="shared" si="1"/>
        <v>2020</v>
      </c>
      <c r="B22" s="14">
        <f t="shared" si="2"/>
        <v>1.0129120105174194</v>
      </c>
      <c r="C22" s="14">
        <f t="shared" si="2"/>
        <v>1.0017563888644947</v>
      </c>
      <c r="D22" s="14">
        <f t="shared" si="2"/>
        <v>1.0053908355795149</v>
      </c>
      <c r="E22" s="14">
        <f t="shared" si="2"/>
        <v>1</v>
      </c>
      <c r="F22" s="14">
        <f t="shared" si="2"/>
        <v>0.99122807017543857</v>
      </c>
      <c r="G22" s="14">
        <f t="shared" si="2"/>
        <v>0.95674300254452926</v>
      </c>
      <c r="H22" s="14">
        <f t="shared" si="2"/>
        <v>1.0035132368806883</v>
      </c>
    </row>
    <row r="23" spans="1:10" x14ac:dyDescent="0.2">
      <c r="A23" s="3">
        <f t="shared" si="1"/>
        <v>2021</v>
      </c>
      <c r="B23" s="14">
        <f t="shared" si="2"/>
        <v>1.0155379409446994</v>
      </c>
      <c r="C23" s="14">
        <f t="shared" si="2"/>
        <v>1.0049969317086</v>
      </c>
      <c r="D23" s="14">
        <f t="shared" si="2"/>
        <v>0.96782841823056298</v>
      </c>
      <c r="E23" s="14">
        <f t="shared" si="2"/>
        <v>1</v>
      </c>
      <c r="F23" s="14">
        <f t="shared" si="2"/>
        <v>0.99115044247787609</v>
      </c>
      <c r="G23" s="14">
        <f t="shared" si="2"/>
        <v>0.9082446808510638</v>
      </c>
      <c r="H23" s="14">
        <f t="shared" si="2"/>
        <v>1.0108336089976844</v>
      </c>
    </row>
    <row r="24" spans="1:10" x14ac:dyDescent="0.2">
      <c r="A24" s="3">
        <f t="shared" si="1"/>
        <v>2022</v>
      </c>
      <c r="B24" s="14">
        <f t="shared" si="2"/>
        <v>1.0160944303959247</v>
      </c>
      <c r="C24" s="14">
        <f t="shared" si="2"/>
        <v>1.0116015352407537</v>
      </c>
      <c r="D24" s="14">
        <f t="shared" si="2"/>
        <v>0.96214219759926134</v>
      </c>
      <c r="E24" s="14">
        <f t="shared" si="2"/>
        <v>1.5</v>
      </c>
      <c r="F24" s="14">
        <f t="shared" si="2"/>
        <v>1</v>
      </c>
      <c r="G24" s="14">
        <f t="shared" si="2"/>
        <v>0.94582723279648606</v>
      </c>
      <c r="H24" s="14">
        <f t="shared" si="2"/>
        <v>1.0136354959229867</v>
      </c>
    </row>
    <row r="25" spans="1:10" x14ac:dyDescent="0.2">
      <c r="A25" s="3">
        <f t="shared" si="1"/>
        <v>2023</v>
      </c>
      <c r="B25" s="14">
        <f t="shared" si="2"/>
        <v>1.0116797239991375</v>
      </c>
      <c r="C25" s="14">
        <f t="shared" si="2"/>
        <v>1.0106061912563593</v>
      </c>
      <c r="D25" s="14">
        <f t="shared" si="2"/>
        <v>0.98272552783109401</v>
      </c>
      <c r="E25" s="14">
        <f t="shared" si="2"/>
        <v>1.3333333333333333</v>
      </c>
      <c r="F25" s="14">
        <f t="shared" si="2"/>
        <v>1</v>
      </c>
      <c r="G25" s="14">
        <f t="shared" si="2"/>
        <v>0.95356037151702788</v>
      </c>
      <c r="H25" s="14">
        <f t="shared" si="2"/>
        <v>1.0112190266081951</v>
      </c>
    </row>
    <row r="26" spans="1:10" x14ac:dyDescent="0.2">
      <c r="A26" s="3">
        <f t="shared" si="1"/>
        <v>2024</v>
      </c>
      <c r="B26" s="14">
        <f t="shared" si="2"/>
        <v>1.0087918724024014</v>
      </c>
      <c r="C26" s="14">
        <f t="shared" si="2"/>
        <v>1.0049488054607509</v>
      </c>
      <c r="D26" s="14">
        <f t="shared" si="2"/>
        <v>0.9931640625</v>
      </c>
      <c r="E26" s="14">
        <f>E12/E11</f>
        <v>1</v>
      </c>
      <c r="F26" s="14">
        <f t="shared" si="2"/>
        <v>1.0044642857142858</v>
      </c>
      <c r="G26" s="14">
        <f t="shared" si="2"/>
        <v>0.98701298701298701</v>
      </c>
      <c r="H26" s="14">
        <f t="shared" si="2"/>
        <v>1.0048688341403713</v>
      </c>
    </row>
    <row r="27" spans="1:10" x14ac:dyDescent="0.2">
      <c r="A27" s="3"/>
      <c r="B27" s="14"/>
      <c r="C27" s="14"/>
      <c r="D27" s="14"/>
      <c r="E27" s="14"/>
      <c r="F27" s="14"/>
      <c r="G27" s="14"/>
      <c r="H27" s="14"/>
    </row>
    <row r="28" spans="1:10" x14ac:dyDescent="0.2">
      <c r="A28" s="3"/>
      <c r="B28" s="14"/>
      <c r="C28" s="14"/>
      <c r="D28" s="14"/>
      <c r="E28" s="14"/>
      <c r="F28" s="14"/>
      <c r="G28" s="14"/>
      <c r="H28" s="14"/>
    </row>
    <row r="29" spans="1:10" x14ac:dyDescent="0.2">
      <c r="A29" s="3"/>
      <c r="B29" s="14"/>
      <c r="C29" s="14"/>
      <c r="D29" s="14"/>
      <c r="E29" s="14"/>
      <c r="F29" s="14"/>
      <c r="G29" s="14"/>
      <c r="H29" s="14"/>
    </row>
    <row r="31" spans="1:10" x14ac:dyDescent="0.2">
      <c r="A31" t="s">
        <v>41</v>
      </c>
      <c r="B31" s="49">
        <f>B33</f>
        <v>1.013116664574458</v>
      </c>
      <c r="C31" s="49">
        <f>C33</f>
        <v>1.0070739061603724</v>
      </c>
      <c r="D31" s="49">
        <f>D33</f>
        <v>0.98223861868881057</v>
      </c>
      <c r="E31" s="172">
        <v>1</v>
      </c>
      <c r="F31" s="49">
        <f>F33</f>
        <v>0.98814214091645491</v>
      </c>
      <c r="G31" s="49">
        <f>+G33</f>
        <v>0.94179785453176634</v>
      </c>
      <c r="H31" s="49">
        <f>+H33</f>
        <v>1.0060729145904574</v>
      </c>
      <c r="I31" s="37" t="s">
        <v>50</v>
      </c>
      <c r="J31" s="37"/>
    </row>
    <row r="32" spans="1:10" x14ac:dyDescent="0.2">
      <c r="B32" s="15"/>
      <c r="C32" s="15"/>
      <c r="D32" s="15"/>
      <c r="E32" s="15"/>
      <c r="F32" s="15"/>
      <c r="G32" s="15"/>
      <c r="H32" s="15"/>
    </row>
    <row r="33" spans="1:8" x14ac:dyDescent="0.2">
      <c r="A33" t="s">
        <v>8</v>
      </c>
      <c r="B33" s="15">
        <f t="shared" ref="B33:H33" si="3">IF(B11="",0,GEOMEAN(B18:B26))</f>
        <v>1.013116664574458</v>
      </c>
      <c r="C33" s="15">
        <f t="shared" si="3"/>
        <v>1.0070739061603724</v>
      </c>
      <c r="D33" s="15">
        <f t="shared" si="3"/>
        <v>0.98223861868881057</v>
      </c>
      <c r="E33" s="15">
        <f t="shared" si="3"/>
        <v>1.0800597388923061</v>
      </c>
      <c r="F33" s="15">
        <f t="shared" si="3"/>
        <v>0.98814214091645491</v>
      </c>
      <c r="G33" s="15">
        <f t="shared" si="3"/>
        <v>0.94179785453176634</v>
      </c>
      <c r="H33" s="15">
        <f t="shared" si="3"/>
        <v>1.0060729145904574</v>
      </c>
    </row>
    <row r="34" spans="1:8" x14ac:dyDescent="0.2">
      <c r="A34" s="3"/>
      <c r="B34" s="15"/>
      <c r="C34" s="15"/>
      <c r="D34" s="15"/>
      <c r="E34" s="15"/>
      <c r="F34" s="15"/>
      <c r="G34" s="15"/>
      <c r="H34" s="15"/>
    </row>
    <row r="35" spans="1:8" x14ac:dyDescent="0.2">
      <c r="A35" s="2"/>
      <c r="B35"/>
      <c r="C35"/>
      <c r="D35"/>
      <c r="E35"/>
      <c r="F35"/>
      <c r="G35"/>
      <c r="H35"/>
    </row>
    <row r="36" spans="1:8" x14ac:dyDescent="0.2">
      <c r="A36" s="2"/>
      <c r="B36"/>
      <c r="C36"/>
      <c r="D36"/>
      <c r="E36"/>
      <c r="F36"/>
      <c r="G36"/>
      <c r="H36"/>
    </row>
    <row r="37" spans="1:8" x14ac:dyDescent="0.2">
      <c r="A37" s="2"/>
      <c r="B37"/>
      <c r="C37"/>
      <c r="D37"/>
      <c r="E37"/>
      <c r="F37"/>
      <c r="G37"/>
      <c r="H37"/>
    </row>
    <row r="38" spans="1:8" x14ac:dyDescent="0.2">
      <c r="A38" s="2"/>
      <c r="B38"/>
      <c r="C38"/>
      <c r="D38"/>
      <c r="E38"/>
      <c r="F38"/>
      <c r="G38"/>
      <c r="H38"/>
    </row>
    <row r="39" spans="1:8" x14ac:dyDescent="0.2">
      <c r="A39" s="2"/>
      <c r="B39"/>
      <c r="C39"/>
      <c r="D39"/>
      <c r="E39"/>
      <c r="F39"/>
      <c r="G39"/>
      <c r="H39"/>
    </row>
    <row r="40" spans="1:8" x14ac:dyDescent="0.2">
      <c r="A40" s="2"/>
      <c r="B40"/>
      <c r="C40"/>
      <c r="D40"/>
      <c r="E40"/>
      <c r="F40"/>
      <c r="G40"/>
      <c r="H40"/>
    </row>
    <row r="41" spans="1:8" x14ac:dyDescent="0.2">
      <c r="A41" s="2"/>
      <c r="B41"/>
      <c r="C41"/>
      <c r="D41"/>
      <c r="E41"/>
      <c r="F41"/>
      <c r="G41"/>
      <c r="H41"/>
    </row>
    <row r="42" spans="1:8" x14ac:dyDescent="0.2">
      <c r="A42" s="2"/>
      <c r="B42"/>
      <c r="C42"/>
      <c r="D42"/>
      <c r="E42"/>
      <c r="F42"/>
      <c r="G42"/>
      <c r="H42"/>
    </row>
    <row r="43" spans="1:8" x14ac:dyDescent="0.2">
      <c r="A43" s="2"/>
      <c r="B43"/>
      <c r="C43"/>
      <c r="D43"/>
      <c r="E43"/>
      <c r="F43"/>
      <c r="G43"/>
      <c r="H43"/>
    </row>
    <row r="44" spans="1:8" x14ac:dyDescent="0.2">
      <c r="A44" s="2"/>
      <c r="B44"/>
      <c r="C44"/>
      <c r="D44"/>
      <c r="E44"/>
      <c r="F44"/>
      <c r="G44"/>
      <c r="H44"/>
    </row>
    <row r="45" spans="1:8" x14ac:dyDescent="0.2">
      <c r="A45" s="2"/>
      <c r="B45"/>
      <c r="C45"/>
      <c r="D45"/>
      <c r="E45"/>
      <c r="F45"/>
      <c r="G45"/>
      <c r="H45"/>
    </row>
    <row r="46" spans="1:8" x14ac:dyDescent="0.2">
      <c r="A46" s="2"/>
      <c r="B46"/>
      <c r="C46"/>
      <c r="D46"/>
      <c r="E46"/>
      <c r="F46"/>
      <c r="G46"/>
      <c r="H46"/>
    </row>
    <row r="47" spans="1:8" x14ac:dyDescent="0.2">
      <c r="A47" s="2"/>
      <c r="B47"/>
      <c r="C47"/>
      <c r="D47"/>
      <c r="E47"/>
      <c r="F47"/>
      <c r="G47"/>
      <c r="H47"/>
    </row>
    <row r="48" spans="1:8" x14ac:dyDescent="0.2">
      <c r="A48" s="2"/>
      <c r="B48"/>
      <c r="C48"/>
      <c r="D48"/>
      <c r="E48"/>
      <c r="F48"/>
      <c r="G48"/>
      <c r="H48"/>
    </row>
    <row r="49" spans="1:8" x14ac:dyDescent="0.2">
      <c r="A49" s="2"/>
      <c r="B49"/>
      <c r="C49"/>
      <c r="D49"/>
      <c r="E49"/>
      <c r="F49"/>
      <c r="G49"/>
      <c r="H49"/>
    </row>
    <row r="50" spans="1:8" x14ac:dyDescent="0.2">
      <c r="A50" s="2"/>
      <c r="B50"/>
      <c r="C50"/>
      <c r="D50"/>
      <c r="E50"/>
      <c r="F50"/>
      <c r="G50"/>
      <c r="H50"/>
    </row>
    <row r="51" spans="1:8" x14ac:dyDescent="0.2">
      <c r="A51" s="2"/>
      <c r="B51"/>
      <c r="C51"/>
      <c r="D51"/>
      <c r="E51"/>
      <c r="F51"/>
      <c r="G51"/>
      <c r="H51"/>
    </row>
    <row r="52" spans="1:8" x14ac:dyDescent="0.2">
      <c r="A52" s="2"/>
      <c r="B52"/>
      <c r="C52"/>
      <c r="D52"/>
      <c r="E52"/>
      <c r="F52"/>
      <c r="G52"/>
      <c r="H52"/>
    </row>
    <row r="53" spans="1:8" x14ac:dyDescent="0.2">
      <c r="A53" s="2"/>
      <c r="B53"/>
      <c r="C53"/>
      <c r="D53"/>
      <c r="E53"/>
      <c r="F53"/>
      <c r="G53"/>
      <c r="H53"/>
    </row>
    <row r="54" spans="1:8" x14ac:dyDescent="0.2">
      <c r="A54" s="2"/>
      <c r="B54"/>
      <c r="C54"/>
      <c r="D54"/>
      <c r="E54"/>
      <c r="F54"/>
      <c r="G54"/>
      <c r="H54"/>
    </row>
    <row r="55" spans="1:8" x14ac:dyDescent="0.2">
      <c r="A55" s="2"/>
      <c r="B55"/>
      <c r="C55"/>
      <c r="D55"/>
      <c r="E55"/>
      <c r="F55"/>
      <c r="G55"/>
      <c r="H55"/>
    </row>
    <row r="56" spans="1:8" x14ac:dyDescent="0.2">
      <c r="A56" s="2"/>
      <c r="B56"/>
      <c r="C56"/>
      <c r="D56"/>
      <c r="E56"/>
      <c r="F56"/>
      <c r="G56"/>
      <c r="H56"/>
    </row>
    <row r="57" spans="1:8" x14ac:dyDescent="0.2">
      <c r="A57" s="2"/>
      <c r="B57"/>
      <c r="C57"/>
      <c r="D57"/>
      <c r="E57"/>
      <c r="F57"/>
      <c r="G57"/>
      <c r="H57"/>
    </row>
    <row r="58" spans="1:8" x14ac:dyDescent="0.2">
      <c r="A58" s="2"/>
      <c r="B58"/>
      <c r="C58"/>
      <c r="D58"/>
      <c r="E58"/>
      <c r="F58"/>
      <c r="G58"/>
      <c r="H58"/>
    </row>
    <row r="59" spans="1:8" x14ac:dyDescent="0.2">
      <c r="B59"/>
      <c r="C59"/>
      <c r="D59"/>
      <c r="E59"/>
      <c r="F59"/>
      <c r="G59"/>
      <c r="H59"/>
    </row>
    <row r="60" spans="1:8" x14ac:dyDescent="0.2">
      <c r="B60"/>
      <c r="C60"/>
      <c r="D60"/>
      <c r="E60"/>
      <c r="F60"/>
      <c r="G60"/>
      <c r="H60"/>
    </row>
    <row r="61" spans="1:8" x14ac:dyDescent="0.2">
      <c r="B61"/>
      <c r="C61"/>
      <c r="D61"/>
      <c r="E61"/>
      <c r="F61"/>
      <c r="G61"/>
      <c r="H61"/>
    </row>
    <row r="62" spans="1:8" x14ac:dyDescent="0.2">
      <c r="B62"/>
      <c r="C62"/>
      <c r="D62"/>
      <c r="E62"/>
      <c r="F62"/>
      <c r="G62"/>
      <c r="H62"/>
    </row>
    <row r="63" spans="1:8" x14ac:dyDescent="0.2">
      <c r="B63"/>
      <c r="C63"/>
      <c r="D63"/>
      <c r="E63"/>
      <c r="F63"/>
      <c r="G63"/>
      <c r="H63"/>
    </row>
    <row r="64" spans="1:8" x14ac:dyDescent="0.2">
      <c r="B64"/>
      <c r="C64"/>
      <c r="D64"/>
      <c r="E64"/>
      <c r="F64"/>
      <c r="G64"/>
      <c r="H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</sheetData>
  <mergeCells count="1">
    <mergeCell ref="B1:H1"/>
  </mergeCells>
  <phoneticPr fontId="0" type="noConversion"/>
  <pageMargins left="0.38" right="0.75" top="0.73" bottom="0.74" header="0.5" footer="0.5"/>
  <pageSetup scale="95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workbookViewId="0">
      <selection activeCell="E32" sqref="E32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4.140625" style="5" customWidth="1"/>
    <col min="4" max="5" width="12.5703125" style="5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5" bestFit="1" customWidth="1"/>
    <col min="12" max="12" width="13.42578125" bestFit="1" customWidth="1"/>
    <col min="13" max="14" width="9.140625" style="5" customWidth="1"/>
  </cols>
  <sheetData>
    <row r="1" spans="1:11" ht="38.25" x14ac:dyDescent="0.2">
      <c r="B1" s="6" t="str">
        <f>'Rate Class Customer Model'!D2</f>
        <v>General Service &gt; 50 to 4999 kW</v>
      </c>
      <c r="C1" s="92" t="s">
        <v>114</v>
      </c>
      <c r="D1" s="6" t="str">
        <f>'Rate Class Customer Model'!G2</f>
        <v>Sentinel Lighting</v>
      </c>
      <c r="E1" s="92" t="str">
        <f>'Rate Class Energy Model'!N2</f>
        <v>Street Lighting</v>
      </c>
      <c r="F1" s="46" t="s">
        <v>5</v>
      </c>
      <c r="K1" s="6"/>
    </row>
    <row r="2" spans="1:11" x14ac:dyDescent="0.2">
      <c r="A2" s="19">
        <f>+'Rate Class Customer Model'!A3</f>
        <v>2015</v>
      </c>
      <c r="B2" s="33">
        <f>SUMIF(Inputs!$A$24:$A$143,'Rate Class Load Model'!$A2,Inputs!$K$24:$K$143)</f>
        <v>1406752.2499999998</v>
      </c>
      <c r="C2" s="33">
        <f>SUMIF(Inputs!$A$24:$A$143,'Rate Class Load Model'!$A2,Inputs!$N$24:$N$143)</f>
        <v>147250.81</v>
      </c>
      <c r="D2" s="33">
        <f>SUMIF(Inputs!$A$24:$A$143,'Rate Class Load Model'!$A2,Inputs!$S$24:$S$143)</f>
        <v>1257.4000000000001</v>
      </c>
      <c r="E2" s="33">
        <f>SUMIF(Inputs!$A$24:$A$143,'Rate Class Load Model'!$A2,Inputs!$V$24:$V$143)</f>
        <v>30671.940000000002</v>
      </c>
      <c r="F2" s="44">
        <f t="shared" ref="F2:F13" si="0">SUM(B2:E2)</f>
        <v>1585932.3999999997</v>
      </c>
      <c r="G2" s="37"/>
    </row>
    <row r="3" spans="1:11" x14ac:dyDescent="0.2">
      <c r="A3" s="19">
        <f>+'Rate Class Customer Model'!A4</f>
        <v>2016</v>
      </c>
      <c r="B3" s="33">
        <f>SUMIF(Inputs!$A$24:$A$143,'Rate Class Load Model'!$A3,Inputs!$K$24:$K$143)</f>
        <v>1384770.92</v>
      </c>
      <c r="C3" s="33">
        <f>SUMIF(Inputs!$A$24:$A$143,'Rate Class Load Model'!$A3,Inputs!$N$24:$N$143)</f>
        <v>227700.89</v>
      </c>
      <c r="D3" s="33">
        <f>SUMIF(Inputs!$A$24:$A$143,'Rate Class Load Model'!$A3,Inputs!$S$24:$S$143)</f>
        <v>1210.9222222222222</v>
      </c>
      <c r="E3" s="33">
        <f>SUMIF(Inputs!$A$24:$A$143,'Rate Class Load Model'!$A3,Inputs!$V$24:$V$143)</f>
        <v>25105.760000000002</v>
      </c>
      <c r="F3" s="44">
        <f t="shared" si="0"/>
        <v>1638788.4922222223</v>
      </c>
      <c r="H3" s="144"/>
    </row>
    <row r="4" spans="1:11" x14ac:dyDescent="0.2">
      <c r="A4" s="19">
        <f>+'Rate Class Customer Model'!A5</f>
        <v>2017</v>
      </c>
      <c r="B4" s="33">
        <f>SUMIF(Inputs!$A$24:$A$143,'Rate Class Load Model'!$A4,Inputs!$K$24:$K$143)</f>
        <v>1472726.2</v>
      </c>
      <c r="C4" s="33">
        <f>SUMIF(Inputs!$A$24:$A$143,'Rate Class Load Model'!$A4,Inputs!$N$24:$N$143)</f>
        <v>235754.21</v>
      </c>
      <c r="D4" s="33">
        <f>SUMIF(Inputs!$A$24:$A$143,'Rate Class Load Model'!$A4,Inputs!$S$24:$S$143)</f>
        <v>1177.0800000000002</v>
      </c>
      <c r="E4" s="33">
        <f>SUMIF(Inputs!$A$24:$A$143,'Rate Class Load Model'!$A4,Inputs!$V$24:$V$143)</f>
        <v>16202.59</v>
      </c>
      <c r="F4" s="44">
        <f t="shared" si="0"/>
        <v>1725860.08</v>
      </c>
      <c r="H4" s="144"/>
      <c r="K4" s="34"/>
    </row>
    <row r="5" spans="1:11" x14ac:dyDescent="0.2">
      <c r="A5" s="19">
        <f>+'Rate Class Customer Model'!A6</f>
        <v>2018</v>
      </c>
      <c r="B5" s="33">
        <f>SUMIF(Inputs!$A$24:$A$143,'Rate Class Load Model'!$A5,Inputs!$K$24:$K$143)</f>
        <v>1449719.46</v>
      </c>
      <c r="C5" s="33">
        <f>SUMIF(Inputs!$A$24:$A$143,'Rate Class Load Model'!$A5,Inputs!$N$24:$N$143)</f>
        <v>248845.94</v>
      </c>
      <c r="D5" s="33">
        <f>SUMIF(Inputs!$A$24:$A$143,'Rate Class Load Model'!$A5,Inputs!$S$24:$S$143)</f>
        <v>1039</v>
      </c>
      <c r="E5" s="33">
        <f>SUMIF(Inputs!$A$24:$A$143,'Rate Class Load Model'!$A5,Inputs!$V$24:$V$143)</f>
        <v>15561</v>
      </c>
      <c r="F5" s="44">
        <f t="shared" si="0"/>
        <v>1715165.4</v>
      </c>
      <c r="H5" s="144"/>
      <c r="K5" s="34"/>
    </row>
    <row r="6" spans="1:11" x14ac:dyDescent="0.2">
      <c r="A6" s="19">
        <f>+'Rate Class Customer Model'!A7</f>
        <v>2019</v>
      </c>
      <c r="B6" s="33">
        <f>SUMIF(Inputs!$A$24:$A$143,'Rate Class Load Model'!$A6,Inputs!$K$24:$K$143)</f>
        <v>1406359.4300000002</v>
      </c>
      <c r="C6" s="33">
        <f>SUMIF(Inputs!$A$24:$A$143,'Rate Class Load Model'!$A6,Inputs!$N$24:$N$143)</f>
        <v>192285.66</v>
      </c>
      <c r="D6" s="33">
        <f>SUMIF(Inputs!$A$24:$A$143,'Rate Class Load Model'!$A6,Inputs!$S$24:$S$143)</f>
        <v>1060</v>
      </c>
      <c r="E6" s="33">
        <f>SUMIF(Inputs!$A$24:$A$143,'Rate Class Load Model'!$A6,Inputs!$V$24:$V$143)</f>
        <v>15393</v>
      </c>
      <c r="F6" s="44">
        <f t="shared" si="0"/>
        <v>1615098.09</v>
      </c>
      <c r="H6" s="144"/>
      <c r="K6" s="34"/>
    </row>
    <row r="7" spans="1:11" x14ac:dyDescent="0.2">
      <c r="A7" s="19">
        <f>+'Rate Class Customer Model'!A8</f>
        <v>2020</v>
      </c>
      <c r="B7" s="33">
        <f>SUMIF(Inputs!$A$24:$A$143,'Rate Class Load Model'!$A7,Inputs!$K$24:$K$143)</f>
        <v>1388268.83</v>
      </c>
      <c r="C7" s="33">
        <f>SUMIF(Inputs!$A$24:$A$143,'Rate Class Load Model'!$A7,Inputs!$N$24:$N$143)</f>
        <v>180185.72000000003</v>
      </c>
      <c r="D7" s="33">
        <f>SUMIF(Inputs!$A$24:$A$143,'Rate Class Load Model'!$A7,Inputs!$S$24:$S$143)</f>
        <v>1023</v>
      </c>
      <c r="E7" s="33">
        <f>SUMIF(Inputs!$A$24:$A$143,'Rate Class Load Model'!$A7,Inputs!$V$24:$V$143)</f>
        <v>15438</v>
      </c>
      <c r="F7" s="44">
        <f t="shared" si="0"/>
        <v>1584915.55</v>
      </c>
      <c r="H7" s="144"/>
      <c r="K7" s="34"/>
    </row>
    <row r="8" spans="1:11" x14ac:dyDescent="0.2">
      <c r="A8" s="19">
        <f>+'Rate Class Customer Model'!A9</f>
        <v>2021</v>
      </c>
      <c r="B8" s="33">
        <f>SUMIF(Inputs!$A$24:$A$143,'Rate Class Load Model'!$A8,Inputs!$K$24:$K$143)</f>
        <v>1369361.6800000002</v>
      </c>
      <c r="C8" s="33">
        <f>SUMIF(Inputs!$A$24:$A$143,'Rate Class Load Model'!$A8,Inputs!$N$24:$N$143)</f>
        <v>189298.78</v>
      </c>
      <c r="D8" s="33">
        <f>SUMIF(Inputs!$A$24:$A$143,'Rate Class Load Model'!$A8,Inputs!$S$24:$S$143)</f>
        <v>860</v>
      </c>
      <c r="E8" s="33">
        <f>SUMIF(Inputs!$A$24:$A$143,'Rate Class Load Model'!$A8,Inputs!$V$24:$V$143)</f>
        <v>15533</v>
      </c>
      <c r="F8" s="44">
        <f t="shared" si="0"/>
        <v>1575053.4600000002</v>
      </c>
      <c r="H8" s="144"/>
      <c r="K8" s="34"/>
    </row>
    <row r="9" spans="1:11" x14ac:dyDescent="0.2">
      <c r="A9" s="19">
        <f>+'Rate Class Customer Model'!A10</f>
        <v>2022</v>
      </c>
      <c r="B9" s="33">
        <f>SUMIF(Inputs!$A$24:$A$143,'Rate Class Load Model'!$A9,Inputs!$K$24:$K$143)</f>
        <v>1416160.24</v>
      </c>
      <c r="C9" s="33">
        <f>SUMIF(Inputs!$A$24:$A$143,'Rate Class Load Model'!$A9,Inputs!$N$24:$N$143)</f>
        <v>228226.57</v>
      </c>
      <c r="D9" s="33">
        <f>SUMIF(Inputs!$A$24:$A$143,'Rate Class Load Model'!$A9,Inputs!$S$24:$S$143)</f>
        <v>913</v>
      </c>
      <c r="E9" s="33">
        <f>SUMIF(Inputs!$A$24:$A$143,'Rate Class Load Model'!$A9,Inputs!$V$24:$V$143)</f>
        <v>15621</v>
      </c>
      <c r="F9" s="44">
        <f t="shared" si="0"/>
        <v>1660920.81</v>
      </c>
      <c r="H9" s="144"/>
    </row>
    <row r="10" spans="1:11" x14ac:dyDescent="0.2">
      <c r="A10" s="19">
        <f>+'Rate Class Customer Model'!A11</f>
        <v>2023</v>
      </c>
      <c r="B10" s="33">
        <f>SUMIF(Inputs!$A$24:$A$143,'Rate Class Load Model'!$A10,Inputs!$K$24:$K$143)</f>
        <v>1409639.32</v>
      </c>
      <c r="C10" s="33">
        <f>SUMIF(Inputs!$A$24:$A$143,'Rate Class Load Model'!$A10,Inputs!$N$24:$N$143)</f>
        <v>239895</v>
      </c>
      <c r="D10" s="33">
        <f>SUMIF(Inputs!$A$24:$A$143,'Rate Class Load Model'!$A10,Inputs!$S$24:$S$143)</f>
        <v>876</v>
      </c>
      <c r="E10" s="33">
        <f>SUMIF(Inputs!$A$24:$A$143,'Rate Class Load Model'!$A10,Inputs!$V$24:$V$143)</f>
        <v>15696</v>
      </c>
      <c r="F10" s="44">
        <f t="shared" si="0"/>
        <v>1666106.32</v>
      </c>
      <c r="H10" s="144"/>
    </row>
    <row r="11" spans="1:11" x14ac:dyDescent="0.2">
      <c r="A11" s="19">
        <f>+'Rate Class Customer Model'!A12</f>
        <v>2024</v>
      </c>
      <c r="B11" s="33">
        <f>SUMIF(Inputs!$A$24:$A$143,'Rate Class Load Model'!$A11,Inputs!$K$24:$K$143)</f>
        <v>1416608.47</v>
      </c>
      <c r="C11" s="33">
        <f>SUMIF(Inputs!$A$24:$A$143,'Rate Class Load Model'!$A11,Inputs!$N$24:$N$143)</f>
        <v>256331.52999999997</v>
      </c>
      <c r="D11" s="33">
        <f>SUMIF(Inputs!$A$24:$A$143,'Rate Class Load Model'!$A11,Inputs!$S$24:$S$143)</f>
        <v>855.48759471555218</v>
      </c>
      <c r="E11" s="33">
        <f>SUMIF(Inputs!$A$24:$A$143,'Rate Class Load Model'!$A11,Inputs!$V$24:$V$143)</f>
        <v>15532.919999999998</v>
      </c>
      <c r="F11" s="44">
        <f t="shared" si="0"/>
        <v>1689328.4075947155</v>
      </c>
      <c r="H11" s="144"/>
    </row>
    <row r="12" spans="1:11" x14ac:dyDescent="0.2">
      <c r="A12" s="19">
        <f>+'Rate Class Customer Model'!A13</f>
        <v>2025</v>
      </c>
      <c r="B12" s="114">
        <f>B$27*'Rate Class Energy Model'!J31</f>
        <v>1374287.2606890427</v>
      </c>
      <c r="C12" s="114">
        <f>C$27*'Rate Class Energy Model'!K31</f>
        <v>249433.8850940101</v>
      </c>
      <c r="D12" s="114">
        <f>D$27*'Rate Class Energy Model'!M31</f>
        <v>847.76133723165003</v>
      </c>
      <c r="E12" s="114">
        <f>E$27*'Rate Class Energy Model'!N31</f>
        <v>15524.613262662875</v>
      </c>
      <c r="F12" s="44">
        <f t="shared" si="0"/>
        <v>1640093.5203829473</v>
      </c>
      <c r="H12" s="144"/>
    </row>
    <row r="13" spans="1:11" x14ac:dyDescent="0.2">
      <c r="A13" s="19">
        <f>+'Rate Class Customer Model'!A14</f>
        <v>2026</v>
      </c>
      <c r="B13" s="114">
        <f>B$27*'Rate Class Energy Model'!J32</f>
        <v>1346246.6334535333</v>
      </c>
      <c r="C13" s="114">
        <f>C$27*'Rate Class Energy Model'!K32</f>
        <v>249433.8850940101</v>
      </c>
      <c r="D13" s="114">
        <f>D$27*'Rate Class Energy Model'!M32</f>
        <v>798.41980855974919</v>
      </c>
      <c r="E13" s="114">
        <f>E$27*'Rate Class Energy Model'!N32</f>
        <v>15618.892913056912</v>
      </c>
      <c r="F13" s="44">
        <f t="shared" si="0"/>
        <v>1612097.8312691601</v>
      </c>
      <c r="H13" s="144"/>
    </row>
    <row r="14" spans="1:11" x14ac:dyDescent="0.2">
      <c r="A14" s="11"/>
      <c r="F14" s="30"/>
    </row>
    <row r="15" spans="1:11" x14ac:dyDescent="0.2">
      <c r="A15" s="11" t="s">
        <v>42</v>
      </c>
      <c r="B15" s="4"/>
      <c r="C15" s="4"/>
      <c r="D15" s="4"/>
      <c r="E15" s="4"/>
    </row>
    <row r="16" spans="1:11" x14ac:dyDescent="0.2">
      <c r="A16" s="19">
        <f>+A2</f>
        <v>2015</v>
      </c>
      <c r="B16" s="47">
        <f>B2/'Rate Class Energy Model'!J3</f>
        <v>2.6715443205470447E-3</v>
      </c>
      <c r="C16" s="146">
        <f>C2/('Rate Class Energy Model'!K3+SUMIF(Inputs!$A$24:$A$143,'Rate Class Load Model'!A16,Inputs!$AA$24:$AA$143))</f>
        <v>2.4290153153817195E-3</v>
      </c>
      <c r="D16" s="47">
        <f>D2/'Rate Class Energy Model'!M3</f>
        <v>2.7767594903164547E-3</v>
      </c>
      <c r="E16" s="47">
        <f>E2/'Rate Class Energy Model'!N3</f>
        <v>2.8985647465676703E-3</v>
      </c>
      <c r="K16" s="17"/>
    </row>
    <row r="17" spans="1:11" x14ac:dyDescent="0.2">
      <c r="A17" s="19">
        <f t="shared" ref="A17:A25" si="1">+A3</f>
        <v>2016</v>
      </c>
      <c r="B17" s="47">
        <f>B3/'Rate Class Energy Model'!J4</f>
        <v>2.6257123623924963E-3</v>
      </c>
      <c r="C17" s="146">
        <f>C3/('Rate Class Energy Model'!K4+SUMIF(Inputs!$A$24:$A$143,'Rate Class Load Model'!A17,Inputs!$AA$24:$AA$143))</f>
        <v>3.3086296915662704E-3</v>
      </c>
      <c r="D17" s="47">
        <f>D3/'Rate Class Energy Model'!M4</f>
        <v>2.7849133046352744E-3</v>
      </c>
      <c r="E17" s="47">
        <f>E3/'Rate Class Energy Model'!N4</f>
        <v>2.9184097500402012E-3</v>
      </c>
      <c r="K17" s="17"/>
    </row>
    <row r="18" spans="1:11" x14ac:dyDescent="0.2">
      <c r="A18" s="19">
        <f t="shared" si="1"/>
        <v>2017</v>
      </c>
      <c r="B18" s="47">
        <f>B4/'Rate Class Energy Model'!J5</f>
        <v>2.7511891726392517E-3</v>
      </c>
      <c r="C18" s="146">
        <f>C4/('Rate Class Energy Model'!K5+SUMIF(Inputs!$A$24:$A$143,'Rate Class Load Model'!A18,Inputs!$AA$24:$AA$143))</f>
        <v>3.4228601329330515E-3</v>
      </c>
      <c r="D18" s="47">
        <f>D4/'Rate Class Energy Model'!M5</f>
        <v>2.7819788238914386E-3</v>
      </c>
      <c r="E18" s="47">
        <f>E4/'Rate Class Energy Model'!N5</f>
        <v>2.7704848537865824E-3</v>
      </c>
      <c r="K18" s="17"/>
    </row>
    <row r="19" spans="1:11" x14ac:dyDescent="0.2">
      <c r="A19" s="19">
        <f t="shared" si="1"/>
        <v>2018</v>
      </c>
      <c r="B19" s="47">
        <f>B5/'Rate Class Energy Model'!J6</f>
        <v>2.7061656747126473E-3</v>
      </c>
      <c r="C19" s="146">
        <f>C5/('Rate Class Energy Model'!K6+SUMIF(Inputs!$A$24:$A$143,'Rate Class Load Model'!A19,Inputs!$AA$24:$AA$143))</f>
        <v>3.160478839013187E-3</v>
      </c>
      <c r="D19" s="47">
        <f>D5/'Rate Class Energy Model'!M6</f>
        <v>2.4693940121354434E-3</v>
      </c>
      <c r="E19" s="47">
        <f>E5/'Rate Class Energy Model'!N6</f>
        <v>2.8029429009135097E-3</v>
      </c>
      <c r="K19" s="17"/>
    </row>
    <row r="20" spans="1:11" x14ac:dyDescent="0.2">
      <c r="A20" s="19">
        <f t="shared" si="1"/>
        <v>2019</v>
      </c>
      <c r="B20" s="47">
        <f>B6/'Rate Class Energy Model'!J7</f>
        <v>2.7198081124664743E-3</v>
      </c>
      <c r="C20" s="146">
        <f>C6/('Rate Class Energy Model'!K7+SUMIF(Inputs!$A$24:$A$143,'Rate Class Load Model'!A20,Inputs!$AA$24:$AA$143))</f>
        <v>2.3105067363991647E-3</v>
      </c>
      <c r="D20" s="47">
        <f>D6/'Rate Class Energy Model'!M7</f>
        <v>2.5025261348719935E-3</v>
      </c>
      <c r="E20" s="47">
        <f>E6/'Rate Class Energy Model'!N7</f>
        <v>2.9040607232248827E-3</v>
      </c>
      <c r="K20" s="17"/>
    </row>
    <row r="21" spans="1:11" x14ac:dyDescent="0.2">
      <c r="A21" s="19">
        <f t="shared" si="1"/>
        <v>2020</v>
      </c>
      <c r="B21" s="47">
        <f>B7/'Rate Class Energy Model'!J8</f>
        <v>2.8204628594207235E-3</v>
      </c>
      <c r="C21" s="146">
        <f>C7/('Rate Class Energy Model'!K8+SUMIF(Inputs!$A$24:$A$143,'Rate Class Load Model'!A21,Inputs!$AA$24:$AA$143))</f>
        <v>2.3271406911655377E-3</v>
      </c>
      <c r="D21" s="47">
        <f>D7/'Rate Class Energy Model'!M8</f>
        <v>2.2162141083800191E-3</v>
      </c>
      <c r="E21" s="47">
        <f>E7/'Rate Class Energy Model'!N8</f>
        <v>2.8921914016974341E-3</v>
      </c>
      <c r="K21" s="17"/>
    </row>
    <row r="22" spans="1:11" x14ac:dyDescent="0.2">
      <c r="A22" s="19">
        <f t="shared" si="1"/>
        <v>2021</v>
      </c>
      <c r="B22" s="47">
        <f>B8/'Rate Class Energy Model'!J9</f>
        <v>2.6852742879674906E-3</v>
      </c>
      <c r="C22" s="146">
        <f>C8/('Rate Class Energy Model'!K9+SUMIF(Inputs!$A$24:$A$143,'Rate Class Load Model'!A22,Inputs!$AA$24:$AA$143))</f>
        <v>2.3187606996582545E-3</v>
      </c>
      <c r="D22" s="47">
        <f>D8/'Rate Class Energy Model'!M9</f>
        <v>2.406617638828257E-3</v>
      </c>
      <c r="E22" s="47">
        <f>E8/'Rate Class Energy Model'!N9</f>
        <v>2.8978282798414468E-3</v>
      </c>
      <c r="K22" s="17"/>
    </row>
    <row r="23" spans="1:11" x14ac:dyDescent="0.2">
      <c r="A23" s="19">
        <f t="shared" si="1"/>
        <v>2022</v>
      </c>
      <c r="B23" s="47">
        <f>B9/'Rate Class Energy Model'!J10</f>
        <v>2.6840196276326955E-3</v>
      </c>
      <c r="C23" s="145">
        <f>C9/('Rate Class Energy Model'!K10+SUMIF(Inputs!$A$24:$A$143,'Rate Class Load Model'!A23,Inputs!$AA$24:$AA$143))</f>
        <v>2.2392665537053803E-3</v>
      </c>
      <c r="D23" s="47">
        <f>D9/'Rate Class Energy Model'!M10</f>
        <v>2.4100265551666427E-3</v>
      </c>
      <c r="E23" s="47">
        <f>E9/'Rate Class Energy Model'!N10</f>
        <v>2.9008049496969113E-3</v>
      </c>
      <c r="K23" s="17"/>
    </row>
    <row r="24" spans="1:11" x14ac:dyDescent="0.2">
      <c r="A24" s="19">
        <f t="shared" si="1"/>
        <v>2023</v>
      </c>
      <c r="B24" s="47">
        <f>B10/'Rate Class Energy Model'!J11</f>
        <v>2.6945530834499073E-3</v>
      </c>
      <c r="C24" s="145">
        <f>C10/('Rate Class Energy Model'!K11+SUMIF(Inputs!$A$24:$A$143,'Rate Class Load Model'!A24,Inputs!$AA$24:$AA$143))</f>
        <v>2.3138569615573732E-3</v>
      </c>
      <c r="D24" s="47">
        <f>D10/'Rate Class Energy Model'!M11</f>
        <v>2.3953078216644107E-3</v>
      </c>
      <c r="E24" s="47">
        <f>E10/'Rate Class Energy Model'!N11</f>
        <v>2.8996329089861464E-3</v>
      </c>
      <c r="K24" s="17"/>
    </row>
    <row r="25" spans="1:11" x14ac:dyDescent="0.2">
      <c r="A25" s="19">
        <f t="shared" si="1"/>
        <v>2024</v>
      </c>
      <c r="B25" s="47">
        <f>B11/'Rate Class Energy Model'!J12</f>
        <v>2.697691582355131E-3</v>
      </c>
      <c r="C25" s="145">
        <f>C11/('Rate Class Energy Model'!K12+SUMIF(Inputs!$A$24:$A$143,'Rate Class Load Model'!A25,Inputs!$AA$24:$AA$143))</f>
        <v>2.3723170513193551E-3</v>
      </c>
      <c r="D25" s="47">
        <f>D11/'Rate Class Energy Model'!M12</f>
        <v>2.3885226255857678E-3</v>
      </c>
      <c r="E25" s="47">
        <f>E11/'Rate Class Energy Model'!N12</f>
        <v>2.8972451238808462E-3</v>
      </c>
      <c r="K25" s="17"/>
    </row>
    <row r="27" spans="1:11" x14ac:dyDescent="0.2">
      <c r="A27" s="37" t="s">
        <v>41</v>
      </c>
      <c r="B27" s="17">
        <f>B29</f>
        <v>2.7056421083583868E-3</v>
      </c>
      <c r="C27" s="17">
        <f>AVERAGE(C23:C25)</f>
        <v>2.308480188860703E-3</v>
      </c>
      <c r="D27" s="17">
        <f>D29</f>
        <v>2.5132260515475699E-3</v>
      </c>
      <c r="E27" s="17">
        <f>E29</f>
        <v>2.8782165638635633E-3</v>
      </c>
    </row>
    <row r="29" spans="1:11" x14ac:dyDescent="0.2">
      <c r="A29" t="s">
        <v>7</v>
      </c>
      <c r="B29" s="17">
        <f>AVERAGE(B16:B25)</f>
        <v>2.7056421083583868E-3</v>
      </c>
      <c r="C29" s="17">
        <f>AVERAGE(C16:C25)</f>
        <v>2.620283267269929E-3</v>
      </c>
      <c r="D29" s="17">
        <f>AVERAGE(D16:D25)</f>
        <v>2.5132260515475699E-3</v>
      </c>
      <c r="E29" s="17">
        <f>AVERAGE(E16:E25)</f>
        <v>2.8782165638635633E-3</v>
      </c>
      <c r="J29" s="17"/>
      <c r="K29" s="17"/>
    </row>
    <row r="34" spans="2:5" x14ac:dyDescent="0.2">
      <c r="B34" s="16"/>
      <c r="C34" s="16"/>
      <c r="D34" s="16"/>
      <c r="E34" s="16"/>
    </row>
    <row r="35" spans="2:5" x14ac:dyDescent="0.2">
      <c r="B35" s="16"/>
      <c r="C35" s="16"/>
      <c r="D35" s="16"/>
      <c r="E35" s="16"/>
    </row>
    <row r="54" spans="2:5" x14ac:dyDescent="0.2">
      <c r="B54" s="10"/>
      <c r="C54" s="10"/>
      <c r="D54" s="10"/>
      <c r="E54" s="10"/>
    </row>
    <row r="55" spans="2:5" x14ac:dyDescent="0.2">
      <c r="B55" s="10"/>
      <c r="C55" s="10"/>
      <c r="D55" s="10"/>
      <c r="E55" s="10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C667-D102-4C20-A35A-814E5E30A325}">
  <dimension ref="A1:F9"/>
  <sheetViews>
    <sheetView workbookViewId="0">
      <selection activeCell="R22" sqref="R22"/>
    </sheetView>
  </sheetViews>
  <sheetFormatPr defaultColWidth="8.85546875" defaultRowHeight="15" x14ac:dyDescent="0.25"/>
  <cols>
    <col min="1" max="1" width="8.85546875" style="139"/>
    <col min="2" max="3" width="12.7109375" style="130" customWidth="1"/>
    <col min="4" max="4" width="8.85546875" style="130"/>
    <col min="5" max="5" width="13.28515625" style="130" bestFit="1" customWidth="1"/>
    <col min="6" max="6" width="15.5703125" style="130" customWidth="1"/>
    <col min="7" max="16384" width="8.85546875" style="130"/>
  </cols>
  <sheetData>
    <row r="1" spans="1:6" ht="18.75" x14ac:dyDescent="0.3">
      <c r="A1" s="131" t="s">
        <v>121</v>
      </c>
    </row>
    <row r="2" spans="1:6" x14ac:dyDescent="0.25">
      <c r="A2" s="132" t="s">
        <v>57</v>
      </c>
      <c r="B2" s="133" t="s">
        <v>122</v>
      </c>
      <c r="C2" s="133" t="s">
        <v>114</v>
      </c>
      <c r="E2" s="166" t="s">
        <v>130</v>
      </c>
    </row>
    <row r="3" spans="1:6" x14ac:dyDescent="0.25">
      <c r="A3" s="134">
        <v>2022</v>
      </c>
      <c r="B3" s="135">
        <v>17289.5</v>
      </c>
      <c r="C3" s="135">
        <v>67874.740000000005</v>
      </c>
      <c r="E3" s="163">
        <f>B3/'Rate Class Load Model'!$B$29</f>
        <v>6390165.1835579164</v>
      </c>
      <c r="F3" s="163">
        <f>C3/'Rate Class Load Model'!$C$27</f>
        <v>29402348.925289243</v>
      </c>
    </row>
    <row r="4" spans="1:6" x14ac:dyDescent="0.25">
      <c r="A4" s="134">
        <v>2023</v>
      </c>
      <c r="B4" s="136">
        <v>16716.340000000004</v>
      </c>
      <c r="C4" s="136">
        <v>65548.42</v>
      </c>
      <c r="E4" s="163">
        <f>B4/'Rate Class Load Model'!$B$29</f>
        <v>6178326.3752286984</v>
      </c>
      <c r="F4" s="163">
        <f>C4/'Rate Class Load Model'!$C$27</f>
        <v>28394620.978900366</v>
      </c>
    </row>
    <row r="5" spans="1:6" x14ac:dyDescent="0.25">
      <c r="A5" s="134">
        <v>2024</v>
      </c>
      <c r="B5" s="136">
        <v>14688.290000000003</v>
      </c>
      <c r="C5" s="136">
        <v>63343.850000000006</v>
      </c>
      <c r="E5" s="163">
        <f>B5/'Rate Class Load Model'!$B$29</f>
        <v>5428763.0853409255</v>
      </c>
      <c r="F5" s="163">
        <f>C5/'Rate Class Load Model'!$C$27</f>
        <v>27439633.359496966</v>
      </c>
    </row>
    <row r="6" spans="1:6" x14ac:dyDescent="0.25">
      <c r="A6" s="137" t="s">
        <v>120</v>
      </c>
      <c r="B6" s="138">
        <f>AVERAGE(B3:B5)</f>
        <v>16231.376666666669</v>
      </c>
      <c r="C6" s="138">
        <f>AVERAGE(C3:C5)</f>
        <v>65589.003333333341</v>
      </c>
      <c r="E6" s="163">
        <f>AVERAGE(E3:E5)</f>
        <v>5999084.8813758465</v>
      </c>
      <c r="F6" s="163">
        <f>AVERAGE(F3:F5)</f>
        <v>28412201.087895524</v>
      </c>
    </row>
    <row r="7" spans="1:6" x14ac:dyDescent="0.25">
      <c r="F7" s="163"/>
    </row>
    <row r="8" spans="1:6" x14ac:dyDescent="0.25">
      <c r="C8" s="165"/>
    </row>
    <row r="9" spans="1:6" x14ac:dyDescent="0.25">
      <c r="C9" s="16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 WN</vt:lpstr>
      <vt:lpstr>Rate Class Energy Model</vt:lpstr>
      <vt:lpstr>Rate Class Customer Model</vt:lpstr>
      <vt:lpstr>Rate Class Load Model</vt:lpstr>
      <vt:lpstr>Standby Forecast</vt:lpstr>
      <vt:lpstr>'Load Forecast Summary'!Print_Area</vt:lpstr>
      <vt:lpstr>'Power Purchased Model'!Print_Area</vt:lpstr>
      <vt:lpstr>'Power Purchased Model WN'!Print_Area</vt:lpstr>
      <vt:lpstr>'Rate Class Customer Model'!Print_Area</vt:lpstr>
      <vt:lpstr>'Rate Class Load Model'!Print_Area</vt:lpstr>
      <vt:lpstr>'Power Purchased Model'!Print_Titles</vt:lpstr>
      <vt:lpstr>'Power Purchased Model 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2025-08-28T12:49:33Z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