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030 - HONI Dx 2026 Consolidated Annual Update/Working Folder/Application and Evidence/PDF Folder - RRA/Excel - Live Folder/"/>
    </mc:Choice>
  </mc:AlternateContent>
  <xr:revisionPtr revIDLastSave="10" documentId="11_98B89EB5F1F09C8C54F90A3F198559E20A042494" xr6:coauthVersionLast="47" xr6:coauthVersionMax="47" xr10:uidLastSave="{FADC8F72-CD69-4F90-94C6-0CBBDEF8B4E3}"/>
  <bookViews>
    <workbookView xWindow="1770" yWindow="1170" windowWidth="21600" windowHeight="11295" xr2:uid="{00000000-000D-0000-FFFF-FFFF00000000}"/>
  </bookViews>
  <sheets>
    <sheet name="VA Rider Allocators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'VA Rider Allocators 2021'!$A$5:$D$77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P16" i="1"/>
  <c r="O16" i="1"/>
  <c r="N16" i="1"/>
  <c r="M16" i="1"/>
  <c r="L16" i="1"/>
  <c r="K16" i="1"/>
  <c r="J16" i="1"/>
  <c r="I16" i="1"/>
  <c r="H16" i="1"/>
  <c r="G16" i="1"/>
  <c r="F16" i="1"/>
  <c r="E16" i="1"/>
  <c r="D33" i="1"/>
  <c r="P10" i="1" l="1"/>
  <c r="L10" i="1" l="1"/>
  <c r="N10" i="1"/>
  <c r="K10" i="1"/>
  <c r="E10" i="1"/>
  <c r="F10" i="1"/>
  <c r="Q10" i="1"/>
  <c r="H10" i="1"/>
  <c r="O10" i="1"/>
  <c r="J10" i="1"/>
  <c r="G10" i="1"/>
  <c r="M10" i="1"/>
  <c r="I10" i="1"/>
  <c r="E101" i="1" l="1"/>
  <c r="E100" i="1"/>
  <c r="Q87" i="1"/>
  <c r="P87" i="1"/>
  <c r="L87" i="1"/>
  <c r="J87" i="1"/>
  <c r="D58" i="1"/>
  <c r="D52" i="1"/>
  <c r="D51" i="1"/>
  <c r="D50" i="1"/>
  <c r="D49" i="1"/>
  <c r="L49" i="1" s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P88" i="1"/>
  <c r="N88" i="1"/>
  <c r="L88" i="1"/>
  <c r="J88" i="1"/>
  <c r="H88" i="1"/>
  <c r="G88" i="1"/>
  <c r="F88" i="1"/>
  <c r="Q8" i="1"/>
  <c r="Q9" i="1" s="1"/>
  <c r="P8" i="1"/>
  <c r="P9" i="1" s="1"/>
  <c r="O8" i="1"/>
  <c r="O9" i="1" s="1"/>
  <c r="N8" i="1"/>
  <c r="N9" i="1" s="1"/>
  <c r="M8" i="1"/>
  <c r="M9" i="1" s="1"/>
  <c r="L8" i="1"/>
  <c r="L9" i="1" s="1"/>
  <c r="K8" i="1"/>
  <c r="K9" i="1" s="1"/>
  <c r="J8" i="1"/>
  <c r="J9" i="1" s="1"/>
  <c r="I8" i="1"/>
  <c r="I9" i="1" s="1"/>
  <c r="H8" i="1"/>
  <c r="H9" i="1" s="1"/>
  <c r="G8" i="1"/>
  <c r="G9" i="1" s="1"/>
  <c r="F8" i="1"/>
  <c r="F9" i="1" s="1"/>
  <c r="E8" i="1"/>
  <c r="E9" i="1" s="1"/>
  <c r="Q6" i="1"/>
  <c r="Q85" i="1" s="1"/>
  <c r="P6" i="1"/>
  <c r="O6" i="1"/>
  <c r="O85" i="1" s="1"/>
  <c r="N6" i="1"/>
  <c r="N85" i="1" s="1"/>
  <c r="M6" i="1"/>
  <c r="M85" i="1" s="1"/>
  <c r="L6" i="1"/>
  <c r="K6" i="1"/>
  <c r="K85" i="1" s="1"/>
  <c r="J6" i="1"/>
  <c r="J85" i="1" s="1"/>
  <c r="I6" i="1"/>
  <c r="I85" i="1" s="1"/>
  <c r="H6" i="1"/>
  <c r="H7" i="1" s="1"/>
  <c r="G6" i="1"/>
  <c r="G85" i="1" s="1"/>
  <c r="F6" i="1"/>
  <c r="F85" i="1" s="1"/>
  <c r="E6" i="1"/>
  <c r="E85" i="1" s="1"/>
  <c r="H28" i="1" l="1"/>
  <c r="P28" i="1"/>
  <c r="D12" i="1"/>
  <c r="J25" i="1" s="1"/>
  <c r="J45" i="1" s="1"/>
  <c r="G27" i="1"/>
  <c r="K27" i="1"/>
  <c r="O27" i="1"/>
  <c r="F28" i="1"/>
  <c r="J28" i="1"/>
  <c r="N28" i="1"/>
  <c r="E86" i="1"/>
  <c r="I86" i="1"/>
  <c r="M86" i="1"/>
  <c r="Q86" i="1"/>
  <c r="F86" i="1"/>
  <c r="J86" i="1"/>
  <c r="N86" i="1"/>
  <c r="H86" i="1"/>
  <c r="L86" i="1"/>
  <c r="P86" i="1"/>
  <c r="H27" i="1"/>
  <c r="L27" i="1"/>
  <c r="P27" i="1"/>
  <c r="K7" i="1"/>
  <c r="F27" i="1"/>
  <c r="D10" i="1"/>
  <c r="N23" i="1" s="1"/>
  <c r="N37" i="1" s="1"/>
  <c r="N77" i="1" s="1"/>
  <c r="N93" i="1" s="1"/>
  <c r="D14" i="1"/>
  <c r="L28" i="1"/>
  <c r="N27" i="1"/>
  <c r="J27" i="1"/>
  <c r="E28" i="1"/>
  <c r="I28" i="1"/>
  <c r="M28" i="1"/>
  <c r="Q28" i="1"/>
  <c r="H29" i="1"/>
  <c r="H40" i="1" s="1"/>
  <c r="L29" i="1"/>
  <c r="L40" i="1" s="1"/>
  <c r="P29" i="1"/>
  <c r="P40" i="1" s="1"/>
  <c r="N29" i="1"/>
  <c r="N40" i="1" s="1"/>
  <c r="J29" i="1"/>
  <c r="J40" i="1" s="1"/>
  <c r="N25" i="1"/>
  <c r="N45" i="1" s="1"/>
  <c r="F29" i="1"/>
  <c r="F40" i="1" s="1"/>
  <c r="K88" i="1"/>
  <c r="O88" i="1"/>
  <c r="G25" i="1"/>
  <c r="G45" i="1" s="1"/>
  <c r="G29" i="1"/>
  <c r="G40" i="1" s="1"/>
  <c r="K29" i="1"/>
  <c r="K40" i="1" s="1"/>
  <c r="O29" i="1"/>
  <c r="O40" i="1" s="1"/>
  <c r="D54" i="1"/>
  <c r="D56" i="1" s="1"/>
  <c r="E7" i="1"/>
  <c r="I7" i="1"/>
  <c r="H85" i="1"/>
  <c r="L85" i="1"/>
  <c r="F7" i="1"/>
  <c r="G86" i="1"/>
  <c r="K86" i="1"/>
  <c r="O86" i="1"/>
  <c r="E88" i="1"/>
  <c r="I88" i="1"/>
  <c r="M88" i="1"/>
  <c r="Q88" i="1"/>
  <c r="E27" i="1"/>
  <c r="I27" i="1"/>
  <c r="M27" i="1"/>
  <c r="Q27" i="1"/>
  <c r="G28" i="1"/>
  <c r="K28" i="1"/>
  <c r="O28" i="1"/>
  <c r="E29" i="1"/>
  <c r="E40" i="1" s="1"/>
  <c r="I29" i="1"/>
  <c r="I40" i="1" s="1"/>
  <c r="M29" i="1"/>
  <c r="M40" i="1" s="1"/>
  <c r="Q29" i="1"/>
  <c r="Q40" i="1" s="1"/>
  <c r="O49" i="1"/>
  <c r="N49" i="1"/>
  <c r="J49" i="1"/>
  <c r="M49" i="1"/>
  <c r="Q49" i="1"/>
  <c r="D6" i="1"/>
  <c r="E19" i="1" s="1"/>
  <c r="P85" i="1"/>
  <c r="G7" i="1"/>
  <c r="D8" i="1"/>
  <c r="M21" i="1" s="1"/>
  <c r="D11" i="1"/>
  <c r="D13" i="1"/>
  <c r="L26" i="1" s="1"/>
  <c r="L43" i="1" s="1"/>
  <c r="D15" i="1"/>
  <c r="P49" i="1"/>
  <c r="J23" i="1" l="1"/>
  <c r="J37" i="1" s="1"/>
  <c r="J77" i="1" s="1"/>
  <c r="J93" i="1" s="1"/>
  <c r="Q25" i="1"/>
  <c r="Q45" i="1" s="1"/>
  <c r="Q23" i="1"/>
  <c r="Q37" i="1" s="1"/>
  <c r="Q77" i="1" s="1"/>
  <c r="Q93" i="1" s="1"/>
  <c r="O25" i="1"/>
  <c r="O45" i="1" s="1"/>
  <c r="E25" i="1"/>
  <c r="P25" i="1"/>
  <c r="P45" i="1" s="1"/>
  <c r="O19" i="1"/>
  <c r="O41" i="1" s="1"/>
  <c r="O72" i="1" s="1"/>
  <c r="F25" i="1"/>
  <c r="F45" i="1" s="1"/>
  <c r="L25" i="1"/>
  <c r="L45" i="1" s="1"/>
  <c r="M25" i="1"/>
  <c r="M45" i="1" s="1"/>
  <c r="I25" i="1"/>
  <c r="I45" i="1" s="1"/>
  <c r="H25" i="1"/>
  <c r="H45" i="1" s="1"/>
  <c r="H23" i="1"/>
  <c r="H37" i="1" s="1"/>
  <c r="H77" i="1" s="1"/>
  <c r="H93" i="1" s="1"/>
  <c r="K25" i="1"/>
  <c r="K45" i="1" s="1"/>
  <c r="I23" i="1"/>
  <c r="I37" i="1" s="1"/>
  <c r="I77" i="1" s="1"/>
  <c r="I93" i="1" s="1"/>
  <c r="E21" i="1"/>
  <c r="E34" i="1" s="1"/>
  <c r="L23" i="1"/>
  <c r="L37" i="1" s="1"/>
  <c r="L77" i="1" s="1"/>
  <c r="L93" i="1" s="1"/>
  <c r="F23" i="1"/>
  <c r="F37" i="1" s="1"/>
  <c r="F77" i="1" s="1"/>
  <c r="F93" i="1" s="1"/>
  <c r="M23" i="1"/>
  <c r="M37" i="1" s="1"/>
  <c r="M77" i="1" s="1"/>
  <c r="M93" i="1" s="1"/>
  <c r="E23" i="1"/>
  <c r="E37" i="1" s="1"/>
  <c r="E77" i="1" s="1"/>
  <c r="P23" i="1"/>
  <c r="P37" i="1" s="1"/>
  <c r="P77" i="1" s="1"/>
  <c r="P93" i="1" s="1"/>
  <c r="O23" i="1"/>
  <c r="O37" i="1" s="1"/>
  <c r="O77" i="1" s="1"/>
  <c r="O93" i="1" s="1"/>
  <c r="J19" i="1"/>
  <c r="J41" i="1" s="1"/>
  <c r="J72" i="1" s="1"/>
  <c r="D28" i="1"/>
  <c r="G23" i="1"/>
  <c r="G37" i="1" s="1"/>
  <c r="G77" i="1" s="1"/>
  <c r="G93" i="1" s="1"/>
  <c r="K23" i="1"/>
  <c r="K37" i="1" s="1"/>
  <c r="K77" i="1" s="1"/>
  <c r="K93" i="1" s="1"/>
  <c r="P21" i="1"/>
  <c r="P35" i="1" s="1"/>
  <c r="P19" i="1"/>
  <c r="P41" i="1" s="1"/>
  <c r="P72" i="1" s="1"/>
  <c r="L58" i="1"/>
  <c r="L79" i="1" s="1"/>
  <c r="L95" i="1" s="1"/>
  <c r="L52" i="1"/>
  <c r="J21" i="1"/>
  <c r="E41" i="1"/>
  <c r="M34" i="1"/>
  <c r="M35" i="1"/>
  <c r="M36" i="1"/>
  <c r="P24" i="1"/>
  <c r="H24" i="1"/>
  <c r="L48" i="1"/>
  <c r="N21" i="1"/>
  <c r="K26" i="1"/>
  <c r="G24" i="1"/>
  <c r="H19" i="1"/>
  <c r="H41" i="1" s="1"/>
  <c r="D7" i="1"/>
  <c r="I20" i="1" s="1"/>
  <c r="I49" i="1" s="1"/>
  <c r="I26" i="1"/>
  <c r="E24" i="1"/>
  <c r="N24" i="1"/>
  <c r="F26" i="1"/>
  <c r="L21" i="1"/>
  <c r="F21" i="1"/>
  <c r="I21" i="1"/>
  <c r="G26" i="1"/>
  <c r="K21" i="1"/>
  <c r="H21" i="1"/>
  <c r="Q21" i="1"/>
  <c r="E26" i="1"/>
  <c r="Q24" i="1"/>
  <c r="L47" i="1"/>
  <c r="J24" i="1"/>
  <c r="D27" i="1"/>
  <c r="L24" i="1"/>
  <c r="Q19" i="1"/>
  <c r="Q41" i="1" s="1"/>
  <c r="Q72" i="1" s="1"/>
  <c r="K19" i="1"/>
  <c r="K41" i="1" s="1"/>
  <c r="L51" i="1"/>
  <c r="N19" i="1"/>
  <c r="N41" i="1" s="1"/>
  <c r="N72" i="1" s="1"/>
  <c r="O24" i="1"/>
  <c r="D9" i="1"/>
  <c r="E22" i="1" s="1"/>
  <c r="L19" i="1"/>
  <c r="L41" i="1" s="1"/>
  <c r="L72" i="1" s="1"/>
  <c r="M19" i="1"/>
  <c r="M41" i="1" s="1"/>
  <c r="M72" i="1" s="1"/>
  <c r="F19" i="1"/>
  <c r="F41" i="1" s="1"/>
  <c r="Q26" i="1"/>
  <c r="M24" i="1"/>
  <c r="P26" i="1"/>
  <c r="F24" i="1"/>
  <c r="N26" i="1"/>
  <c r="L50" i="1"/>
  <c r="I19" i="1"/>
  <c r="I41" i="1" s="1"/>
  <c r="D29" i="1"/>
  <c r="O26" i="1"/>
  <c r="K24" i="1"/>
  <c r="O21" i="1"/>
  <c r="G21" i="1"/>
  <c r="E45" i="1"/>
  <c r="G19" i="1"/>
  <c r="G41" i="1" s="1"/>
  <c r="M26" i="1"/>
  <c r="I24" i="1"/>
  <c r="H26" i="1"/>
  <c r="J26" i="1"/>
  <c r="P36" i="1" l="1"/>
  <c r="E36" i="1"/>
  <c r="F20" i="1"/>
  <c r="F49" i="1" s="1"/>
  <c r="F72" i="1" s="1"/>
  <c r="D25" i="1"/>
  <c r="E35" i="1"/>
  <c r="G20" i="1"/>
  <c r="G49" i="1" s="1"/>
  <c r="G72" i="1" s="1"/>
  <c r="D23" i="1"/>
  <c r="I72" i="1"/>
  <c r="Q22" i="1"/>
  <c r="Q39" i="1" s="1"/>
  <c r="L78" i="1"/>
  <c r="L94" i="1" s="1"/>
  <c r="J22" i="1"/>
  <c r="J39" i="1" s="1"/>
  <c r="H22" i="1"/>
  <c r="H39" i="1" s="1"/>
  <c r="P34" i="1"/>
  <c r="J36" i="1"/>
  <c r="J34" i="1"/>
  <c r="J35" i="1"/>
  <c r="I46" i="1"/>
  <c r="I42" i="1"/>
  <c r="O48" i="1"/>
  <c r="O47" i="1"/>
  <c r="O51" i="1"/>
  <c r="O50" i="1"/>
  <c r="O43" i="1"/>
  <c r="O58" i="1"/>
  <c r="O52" i="1"/>
  <c r="F46" i="1"/>
  <c r="F42" i="1"/>
  <c r="G22" i="1"/>
  <c r="K22" i="1"/>
  <c r="O22" i="1"/>
  <c r="Q46" i="1"/>
  <c r="Q42" i="1"/>
  <c r="H34" i="1"/>
  <c r="H36" i="1"/>
  <c r="H35" i="1"/>
  <c r="I34" i="1"/>
  <c r="I35" i="1"/>
  <c r="I36" i="1"/>
  <c r="L35" i="1"/>
  <c r="L36" i="1"/>
  <c r="L34" i="1"/>
  <c r="N46" i="1"/>
  <c r="N42" i="1"/>
  <c r="K20" i="1"/>
  <c r="K49" i="1" s="1"/>
  <c r="K72" i="1" s="1"/>
  <c r="H20" i="1"/>
  <c r="H49" i="1" s="1"/>
  <c r="H72" i="1" s="1"/>
  <c r="M22" i="1"/>
  <c r="D19" i="1"/>
  <c r="J48" i="1"/>
  <c r="J47" i="1"/>
  <c r="J52" i="1"/>
  <c r="J51" i="1"/>
  <c r="J50" i="1"/>
  <c r="J43" i="1"/>
  <c r="J58" i="1"/>
  <c r="M43" i="1"/>
  <c r="M58" i="1"/>
  <c r="M48" i="1"/>
  <c r="M47" i="1"/>
  <c r="M52" i="1"/>
  <c r="M51" i="1"/>
  <c r="M50" i="1"/>
  <c r="P43" i="1"/>
  <c r="P48" i="1"/>
  <c r="P50" i="1"/>
  <c r="P52" i="1"/>
  <c r="P58" i="1"/>
  <c r="P47" i="1"/>
  <c r="P51" i="1"/>
  <c r="E39" i="1"/>
  <c r="E33" i="1"/>
  <c r="N22" i="1"/>
  <c r="J46" i="1"/>
  <c r="J42" i="1"/>
  <c r="D26" i="1"/>
  <c r="E51" i="1"/>
  <c r="E50" i="1"/>
  <c r="E43" i="1"/>
  <c r="E44" i="1"/>
  <c r="E58" i="1"/>
  <c r="E78" i="1" s="1"/>
  <c r="E48" i="1"/>
  <c r="E47" i="1"/>
  <c r="E52" i="1"/>
  <c r="D24" i="1"/>
  <c r="E46" i="1"/>
  <c r="E42" i="1"/>
  <c r="E20" i="1"/>
  <c r="G46" i="1"/>
  <c r="G42" i="1"/>
  <c r="F22" i="1"/>
  <c r="G36" i="1"/>
  <c r="G34" i="1"/>
  <c r="G35" i="1"/>
  <c r="M46" i="1"/>
  <c r="M42" i="1"/>
  <c r="O46" i="1"/>
  <c r="O42" i="1"/>
  <c r="D21" i="1"/>
  <c r="Q35" i="1"/>
  <c r="Q36" i="1"/>
  <c r="Q34" i="1"/>
  <c r="K34" i="1"/>
  <c r="K35" i="1"/>
  <c r="K36" i="1"/>
  <c r="I48" i="1"/>
  <c r="I47" i="1"/>
  <c r="I51" i="1"/>
  <c r="I50" i="1"/>
  <c r="I52" i="1"/>
  <c r="I58" i="1"/>
  <c r="I43" i="1"/>
  <c r="P22" i="1"/>
  <c r="K58" i="1"/>
  <c r="K48" i="1"/>
  <c r="K47" i="1"/>
  <c r="K52" i="1"/>
  <c r="K51" i="1"/>
  <c r="K50" i="1"/>
  <c r="K43" i="1"/>
  <c r="H42" i="1"/>
  <c r="H46" i="1"/>
  <c r="E93" i="1"/>
  <c r="D77" i="1"/>
  <c r="H52" i="1"/>
  <c r="H51" i="1"/>
  <c r="H47" i="1"/>
  <c r="H48" i="1"/>
  <c r="H43" i="1"/>
  <c r="H50" i="1"/>
  <c r="H58" i="1"/>
  <c r="H78" i="1" s="1"/>
  <c r="H94" i="1" s="1"/>
  <c r="O34" i="1"/>
  <c r="O35" i="1"/>
  <c r="O36" i="1"/>
  <c r="K46" i="1"/>
  <c r="K42" i="1"/>
  <c r="N51" i="1"/>
  <c r="N50" i="1"/>
  <c r="N43" i="1"/>
  <c r="N58" i="1"/>
  <c r="N48" i="1"/>
  <c r="N47" i="1"/>
  <c r="N52" i="1"/>
  <c r="Q52" i="1"/>
  <c r="Q48" i="1"/>
  <c r="Q47" i="1"/>
  <c r="Q58" i="1"/>
  <c r="Q51" i="1"/>
  <c r="Q50" i="1"/>
  <c r="Q43" i="1"/>
  <c r="L46" i="1"/>
  <c r="L42" i="1"/>
  <c r="L22" i="1"/>
  <c r="I22" i="1"/>
  <c r="G43" i="1"/>
  <c r="G58" i="1"/>
  <c r="G78" i="1" s="1"/>
  <c r="G94" i="1" s="1"/>
  <c r="G48" i="1"/>
  <c r="G47" i="1"/>
  <c r="G52" i="1"/>
  <c r="G51" i="1"/>
  <c r="G50" i="1"/>
  <c r="F34" i="1"/>
  <c r="F36" i="1"/>
  <c r="F35" i="1"/>
  <c r="F48" i="1"/>
  <c r="F47" i="1"/>
  <c r="F52" i="1"/>
  <c r="F51" i="1"/>
  <c r="F50" i="1"/>
  <c r="F43" i="1"/>
  <c r="F58" i="1"/>
  <c r="F78" i="1" s="1"/>
  <c r="F94" i="1" s="1"/>
  <c r="N34" i="1"/>
  <c r="N36" i="1"/>
  <c r="N35" i="1"/>
  <c r="P46" i="1"/>
  <c r="P42" i="1"/>
  <c r="H33" i="1" l="1"/>
  <c r="H73" i="1" s="1"/>
  <c r="Q33" i="1"/>
  <c r="D101" i="1" s="1"/>
  <c r="F101" i="1" s="1"/>
  <c r="J33" i="1"/>
  <c r="J73" i="1" s="1"/>
  <c r="I39" i="1"/>
  <c r="I33" i="1"/>
  <c r="F33" i="1"/>
  <c r="F39" i="1"/>
  <c r="E69" i="1"/>
  <c r="D22" i="1"/>
  <c r="J78" i="1"/>
  <c r="J94" i="1" s="1"/>
  <c r="J79" i="1"/>
  <c r="J95" i="1" s="1"/>
  <c r="M39" i="1"/>
  <c r="M33" i="1"/>
  <c r="O39" i="1"/>
  <c r="O33" i="1"/>
  <c r="L39" i="1"/>
  <c r="L33" i="1"/>
  <c r="I78" i="1"/>
  <c r="I94" i="1" s="1"/>
  <c r="I79" i="1"/>
  <c r="K39" i="1"/>
  <c r="K33" i="1"/>
  <c r="N78" i="1"/>
  <c r="N94" i="1" s="1"/>
  <c r="N79" i="1"/>
  <c r="N95" i="1" s="1"/>
  <c r="K79" i="1"/>
  <c r="K95" i="1" s="1"/>
  <c r="K78" i="1"/>
  <c r="K94" i="1" s="1"/>
  <c r="E94" i="1"/>
  <c r="N39" i="1"/>
  <c r="N33" i="1"/>
  <c r="P79" i="1"/>
  <c r="P95" i="1" s="1"/>
  <c r="P78" i="1"/>
  <c r="P94" i="1" s="1"/>
  <c r="M78" i="1"/>
  <c r="M94" i="1" s="1"/>
  <c r="M79" i="1"/>
  <c r="M95" i="1" s="1"/>
  <c r="G39" i="1"/>
  <c r="G33" i="1"/>
  <c r="O79" i="1"/>
  <c r="O95" i="1" s="1"/>
  <c r="O78" i="1"/>
  <c r="O94" i="1" s="1"/>
  <c r="Q79" i="1"/>
  <c r="Q95" i="1" s="1"/>
  <c r="Q78" i="1"/>
  <c r="Q94" i="1" s="1"/>
  <c r="P33" i="1"/>
  <c r="P39" i="1"/>
  <c r="D20" i="1"/>
  <c r="E49" i="1"/>
  <c r="E54" i="1" s="1"/>
  <c r="E56" i="1" s="1"/>
  <c r="F44" i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Q54" i="1" s="1"/>
  <c r="Q56" i="1" s="1"/>
  <c r="E73" i="1"/>
  <c r="Q73" i="1" l="1"/>
  <c r="F69" i="1"/>
  <c r="F71" i="1" s="1"/>
  <c r="N69" i="1"/>
  <c r="N71" i="1" s="1"/>
  <c r="G66" i="1"/>
  <c r="G73" i="1"/>
  <c r="G54" i="1"/>
  <c r="G56" i="1" s="1"/>
  <c r="Q66" i="1"/>
  <c r="I73" i="1"/>
  <c r="I66" i="1"/>
  <c r="I54" i="1"/>
  <c r="I56" i="1" s="1"/>
  <c r="E72" i="1"/>
  <c r="D72" i="1" s="1"/>
  <c r="P66" i="1"/>
  <c r="P54" i="1"/>
  <c r="P56" i="1" s="1"/>
  <c r="P73" i="1"/>
  <c r="I69" i="1"/>
  <c r="H66" i="1"/>
  <c r="D78" i="1"/>
  <c r="G69" i="1"/>
  <c r="L66" i="1"/>
  <c r="L73" i="1"/>
  <c r="L54" i="1"/>
  <c r="L56" i="1" s="1"/>
  <c r="M73" i="1"/>
  <c r="M66" i="1"/>
  <c r="M54" i="1"/>
  <c r="M56" i="1" s="1"/>
  <c r="J66" i="1"/>
  <c r="J69" i="1"/>
  <c r="E71" i="1"/>
  <c r="E70" i="1"/>
  <c r="H69" i="1"/>
  <c r="Q69" i="1"/>
  <c r="N73" i="1"/>
  <c r="N54" i="1"/>
  <c r="N56" i="1" s="1"/>
  <c r="N66" i="1"/>
  <c r="L69" i="1"/>
  <c r="M69" i="1"/>
  <c r="J54" i="1"/>
  <c r="J56" i="1" s="1"/>
  <c r="E66" i="1"/>
  <c r="O69" i="1"/>
  <c r="H54" i="1"/>
  <c r="H56" i="1" s="1"/>
  <c r="K69" i="1"/>
  <c r="K66" i="1"/>
  <c r="K54" i="1"/>
  <c r="K56" i="1" s="1"/>
  <c r="K73" i="1"/>
  <c r="D79" i="1"/>
  <c r="I95" i="1"/>
  <c r="O66" i="1"/>
  <c r="O54" i="1"/>
  <c r="O56" i="1" s="1"/>
  <c r="O73" i="1"/>
  <c r="F73" i="1"/>
  <c r="F54" i="1"/>
  <c r="F56" i="1" s="1"/>
  <c r="F66" i="1"/>
  <c r="P69" i="1"/>
  <c r="N70" i="1" l="1"/>
  <c r="N75" i="1" s="1"/>
  <c r="N91" i="1" s="1"/>
  <c r="F70" i="1"/>
  <c r="F75" i="1" s="1"/>
  <c r="F91" i="1" s="1"/>
  <c r="N76" i="1"/>
  <c r="N92" i="1" s="1"/>
  <c r="D73" i="1"/>
  <c r="L70" i="1"/>
  <c r="L75" i="1" s="1"/>
  <c r="L91" i="1" s="1"/>
  <c r="L71" i="1"/>
  <c r="L76" i="1" s="1"/>
  <c r="L92" i="1" s="1"/>
  <c r="Q71" i="1"/>
  <c r="Q76" i="1" s="1"/>
  <c r="D100" i="1" s="1"/>
  <c r="Q70" i="1"/>
  <c r="Q75" i="1" s="1"/>
  <c r="Q91" i="1" s="1"/>
  <c r="E76" i="1"/>
  <c r="I71" i="1"/>
  <c r="I76" i="1" s="1"/>
  <c r="I92" i="1" s="1"/>
  <c r="I70" i="1"/>
  <c r="I75" i="1" s="1"/>
  <c r="I91" i="1" s="1"/>
  <c r="F76" i="1"/>
  <c r="F92" i="1" s="1"/>
  <c r="O70" i="1"/>
  <c r="O75" i="1" s="1"/>
  <c r="O91" i="1" s="1"/>
  <c r="O71" i="1"/>
  <c r="O76" i="1" s="1"/>
  <c r="O92" i="1" s="1"/>
  <c r="H70" i="1"/>
  <c r="H75" i="1" s="1"/>
  <c r="H91" i="1" s="1"/>
  <c r="H71" i="1"/>
  <c r="H76" i="1" s="1"/>
  <c r="H92" i="1" s="1"/>
  <c r="J71" i="1"/>
  <c r="J76" i="1" s="1"/>
  <c r="J92" i="1" s="1"/>
  <c r="J70" i="1"/>
  <c r="J75" i="1" s="1"/>
  <c r="J91" i="1" s="1"/>
  <c r="G70" i="1"/>
  <c r="G75" i="1" s="1"/>
  <c r="G91" i="1" s="1"/>
  <c r="G71" i="1"/>
  <c r="G76" i="1" s="1"/>
  <c r="G92" i="1" s="1"/>
  <c r="E75" i="1"/>
  <c r="P70" i="1"/>
  <c r="P75" i="1" s="1"/>
  <c r="P91" i="1" s="1"/>
  <c r="P71" i="1"/>
  <c r="P76" i="1" s="1"/>
  <c r="P92" i="1" s="1"/>
  <c r="K70" i="1"/>
  <c r="K75" i="1" s="1"/>
  <c r="K91" i="1" s="1"/>
  <c r="K71" i="1"/>
  <c r="K76" i="1" s="1"/>
  <c r="K92" i="1" s="1"/>
  <c r="D66" i="1"/>
  <c r="M71" i="1"/>
  <c r="M76" i="1" s="1"/>
  <c r="M92" i="1" s="1"/>
  <c r="M70" i="1"/>
  <c r="M75" i="1" s="1"/>
  <c r="M91" i="1" s="1"/>
  <c r="D69" i="1"/>
  <c r="E91" i="1" l="1"/>
  <c r="D75" i="1"/>
  <c r="D102" i="1"/>
  <c r="F100" i="1"/>
  <c r="D70" i="1"/>
  <c r="D71" i="1"/>
  <c r="D76" i="1"/>
  <c r="E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Susan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KIM Susan:</t>
        </r>
        <r>
          <rPr>
            <sz val="9"/>
            <color indexed="81"/>
            <rFont val="Tahoma"/>
            <family val="2"/>
          </rPr>
          <t xml:space="preserve">
Blue rows will be hidden in exhibit since no balance on account in rider calc</t>
        </r>
      </text>
    </comment>
  </commentList>
</comments>
</file>

<file path=xl/sharedStrings.xml><?xml version="1.0" encoding="utf-8"?>
<sst xmlns="http://schemas.openxmlformats.org/spreadsheetml/2006/main" count="235" uniqueCount="111">
  <si>
    <t>Determination of 2021 Deferral/Variance Account Rate Rider Amounts by Rate Class (EB-2020-0030)</t>
  </si>
  <si>
    <t xml:space="preserve"> </t>
  </si>
  <si>
    <t>Allocators</t>
  </si>
  <si>
    <t>Source</t>
  </si>
  <si>
    <t>Value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</si>
  <si>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</si>
  <si>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</si>
  <si>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</si>
  <si>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</si>
  <si>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</si>
  <si>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</si>
  <si>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</si>
  <si>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</si>
  <si>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</si>
  <si>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</si>
  <si>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</si>
  <si>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</si>
  <si>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</si>
  <si>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Number of Customers</t>
  </si>
  <si>
    <t>2021 Load Forecast</t>
  </si>
  <si>
    <t>Number of Customers (Res, GSe, UGe)</t>
  </si>
  <si>
    <t>kWh</t>
  </si>
  <si>
    <t>kWh excl WMP</t>
  </si>
  <si>
    <t>kWh for Non WMP, Non-RPP, Non-LDC and Class B customers</t>
  </si>
  <si>
    <t>OM&amp;A</t>
  </si>
  <si>
    <t>2018 Cost Allocation Model: E2 Allocators</t>
  </si>
  <si>
    <t>NFA</t>
  </si>
  <si>
    <t>Rates Revenue Requirement Share</t>
  </si>
  <si>
    <t>Rates Revenue Requirement - Fixed Portion</t>
  </si>
  <si>
    <t>Rates Revenue Requirement - Volumetric Portion</t>
  </si>
  <si>
    <t>Disposition and Recovery/Refund of Regulatory Balances Share (2015)</t>
  </si>
  <si>
    <t>Regulatory Balances Share</t>
  </si>
  <si>
    <t>Deferral/Variance Account Rate Rider Development</t>
  </si>
  <si>
    <t>Deferral/Variance Account Description (USofA)</t>
  </si>
  <si>
    <t>Allocator</t>
  </si>
  <si>
    <t>Amount to be  collected/refunded 
(Forecast Balance as at Dec 31, 2020)</t>
  </si>
  <si>
    <t>Total</t>
  </si>
  <si>
    <t>RSVA - Retail Transmission Network Charge (1584)</t>
  </si>
  <si>
    <t>RSVA - Retail Transmission Connection Charge (1586)</t>
  </si>
  <si>
    <t>LV Variance Account (1550)</t>
  </si>
  <si>
    <t>RSVA - Power - Sub-Account -Global adjustment (1589)</t>
  </si>
  <si>
    <t>RSVA - Power - Sub-Account -Global adjustment (Transition Customers*) (1589)</t>
  </si>
  <si>
    <t>Direct Allocation to Transition Customers</t>
  </si>
  <si>
    <t>RSVA - Power - Sub-Account -Power (1588)</t>
  </si>
  <si>
    <t>Disposition and Recovery/Refund of Regulatory Balances- 2015 (1595)</t>
  </si>
  <si>
    <t xml:space="preserve">RCVA </t>
  </si>
  <si>
    <t>OEB Cost Differential Account</t>
  </si>
  <si>
    <t>DSC Exemption Deferral Account</t>
  </si>
  <si>
    <t>Bill Impact Mitigation Variance Account</t>
  </si>
  <si>
    <t>Tax Rate Changes Account</t>
  </si>
  <si>
    <t>Microfit Connection Charge Variance Account</t>
  </si>
  <si>
    <t>Pension Cost Differential Account</t>
  </si>
  <si>
    <t>Revenue Offset Difference Account - Pole Attachment Charge</t>
  </si>
  <si>
    <t>Smart Meter Entity Charge Variance Account (1551)</t>
  </si>
  <si>
    <t>Smart Grid Variance Account</t>
  </si>
  <si>
    <t>DG - Other Costs - HONI - Variance Account</t>
  </si>
  <si>
    <t>DG - Express Feeders - HONI - Variance Account</t>
  </si>
  <si>
    <t>Total Regulatory Assets for Approval</t>
  </si>
  <si>
    <t>Earrnings per Share mechanism</t>
  </si>
  <si>
    <t>Deferral/Variance Account Rate Rider Revenue and ESM Amounts by Rate Class</t>
  </si>
  <si>
    <t>Deferral/Variance Account Rate Rider Recovery Period (Months)</t>
  </si>
  <si>
    <t>Deferral/Variance Account Rate Rider Revenue Description</t>
  </si>
  <si>
    <t>Variance Account</t>
  </si>
  <si>
    <t>Total Deferral/Variance Account Rate Rider</t>
  </si>
  <si>
    <t>Total Group 2 
(exclude RCVA and Smart Meter Entity)</t>
  </si>
  <si>
    <t>Fixed Portion of Deferral/Variance Account Rate Rider (A)</t>
  </si>
  <si>
    <t>Fixed Portion of Group 2
(exclude RCVA and Smart Meter Entity)</t>
  </si>
  <si>
    <t>Volumetric Portion of Deferral/Variance Account Rate Rider (B)</t>
  </si>
  <si>
    <t>Volumetric Portion of Group 2
(exclude RCVA and Smart Meter Entity)</t>
  </si>
  <si>
    <t>TOTAL FIXED RIDER REVENUE</t>
  </si>
  <si>
    <t>TOTAL VOLUMETRIC RIDER REVENUE</t>
  </si>
  <si>
    <t>Volumetric GA Rider Revenue</t>
  </si>
  <si>
    <t>Group 1 RSVA GA Sub Account</t>
  </si>
  <si>
    <t>Fixed Portion of ESM Revenue</t>
  </si>
  <si>
    <t>Fixed Portion of ESM</t>
  </si>
  <si>
    <t>Volumetric Portion of ESM Revenue</t>
  </si>
  <si>
    <t>Volumetric Portion of ESM</t>
  </si>
  <si>
    <t>Deferral/Variance Account Rate Riders by Rate Class</t>
  </si>
  <si>
    <t>Charge Determinants 
(Annual 2021 Load Forecast)</t>
  </si>
  <si>
    <t>Fixed</t>
  </si>
  <si>
    <t>Volumetric Billing Quantity</t>
  </si>
  <si>
    <t>kW</t>
  </si>
  <si>
    <t>Volumetric Billing Quantity for Non WMP, Non-RPP, Non-LDC and Class B customers, uplifted for losses</t>
  </si>
  <si>
    <t>Rate Rider Description</t>
  </si>
  <si>
    <t>Unit</t>
  </si>
  <si>
    <t>Monthly Fixed Rider-General</t>
  </si>
  <si>
    <t>$</t>
  </si>
  <si>
    <t>Volumetric Rider-General</t>
  </si>
  <si>
    <t>$/kWh or $/kW</t>
  </si>
  <si>
    <t>*see ST rider derivation below</t>
  </si>
  <si>
    <t>Volumetric Rider-GA</t>
  </si>
  <si>
    <t>$/kWh</t>
  </si>
  <si>
    <t>Monthly Fixed Rider - ESM</t>
  </si>
  <si>
    <t>Volumetric Rider - ESM</t>
  </si>
  <si>
    <t>ST Volumetric Deferral/Variance Account Rate Riders</t>
  </si>
  <si>
    <t>Rider Revenue ($)</t>
  </si>
  <si>
    <t>Annual 2021 Charge Determinant (kW)</t>
  </si>
  <si>
    <t>Rider ($/kW)</t>
  </si>
  <si>
    <t xml:space="preserve">General (All volumetric rider revenue excluding RSVA-Wholesale Market Service Charge and RSVA Power) </t>
  </si>
  <si>
    <t>Excluding WMP (Rider revenue for RSVA Wholesale Market Service Charge and RSVA Power)</t>
  </si>
  <si>
    <t>Smart Meter Entity Variance Account (1551)</t>
  </si>
  <si>
    <t>Fixed Deferral/Variance Account Rate Rider Revenue (A)</t>
  </si>
  <si>
    <t>Volumetric Deferral/Variance Account Rate Rider Revenue (B)</t>
  </si>
  <si>
    <t>A</t>
  </si>
  <si>
    <t>B</t>
  </si>
  <si>
    <t>Total Regulatory Assets for Approval, excluding balances allocated to Transition Customers</t>
  </si>
  <si>
    <r>
      <t>Group 1</t>
    </r>
    <r>
      <rPr>
        <sz val="10"/>
        <rFont val="Arial"/>
        <family val="2"/>
      </rPr>
      <t xml:space="preserve">
(exclude RSVA GA Sub Account)</t>
    </r>
  </si>
  <si>
    <t>Total Regulatory Assets for Recovery from Rate Riders 
(exclude GA balance allocated to Transition Customers)</t>
  </si>
  <si>
    <t>** Allocated CBR Class B amount results in a volumetric rate rider that rounds to zero at the fourth decimal place in one or more rate classes.  Per Filing Requirements, Chapter 3 Section 3.2.5.4, the entire balance in Account 1580, Sub-account CBR Class B is added to the Account 1580 WMS control account to be disposed through the general purpose Group 1 DVA rate riders</t>
  </si>
  <si>
    <t>RSVA - Wholesale Market Service Charge &amp; Sub-account CBR Class B (1580)**</t>
  </si>
  <si>
    <t>*Portion of Account 1589 allocated to customers who transitioned between Class A and Class (per OEB Filing Requirements 2.9.5.1 Disposition of Global Adjustment Variance July 20 2017).  Allocation for Transition Customers (Class A/B) for Account 1589 shown in Exhibit 4.1.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</si>
</sst>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  <numFmt numFmtId="167" formatCode="_(&quot;$&quot;* #,##0_);_(&quot;$&quot;* \(#,##0\);_(&quot;$&quot;* &quot;-&quot;??_);_(@_)"/>
    <numFmt numFmtId="168" formatCode="_(* #,##0.0000_);_(* \(#,##0.0000\);_(* &quot;-&quot;??_);_(@_)"/>
    <numFmt numFmtId="169" formatCode="_(* #,##0.000_);_(* \(#,##0.000\);_(* &quot;-&quot;??_);_(@_)"/>
    <numFmt numFmtId="170" formatCode="#,##0.0000_);\(#,##0.0000\)"/>
    <numFmt numFmtId="171" formatCode="#,##0.00000_);\(#,##0.00000\)"/>
    <numFmt numFmtId="172" formatCode="_(* #,##0.00000_);_(* \(#,##0.00000\);_(* &quot;-&quot;??_);_(@_)"/>
    <numFmt numFmtId="173" formatCode="0.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8" xfId="0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horizontal="right" vertical="center"/>
    </xf>
    <xf numFmtId="164" fontId="1" fillId="3" borderId="0" xfId="1" applyNumberFormat="1" applyFont="1" applyFill="1" applyBorder="1" applyAlignment="1">
      <alignment horizontal="right" vertical="center"/>
    </xf>
    <xf numFmtId="164" fontId="1" fillId="3" borderId="4" xfId="1" applyNumberFormat="1" applyFont="1" applyFill="1" applyBorder="1" applyAlignment="1">
      <alignment horizontal="right" vertical="center"/>
    </xf>
    <xf numFmtId="164" fontId="1" fillId="0" borderId="4" xfId="1" applyNumberFormat="1" applyFont="1" applyFill="1" applyBorder="1" applyAlignment="1">
      <alignment horizontal="right" vertical="center"/>
    </xf>
    <xf numFmtId="43" fontId="1" fillId="0" borderId="0" xfId="1" applyFont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9" fontId="1" fillId="2" borderId="0" xfId="3" applyFont="1" applyFill="1" applyBorder="1" applyAlignment="1">
      <alignment vertical="center"/>
    </xf>
    <xf numFmtId="10" fontId="1" fillId="2" borderId="0" xfId="3" applyNumberFormat="1" applyFont="1" applyFill="1" applyBorder="1" applyAlignment="1">
      <alignment horizontal="right" vertical="center"/>
    </xf>
    <xf numFmtId="10" fontId="1" fillId="2" borderId="4" xfId="3" applyNumberFormat="1" applyFont="1" applyFill="1" applyBorder="1" applyAlignment="1">
      <alignment horizontal="right" vertical="center"/>
    </xf>
    <xf numFmtId="5" fontId="1" fillId="0" borderId="0" xfId="1" applyNumberFormat="1" applyFont="1" applyFill="1" applyBorder="1" applyAlignment="1">
      <alignment vertical="center"/>
    </xf>
    <xf numFmtId="165" fontId="1" fillId="0" borderId="0" xfId="3" applyNumberFormat="1" applyFont="1" applyFill="1" applyBorder="1" applyAlignment="1">
      <alignment horizontal="right" vertical="center"/>
    </xf>
    <xf numFmtId="165" fontId="1" fillId="0" borderId="4" xfId="3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5" fontId="1" fillId="0" borderId="10" xfId="1" applyNumberFormat="1" applyFont="1" applyFill="1" applyBorder="1" applyAlignment="1">
      <alignment vertical="center"/>
    </xf>
    <xf numFmtId="165" fontId="1" fillId="0" borderId="10" xfId="3" applyNumberFormat="1" applyFont="1" applyFill="1" applyBorder="1" applyAlignment="1">
      <alignment horizontal="right" vertical="center"/>
    </xf>
    <xf numFmtId="165" fontId="1" fillId="0" borderId="11" xfId="3" applyNumberFormat="1" applyFont="1" applyFill="1" applyBorder="1" applyAlignment="1">
      <alignment horizontal="right" vertical="center"/>
    </xf>
    <xf numFmtId="166" fontId="1" fillId="2" borderId="0" xfId="3" applyNumberFormat="1" applyFont="1" applyFill="1" applyBorder="1" applyAlignment="1">
      <alignment horizontal="right" vertical="center"/>
    </xf>
    <xf numFmtId="166" fontId="1" fillId="2" borderId="4" xfId="3" applyNumberFormat="1" applyFont="1" applyFill="1" applyBorder="1" applyAlignment="1">
      <alignment horizontal="right" vertical="center"/>
    </xf>
    <xf numFmtId="9" fontId="1" fillId="0" borderId="0" xfId="3" applyFont="1" applyFill="1" applyBorder="1" applyAlignment="1">
      <alignment vertical="center"/>
    </xf>
    <xf numFmtId="166" fontId="1" fillId="0" borderId="0" xfId="3" applyNumberFormat="1" applyFont="1" applyFill="1" applyBorder="1" applyAlignment="1">
      <alignment horizontal="right" vertical="center"/>
    </xf>
    <xf numFmtId="166" fontId="1" fillId="3" borderId="0" xfId="3" applyNumberFormat="1" applyFont="1" applyFill="1" applyBorder="1" applyAlignment="1">
      <alignment horizontal="right" vertical="center"/>
    </xf>
    <xf numFmtId="166" fontId="1" fillId="3" borderId="4" xfId="3" applyNumberFormat="1" applyFont="1" applyFill="1" applyBorder="1" applyAlignment="1">
      <alignment horizontal="right" vertical="center"/>
    </xf>
    <xf numFmtId="166" fontId="1" fillId="0" borderId="4" xfId="3" applyNumberFormat="1" applyFont="1" applyFill="1" applyBorder="1" applyAlignment="1">
      <alignment horizontal="right" vertical="center"/>
    </xf>
    <xf numFmtId="43" fontId="1" fillId="0" borderId="0" xfId="1" applyFont="1" applyAlignment="1">
      <alignment vertical="center"/>
    </xf>
    <xf numFmtId="43" fontId="1" fillId="0" borderId="0" xfId="1" applyFont="1" applyFill="1" applyAlignment="1">
      <alignment vertical="center"/>
    </xf>
    <xf numFmtId="9" fontId="1" fillId="0" borderId="0" xfId="3" applyFont="1" applyFill="1" applyBorder="1" applyAlignment="1">
      <alignment horizontal="right" vertical="center"/>
    </xf>
    <xf numFmtId="9" fontId="1" fillId="0" borderId="4" xfId="3" applyFont="1" applyFill="1" applyBorder="1" applyAlignment="1">
      <alignment horizontal="right" vertical="center"/>
    </xf>
    <xf numFmtId="9" fontId="1" fillId="0" borderId="10" xfId="3" applyFont="1" applyFill="1" applyBorder="1" applyAlignment="1">
      <alignment vertical="center"/>
    </xf>
    <xf numFmtId="9" fontId="1" fillId="0" borderId="10" xfId="3" applyFont="1" applyFill="1" applyBorder="1" applyAlignment="1">
      <alignment horizontal="right" vertical="center"/>
    </xf>
    <xf numFmtId="166" fontId="1" fillId="0" borderId="10" xfId="3" applyNumberFormat="1" applyFont="1" applyFill="1" applyBorder="1" applyAlignment="1">
      <alignment horizontal="right" vertical="center"/>
    </xf>
    <xf numFmtId="9" fontId="1" fillId="0" borderId="11" xfId="3" applyFont="1" applyFill="1" applyBorder="1" applyAlignment="1">
      <alignment horizontal="right" vertical="center"/>
    </xf>
    <xf numFmtId="10" fontId="1" fillId="0" borderId="0" xfId="3" applyNumberFormat="1" applyFont="1" applyFill="1" applyBorder="1" applyAlignment="1">
      <alignment horizontal="center" vertical="center"/>
    </xf>
    <xf numFmtId="10" fontId="1" fillId="0" borderId="4" xfId="3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164" fontId="1" fillId="0" borderId="6" xfId="1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7" fontId="1" fillId="0" borderId="0" xfId="2" applyNumberFormat="1" applyFont="1" applyFill="1" applyBorder="1" applyAlignment="1">
      <alignment horizontal="center" vertical="center"/>
    </xf>
    <xf numFmtId="5" fontId="1" fillId="0" borderId="0" xfId="2" applyNumberFormat="1" applyFont="1" applyFill="1" applyBorder="1" applyAlignment="1">
      <alignment vertical="center"/>
    </xf>
    <xf numFmtId="5" fontId="1" fillId="0" borderId="4" xfId="2" applyNumberFormat="1" applyFont="1" applyFill="1" applyBorder="1" applyAlignment="1">
      <alignment vertical="center"/>
    </xf>
    <xf numFmtId="5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7" fontId="1" fillId="3" borderId="0" xfId="2" applyNumberFormat="1" applyFont="1" applyFill="1" applyBorder="1" applyAlignment="1">
      <alignment horizontal="center" vertical="center"/>
    </xf>
    <xf numFmtId="5" fontId="1" fillId="3" borderId="0" xfId="2" applyNumberFormat="1" applyFont="1" applyFill="1" applyBorder="1" applyAlignment="1">
      <alignment vertical="center"/>
    </xf>
    <xf numFmtId="5" fontId="1" fillId="3" borderId="4" xfId="2" applyNumberFormat="1" applyFont="1" applyFill="1" applyBorder="1" applyAlignment="1">
      <alignment vertical="center"/>
    </xf>
    <xf numFmtId="167" fontId="1" fillId="2" borderId="0" xfId="2" applyNumberFormat="1" applyFont="1" applyFill="1" applyBorder="1" applyAlignment="1">
      <alignment horizontal="center" vertical="center"/>
    </xf>
    <xf numFmtId="5" fontId="1" fillId="2" borderId="0" xfId="2" applyNumberFormat="1" applyFont="1" applyFill="1" applyBorder="1" applyAlignment="1">
      <alignment vertical="center"/>
    </xf>
    <xf numFmtId="5" fontId="1" fillId="2" borderId="4" xfId="2" applyNumberFormat="1" applyFont="1" applyFill="1" applyBorder="1" applyAlignment="1">
      <alignment vertical="center"/>
    </xf>
    <xf numFmtId="5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2" borderId="8" xfId="0" quotePrefix="1" applyFont="1" applyFill="1" applyBorder="1" applyAlignment="1">
      <alignment horizontal="left" vertical="center"/>
    </xf>
    <xf numFmtId="0" fontId="1" fillId="0" borderId="8" xfId="0" quotePrefix="1" applyFont="1" applyBorder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167" fontId="1" fillId="0" borderId="0" xfId="2" applyNumberFormat="1" applyFont="1" applyFill="1" applyBorder="1" applyAlignment="1">
      <alignment vertical="center"/>
    </xf>
    <xf numFmtId="167" fontId="1" fillId="0" borderId="4" xfId="2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centerContinuous" vertical="center"/>
    </xf>
    <xf numFmtId="167" fontId="3" fillId="0" borderId="0" xfId="2" applyNumberFormat="1" applyFont="1" applyFill="1" applyBorder="1" applyAlignment="1">
      <alignment vertical="center"/>
    </xf>
    <xf numFmtId="167" fontId="3" fillId="0" borderId="4" xfId="2" applyNumberFormat="1" applyFont="1" applyFill="1" applyBorder="1" applyAlignment="1">
      <alignment vertical="center"/>
    </xf>
    <xf numFmtId="44" fontId="1" fillId="0" borderId="0" xfId="0" applyNumberFormat="1" applyFont="1" applyAlignment="1">
      <alignment vertical="center"/>
    </xf>
    <xf numFmtId="43" fontId="1" fillId="0" borderId="10" xfId="1" applyFont="1" applyFill="1" applyBorder="1" applyAlignment="1">
      <alignment vertical="center"/>
    </xf>
    <xf numFmtId="5" fontId="1" fillId="0" borderId="10" xfId="2" applyNumberFormat="1" applyFont="1" applyFill="1" applyBorder="1" applyAlignment="1">
      <alignment vertical="center"/>
    </xf>
    <xf numFmtId="5" fontId="1" fillId="0" borderId="11" xfId="2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Continuous" vertical="center"/>
    </xf>
    <xf numFmtId="44" fontId="1" fillId="0" borderId="6" xfId="0" applyNumberFormat="1" applyFont="1" applyBorder="1" applyAlignment="1">
      <alignment vertical="center"/>
    </xf>
    <xf numFmtId="43" fontId="1" fillId="0" borderId="6" xfId="0" applyNumberFormat="1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67" fontId="1" fillId="0" borderId="4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4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Continuous" vertical="center" wrapText="1"/>
    </xf>
    <xf numFmtId="167" fontId="1" fillId="0" borderId="8" xfId="2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7" fontId="1" fillId="0" borderId="8" xfId="2" quotePrefix="1" applyNumberFormat="1" applyFont="1" applyFill="1" applyBorder="1" applyAlignment="1">
      <alignment vertical="center" wrapText="1"/>
    </xf>
    <xf numFmtId="167" fontId="3" fillId="0" borderId="8" xfId="2" quotePrefix="1" applyNumberFormat="1" applyFont="1" applyFill="1" applyBorder="1" applyAlignment="1">
      <alignment horizontal="left" vertical="center" wrapText="1"/>
    </xf>
    <xf numFmtId="167" fontId="3" fillId="0" borderId="0" xfId="0" applyNumberFormat="1" applyFont="1" applyAlignment="1">
      <alignment vertical="center"/>
    </xf>
    <xf numFmtId="167" fontId="3" fillId="0" borderId="8" xfId="2" applyNumberFormat="1" applyFont="1" applyFill="1" applyBorder="1" applyAlignment="1">
      <alignment horizontal="left" vertical="center" wrapText="1"/>
    </xf>
    <xf numFmtId="167" fontId="3" fillId="3" borderId="0" xfId="2" applyNumberFormat="1" applyFont="1" applyFill="1" applyBorder="1" applyAlignment="1">
      <alignment vertical="center"/>
    </xf>
    <xf numFmtId="167" fontId="3" fillId="0" borderId="9" xfId="2" applyNumberFormat="1" applyFont="1" applyFill="1" applyBorder="1" applyAlignment="1">
      <alignment horizontal="left" vertical="center" wrapText="1"/>
    </xf>
    <xf numFmtId="167" fontId="3" fillId="0" borderId="10" xfId="0" applyNumberFormat="1" applyFont="1" applyBorder="1" applyAlignment="1">
      <alignment vertical="center"/>
    </xf>
    <xf numFmtId="167" fontId="1" fillId="0" borderId="10" xfId="2" applyNumberFormat="1" applyFont="1" applyFill="1" applyBorder="1" applyAlignment="1">
      <alignment vertical="center"/>
    </xf>
    <xf numFmtId="167" fontId="1" fillId="0" borderId="11" xfId="2" applyNumberFormat="1" applyFont="1" applyFill="1" applyBorder="1" applyAlignment="1">
      <alignment vertical="center"/>
    </xf>
    <xf numFmtId="167" fontId="3" fillId="0" borderId="6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8" fontId="3" fillId="0" borderId="0" xfId="0" applyNumberFormat="1" applyFont="1" applyAlignment="1">
      <alignment horizontal="center" vertical="center"/>
    </xf>
    <xf numFmtId="169" fontId="3" fillId="0" borderId="4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4" fontId="1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9" fontId="3" fillId="0" borderId="0" xfId="0" applyNumberFormat="1" applyFont="1" applyAlignment="1">
      <alignment horizontal="center" vertical="center"/>
    </xf>
    <xf numFmtId="39" fontId="3" fillId="0" borderId="4" xfId="0" applyNumberFormat="1" applyFont="1" applyBorder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69" fontId="3" fillId="0" borderId="4" xfId="0" applyNumberFormat="1" applyFont="1" applyBorder="1" applyAlignment="1">
      <alignment horizontal="center" vertical="center" wrapText="1"/>
    </xf>
    <xf numFmtId="170" fontId="3" fillId="0" borderId="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4" fontId="1" fillId="0" borderId="10" xfId="2" applyFont="1" applyFill="1" applyBorder="1" applyAlignment="1">
      <alignment horizontal="center" vertical="center"/>
    </xf>
    <xf numFmtId="171" fontId="3" fillId="3" borderId="10" xfId="0" applyNumberFormat="1" applyFont="1" applyFill="1" applyBorder="1" applyAlignment="1">
      <alignment horizontal="center" vertical="center"/>
    </xf>
    <xf numFmtId="170" fontId="3" fillId="0" borderId="10" xfId="0" applyNumberFormat="1" applyFont="1" applyBorder="1" applyAlignment="1">
      <alignment horizontal="center" vertical="center"/>
    </xf>
    <xf numFmtId="170" fontId="3" fillId="0" borderId="11" xfId="0" applyNumberFormat="1" applyFont="1" applyBorder="1" applyAlignment="1">
      <alignment horizontal="center" vertical="center"/>
    </xf>
    <xf numFmtId="0" fontId="1" fillId="0" borderId="0" xfId="0" applyFont="1"/>
    <xf numFmtId="167" fontId="1" fillId="0" borderId="0" xfId="0" applyNumberFormat="1" applyFont="1"/>
    <xf numFmtId="0" fontId="3" fillId="0" borderId="1" xfId="0" applyFont="1" applyBorder="1" applyAlignment="1">
      <alignment horizontal="left" vertical="center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164" fontId="1" fillId="0" borderId="0" xfId="1" applyNumberFormat="1" applyFont="1"/>
    <xf numFmtId="43" fontId="1" fillId="0" borderId="0" xfId="1" applyFont="1"/>
    <xf numFmtId="0" fontId="1" fillId="0" borderId="8" xfId="0" applyFont="1" applyBorder="1"/>
    <xf numFmtId="43" fontId="1" fillId="0" borderId="0" xfId="1" applyFont="1" applyBorder="1"/>
    <xf numFmtId="43" fontId="1" fillId="0" borderId="4" xfId="1" applyFont="1" applyBorder="1"/>
    <xf numFmtId="172" fontId="1" fillId="0" borderId="0" xfId="1" applyNumberFormat="1" applyFont="1"/>
    <xf numFmtId="0" fontId="3" fillId="0" borderId="8" xfId="0" applyFont="1" applyBorder="1" applyAlignment="1">
      <alignment wrapText="1"/>
    </xf>
    <xf numFmtId="3" fontId="1" fillId="0" borderId="0" xfId="0" applyNumberFormat="1" applyFont="1" applyAlignment="1">
      <alignment horizontal="center" vertical="center"/>
    </xf>
    <xf numFmtId="173" fontId="1" fillId="0" borderId="4" xfId="0" applyNumberFormat="1" applyFont="1" applyBorder="1" applyAlignment="1">
      <alignment horizontal="center" vertical="center"/>
    </xf>
    <xf numFmtId="43" fontId="1" fillId="0" borderId="0" xfId="0" applyNumberFormat="1" applyFont="1"/>
    <xf numFmtId="0" fontId="3" fillId="0" borderId="9" xfId="0" applyFont="1" applyBorder="1" applyAlignment="1">
      <alignment wrapText="1"/>
    </xf>
    <xf numFmtId="3" fontId="1" fillId="0" borderId="10" xfId="0" applyNumberFormat="1" applyFont="1" applyBorder="1" applyAlignment="1">
      <alignment horizontal="center" vertical="center"/>
    </xf>
    <xf numFmtId="173" fontId="1" fillId="0" borderId="1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vertical="center" wrapText="1"/>
    </xf>
    <xf numFmtId="167" fontId="0" fillId="0" borderId="8" xfId="2" quotePrefix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87255</xdr:colOff>
      <xdr:row>75</xdr:row>
      <xdr:rowOff>77610</xdr:rowOff>
    </xdr:from>
    <xdr:to>
      <xdr:col>17</xdr:col>
      <xdr:colOff>49390</xdr:colOff>
      <xdr:row>101</xdr:row>
      <xdr:rowOff>100848</xdr:rowOff>
    </xdr:to>
    <xdr:cxnSp macro="">
      <xdr:nvCxnSpPr>
        <xdr:cNvPr id="2" name="Elb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rot="10800000" flipV="1">
          <a:off x="9891655" y="11437760"/>
          <a:ext cx="14611585" cy="6919338"/>
        </a:xfrm>
        <a:prstGeom prst="bentConnector3">
          <a:avLst>
            <a:gd name="adj1" fmla="val -757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1/Rate%20Design_2021_v39_D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1/VA%20Rider_2021_v43_updated%20inf%20and%20NO%20CBRB%20Rid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CAM2018_v26_Decision%20201903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1/2021%20DRO/DVA%20balances%20for%20HONI%20DX_For%20Susan_10Aug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1/2021%20DRO/DefVA2021_GA%20Ride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1/ST_Rate_Model_2021_v39_D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 Design"/>
      <sheetName val="2021 Rev at 2020 Rate"/>
      <sheetName val="Rate Design_2021_v39_DRO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</row>
        <row r="3">
          <cell r="A3" t="str">
            <v>2021 Rate Design</v>
          </cell>
        </row>
        <row r="5">
          <cell r="C5" t="str">
            <v>Number of Customers</v>
          </cell>
          <cell r="D5" t="str">
            <v>GWh</v>
          </cell>
          <cell r="E5" t="str">
            <v>kWs</v>
          </cell>
          <cell r="F5" t="str">
            <v>Revenue - with 2020 rates and 2021 charge determinants</v>
          </cell>
        </row>
        <row r="6">
          <cell r="F6"/>
        </row>
        <row r="7">
          <cell r="F7"/>
        </row>
        <row r="8">
          <cell r="A8" t="str">
            <v>UR</v>
          </cell>
          <cell r="B8"/>
          <cell r="C8">
            <v>235237.81003627038</v>
          </cell>
          <cell r="D8">
            <v>1919.9300378522114</v>
          </cell>
          <cell r="E8"/>
          <cell r="F8">
            <v>102215191.08680554</v>
          </cell>
          <cell r="G8">
            <v>101177948.71060383</v>
          </cell>
          <cell r="H8">
            <v>104941595.08251563</v>
          </cell>
          <cell r="I8">
            <v>3.7198286977301986E-2</v>
          </cell>
          <cell r="J8">
            <v>94631711.855390981</v>
          </cell>
          <cell r="K8">
            <v>4254822.5438765539</v>
          </cell>
          <cell r="L8">
            <v>100686772.53863907</v>
          </cell>
          <cell r="M8">
            <v>1.1012512098605256</v>
          </cell>
          <cell r="N8">
            <v>1.1089474450475907</v>
          </cell>
          <cell r="O8"/>
          <cell r="P8">
            <v>1.1089474450475907</v>
          </cell>
          <cell r="Q8">
            <v>104941595.08251563</v>
          </cell>
          <cell r="R8">
            <v>0</v>
          </cell>
          <cell r="S8">
            <v>0</v>
          </cell>
          <cell r="T8" t="str">
            <v>UR</v>
          </cell>
          <cell r="U8">
            <v>35.668434325783828</v>
          </cell>
          <cell r="V8">
            <v>100686772.53863905</v>
          </cell>
          <cell r="W8">
            <v>0</v>
          </cell>
          <cell r="X8">
            <v>0</v>
          </cell>
          <cell r="Y8"/>
        </row>
        <row r="9">
          <cell r="A9" t="str">
            <v>R1</v>
          </cell>
          <cell r="B9"/>
          <cell r="C9">
            <v>459104.35121199378</v>
          </cell>
          <cell r="D9">
            <v>4588.9687764192404</v>
          </cell>
          <cell r="E9"/>
          <cell r="F9">
            <v>335096658.19230151</v>
          </cell>
          <cell r="G9">
            <v>332926060.74001837</v>
          </cell>
          <cell r="H9">
            <v>344034751.03477061</v>
          </cell>
          <cell r="I9">
            <v>3.3366839081507171E-2</v>
          </cell>
          <cell r="J9">
            <v>309769258.36234289</v>
          </cell>
          <cell r="K9">
            <v>11337235.807747448</v>
          </cell>
          <cell r="L9">
            <v>332697515.22702318</v>
          </cell>
          <cell r="M9">
            <v>1.1069976548838367</v>
          </cell>
          <cell r="N9">
            <v>1.1106161820368461</v>
          </cell>
          <cell r="O9"/>
          <cell r="P9">
            <v>1.1106161820368461</v>
          </cell>
          <cell r="Q9">
            <v>344034751.03477061</v>
          </cell>
          <cell r="R9">
            <v>0</v>
          </cell>
          <cell r="S9">
            <v>0</v>
          </cell>
          <cell r="T9" t="str">
            <v>R1</v>
          </cell>
          <cell r="U9">
            <v>48.699813766575055</v>
          </cell>
          <cell r="V9">
            <v>268299556.84138036</v>
          </cell>
          <cell r="W9">
            <v>64397958.385642827</v>
          </cell>
          <cell r="X9">
            <v>1.4033209098426767</v>
          </cell>
          <cell r="Y9"/>
        </row>
        <row r="10">
          <cell r="A10" t="str">
            <v>R2</v>
          </cell>
          <cell r="B10"/>
          <cell r="C10">
            <v>333606.98067436524</v>
          </cell>
          <cell r="D10">
            <v>4181.1736379573804</v>
          </cell>
          <cell r="E10"/>
          <cell r="F10">
            <v>545453361.03575778</v>
          </cell>
          <cell r="G10">
            <v>544284317.39771354</v>
          </cell>
          <cell r="H10">
            <v>560002335.67631245</v>
          </cell>
          <cell r="I10">
            <v>2.8878322920911303E-2</v>
          </cell>
          <cell r="J10">
            <v>576163958.51141083</v>
          </cell>
          <cell r="K10">
            <v>13847985.735440185</v>
          </cell>
          <cell r="L10">
            <v>546154349.94087231</v>
          </cell>
          <cell r="M10">
            <v>0.97300922530464418</v>
          </cell>
          <cell r="N10">
            <v>0.97194961157089055</v>
          </cell>
          <cell r="O10"/>
          <cell r="P10">
            <v>0.97194961157089055</v>
          </cell>
          <cell r="Q10">
            <v>560002335.67631245</v>
          </cell>
          <cell r="R10">
            <v>0</v>
          </cell>
          <cell r="S10">
            <v>0</v>
          </cell>
          <cell r="T10" t="str">
            <v>R2</v>
          </cell>
          <cell r="U10">
            <v>112.84868484544099</v>
          </cell>
          <cell r="V10">
            <v>451765308.29232681</v>
          </cell>
          <cell r="W10">
            <v>94389041.648545519</v>
          </cell>
          <cell r="X10">
            <v>2.2574772018953317</v>
          </cell>
          <cell r="Y10"/>
        </row>
        <row r="11">
          <cell r="A11" t="str">
            <v>Seasonal</v>
          </cell>
          <cell r="B11"/>
          <cell r="C11">
            <v>148656.48201608978</v>
          </cell>
          <cell r="D11">
            <v>555.47763740921152</v>
          </cell>
          <cell r="E11"/>
          <cell r="F11">
            <v>113809685.27646475</v>
          </cell>
          <cell r="G11">
            <v>114051300.23658638</v>
          </cell>
          <cell r="H11">
            <v>116845351.2805986</v>
          </cell>
          <cell r="I11">
            <v>2.4498195445525672E-2</v>
          </cell>
          <cell r="J11">
            <v>108713761.96299756</v>
          </cell>
          <cell r="K11">
            <v>2689130.7184648979</v>
          </cell>
          <cell r="L11">
            <v>114156220.5621337</v>
          </cell>
          <cell r="M11">
            <v>1.0805700871952872</v>
          </cell>
          <cell r="N11">
            <v>1.0747981595961029</v>
          </cell>
          <cell r="O11"/>
          <cell r="P11">
            <v>1.0747981595961029</v>
          </cell>
          <cell r="Q11">
            <v>116845351.2805986</v>
          </cell>
          <cell r="R11">
            <v>0</v>
          </cell>
          <cell r="S11">
            <v>0</v>
          </cell>
          <cell r="T11" t="str">
            <v>Seasonal</v>
          </cell>
          <cell r="U11">
            <v>50.369129704085445</v>
          </cell>
          <cell r="V11">
            <v>89852371.488257661</v>
          </cell>
          <cell r="W11">
            <v>24303849.073876057</v>
          </cell>
          <cell r="X11">
            <v>4.3753064816850218</v>
          </cell>
          <cell r="Y11"/>
        </row>
        <row r="12">
          <cell r="A12" t="str">
            <v>GSe</v>
          </cell>
          <cell r="B12"/>
          <cell r="C12">
            <v>87424.499392747457</v>
          </cell>
          <cell r="D12">
            <v>2096.0983571619508</v>
          </cell>
          <cell r="E12"/>
          <cell r="F12">
            <v>167308146.3870078</v>
          </cell>
          <cell r="G12">
            <v>168891681.010932</v>
          </cell>
          <cell r="H12">
            <v>171770786.37206644</v>
          </cell>
          <cell r="I12">
            <v>1.7047052548124553E-2</v>
          </cell>
          <cell r="J12">
            <v>180792173.16903085</v>
          </cell>
          <cell r="K12">
            <v>4363567.9170299089</v>
          </cell>
          <cell r="L12">
            <v>167407218.45503652</v>
          </cell>
          <cell r="M12">
            <v>0.9622011196171546</v>
          </cell>
          <cell r="N12">
            <v>0.95010078899527417</v>
          </cell>
          <cell r="O12"/>
          <cell r="P12">
            <v>0.95010078899527417</v>
          </cell>
          <cell r="Q12">
            <v>171770786.37206644</v>
          </cell>
          <cell r="R12">
            <v>0</v>
          </cell>
          <cell r="S12">
            <v>0</v>
          </cell>
          <cell r="T12" t="str">
            <v>GSe</v>
          </cell>
          <cell r="U12">
            <v>32.251656698692251</v>
          </cell>
          <cell r="V12">
            <v>33835019.297639042</v>
          </cell>
          <cell r="W12">
            <v>133572199.15739749</v>
          </cell>
          <cell r="X12">
            <v>6.3724203924404534</v>
          </cell>
          <cell r="Y12"/>
        </row>
        <row r="13">
          <cell r="A13" t="str">
            <v>GSd</v>
          </cell>
          <cell r="B13"/>
          <cell r="C13">
            <v>5364.6325546258431</v>
          </cell>
          <cell r="D13">
            <v>2392.3950902156489</v>
          </cell>
          <cell r="E13">
            <v>7694461.3831822984</v>
          </cell>
          <cell r="F13">
            <v>144969887.1649757</v>
          </cell>
          <cell r="G13">
            <v>145215899.36271885</v>
          </cell>
          <cell r="H13">
            <v>148836694.78350836</v>
          </cell>
          <cell r="I13">
            <v>2.493387732802943E-2</v>
          </cell>
          <cell r="J13">
            <v>169581446.60555539</v>
          </cell>
          <cell r="K13">
            <v>2410926.0813245913</v>
          </cell>
          <cell r="L13">
            <v>146425768.70218378</v>
          </cell>
          <cell r="M13">
            <v>0.88200908376200005</v>
          </cell>
          <cell r="N13">
            <v>0.87767086413468864</v>
          </cell>
          <cell r="O13"/>
          <cell r="P13">
            <v>0.87767086413468864</v>
          </cell>
          <cell r="Q13">
            <v>148836694.78350836</v>
          </cell>
          <cell r="R13">
            <v>0</v>
          </cell>
          <cell r="S13">
            <v>0</v>
          </cell>
          <cell r="T13" t="str">
            <v>GSd</v>
          </cell>
          <cell r="U13">
            <v>107.53407299390653</v>
          </cell>
          <cell r="V13">
            <v>6922569.4645754723</v>
          </cell>
          <cell r="W13">
            <v>139503199.23760831</v>
          </cell>
          <cell r="X13"/>
          <cell r="Y13">
            <v>18.130339771737493</v>
          </cell>
        </row>
        <row r="14">
          <cell r="A14" t="str">
            <v>UGe</v>
          </cell>
          <cell r="B14"/>
          <cell r="C14">
            <v>18220.320924445055</v>
          </cell>
          <cell r="D14">
            <v>588.97212004674145</v>
          </cell>
          <cell r="E14"/>
          <cell r="F14">
            <v>23542970.049946483</v>
          </cell>
          <cell r="G14">
            <v>23577289.12875478</v>
          </cell>
          <cell r="H14">
            <v>24170935.882936474</v>
          </cell>
          <cell r="I14">
            <v>2.5178753627688399E-2</v>
          </cell>
          <cell r="J14">
            <v>24406006.684621159</v>
          </cell>
          <cell r="K14">
            <v>737497.14054399927</v>
          </cell>
          <cell r="L14">
            <v>23433438.742392473</v>
          </cell>
          <cell r="M14">
            <v>0.99502586049522668</v>
          </cell>
          <cell r="N14">
            <v>0.99036832183477153</v>
          </cell>
          <cell r="O14"/>
          <cell r="P14">
            <v>0.99036832183477153</v>
          </cell>
          <cell r="Q14">
            <v>24170935.882936474</v>
          </cell>
          <cell r="R14">
            <v>0</v>
          </cell>
          <cell r="S14">
            <v>0</v>
          </cell>
          <cell r="T14" t="str">
            <v>UGe</v>
          </cell>
          <cell r="U14">
            <v>25.412494364562406</v>
          </cell>
          <cell r="V14">
            <v>5556285.6337557416</v>
          </cell>
          <cell r="W14">
            <v>17877153.108636733</v>
          </cell>
          <cell r="X14">
            <v>3.0353139817922083</v>
          </cell>
          <cell r="Y14"/>
        </row>
        <row r="15">
          <cell r="A15" t="str">
            <v>UGd</v>
          </cell>
          <cell r="B15"/>
          <cell r="C15">
            <v>1754.7744791356233</v>
          </cell>
          <cell r="D15">
            <v>1014.2219542406397</v>
          </cell>
          <cell r="E15">
            <v>2581633.9861549716</v>
          </cell>
          <cell r="F15">
            <v>28755552.120226812</v>
          </cell>
          <cell r="G15">
            <v>28998205.980768461</v>
          </cell>
          <cell r="H15">
            <v>29522554.083103895</v>
          </cell>
          <cell r="I15">
            <v>1.8082087653394252E-2</v>
          </cell>
          <cell r="J15">
            <v>33651503.636115909</v>
          </cell>
          <cell r="K15">
            <v>519486.20421569329</v>
          </cell>
          <cell r="L15">
            <v>29003067.878888201</v>
          </cell>
          <cell r="M15">
            <v>0.88757258763724389</v>
          </cell>
          <cell r="N15">
            <v>0.87730267278218477</v>
          </cell>
          <cell r="O15"/>
          <cell r="P15">
            <v>0.87730267278218477</v>
          </cell>
          <cell r="Q15">
            <v>29522554.083103895</v>
          </cell>
          <cell r="R15">
            <v>0</v>
          </cell>
          <cell r="S15">
            <v>0</v>
          </cell>
          <cell r="T15" t="str">
            <v>UGd</v>
          </cell>
          <cell r="U15">
            <v>99.50553529973233</v>
          </cell>
          <cell r="V15">
            <v>2095317.2865203903</v>
          </cell>
          <cell r="W15">
            <v>26907750.592367809</v>
          </cell>
          <cell r="X15"/>
          <cell r="Y15">
            <v>10.422759669523725</v>
          </cell>
        </row>
        <row r="16">
          <cell r="A16" t="str">
            <v>St Lgt</v>
          </cell>
          <cell r="B16" t="str">
            <v>STL</v>
          </cell>
          <cell r="C16">
            <v>5579.0157766419379</v>
          </cell>
          <cell r="D16">
            <v>99.780342052679273</v>
          </cell>
          <cell r="E16"/>
          <cell r="F16">
            <v>10872851.323983734</v>
          </cell>
          <cell r="G16">
            <v>10839294.402011078</v>
          </cell>
          <cell r="H16">
            <v>11162864.823731499</v>
          </cell>
          <cell r="I16">
            <v>2.9851613003553767E-2</v>
          </cell>
          <cell r="J16">
            <v>11999752.143029513</v>
          </cell>
          <cell r="K16">
            <v>313296.77713081468</v>
          </cell>
          <cell r="L16">
            <v>10849568.046600685</v>
          </cell>
          <cell r="M16">
            <v>0.93039198651754618</v>
          </cell>
          <cell r="N16">
            <v>0.93025794955405394</v>
          </cell>
          <cell r="O16"/>
          <cell r="P16">
            <v>0.93025794955405394</v>
          </cell>
          <cell r="Q16">
            <v>11162864.823731499</v>
          </cell>
          <cell r="R16">
            <v>0</v>
          </cell>
          <cell r="S16">
            <v>0</v>
          </cell>
          <cell r="T16" t="str">
            <v>St Lgt</v>
          </cell>
          <cell r="U16">
            <v>3.4801212568024447</v>
          </cell>
          <cell r="V16">
            <v>232987.81675593369</v>
          </cell>
          <cell r="W16">
            <v>10616580.229844751</v>
          </cell>
          <cell r="X16">
            <v>10.639951729409489</v>
          </cell>
          <cell r="Y16"/>
        </row>
        <row r="17">
          <cell r="A17" t="str">
            <v>Sen Lgt</v>
          </cell>
          <cell r="B17"/>
          <cell r="C17">
            <v>22139.252262299073</v>
          </cell>
          <cell r="D17">
            <v>13.161718207125986</v>
          </cell>
          <cell r="E17"/>
          <cell r="F17">
            <v>5631769.8994937558</v>
          </cell>
          <cell r="G17">
            <v>5700645.3314786181</v>
          </cell>
          <cell r="H17">
            <v>5781987.1010040473</v>
          </cell>
          <cell r="I17">
            <v>1.4268870416523693E-2</v>
          </cell>
          <cell r="J17">
            <v>6159803.6898709023</v>
          </cell>
          <cell r="K17">
            <v>3013494.8738431437</v>
          </cell>
          <cell r="L17">
            <v>2768492.2271609036</v>
          </cell>
          <cell r="M17">
            <v>0.95322269783991054</v>
          </cell>
          <cell r="N17">
            <v>0.93866418348881286</v>
          </cell>
          <cell r="O17"/>
          <cell r="P17">
            <v>0.93866418348881286</v>
          </cell>
          <cell r="Q17">
            <v>5781987.1010040473</v>
          </cell>
          <cell r="R17">
            <v>0</v>
          </cell>
          <cell r="S17">
            <v>0</v>
          </cell>
          <cell r="T17" t="str">
            <v>Sen Lgt</v>
          </cell>
          <cell r="U17">
            <v>2.8218252158335764</v>
          </cell>
          <cell r="V17">
            <v>749677.20352147287</v>
          </cell>
          <cell r="W17">
            <v>2018815.0236394303</v>
          </cell>
          <cell r="X17">
            <v>15.338537050173345</v>
          </cell>
          <cell r="Y17"/>
        </row>
        <row r="18">
          <cell r="A18" t="str">
            <v>USL</v>
          </cell>
          <cell r="B18"/>
          <cell r="C18">
            <v>5588.6592042735138</v>
          </cell>
          <cell r="D18">
            <v>29.820725929010678</v>
          </cell>
          <cell r="E18"/>
          <cell r="F18">
            <v>3265377.6347742267</v>
          </cell>
          <cell r="G18">
            <v>3249135.4273872543</v>
          </cell>
          <cell r="H18">
            <v>3352475.633968791</v>
          </cell>
          <cell r="I18">
            <v>3.1805447600143921E-2</v>
          </cell>
          <cell r="J18">
            <v>3023140.5418469924</v>
          </cell>
          <cell r="K18">
            <v>105083.07284686784</v>
          </cell>
          <cell r="L18">
            <v>3247392.5611219229</v>
          </cell>
          <cell r="M18">
            <v>1.1069976548838367</v>
          </cell>
          <cell r="N18">
            <v>1.10893806872789</v>
          </cell>
          <cell r="O18"/>
          <cell r="P18">
            <v>1.10893806872789</v>
          </cell>
          <cell r="Q18">
            <v>3352475.633968791</v>
          </cell>
          <cell r="R18">
            <v>0</v>
          </cell>
          <cell r="S18">
            <v>0</v>
          </cell>
          <cell r="T18" t="str">
            <v>USL</v>
          </cell>
          <cell r="U18">
            <v>37.323005056040088</v>
          </cell>
          <cell r="V18">
            <v>2503026.668851024</v>
          </cell>
          <cell r="W18">
            <v>744365.89227089914</v>
          </cell>
          <cell r="X18">
            <v>2.4961360566570017</v>
          </cell>
          <cell r="Y18"/>
        </row>
        <row r="19">
          <cell r="A19" t="str">
            <v>DGen</v>
          </cell>
          <cell r="B19"/>
          <cell r="C19">
            <v>1464.5068376351069</v>
          </cell>
          <cell r="D19">
            <v>29.635586620933182</v>
          </cell>
          <cell r="E19">
            <v>216000.74868619369</v>
          </cell>
          <cell r="F19">
            <v>5500367.3507269686</v>
          </cell>
          <cell r="G19">
            <v>5196302.2281139707</v>
          </cell>
          <cell r="H19">
            <v>5647079.6286520753</v>
          </cell>
          <cell r="I19">
            <v>8.6749650183784111E-2</v>
          </cell>
          <cell r="J19">
            <v>6885371.7002056437</v>
          </cell>
          <cell r="K19">
            <v>142710.84329720843</v>
          </cell>
          <cell r="L19">
            <v>5504368.7853548666</v>
          </cell>
          <cell r="M19">
            <v>0.77732786667095066</v>
          </cell>
          <cell r="N19">
            <v>0.82015610406093475</v>
          </cell>
          <cell r="O19"/>
          <cell r="P19">
            <v>0.82015610406093475</v>
          </cell>
          <cell r="Q19">
            <v>5647079.6286520753</v>
          </cell>
          <cell r="R19">
            <v>0</v>
          </cell>
          <cell r="S19">
            <v>0</v>
          </cell>
          <cell r="T19" t="str">
            <v>Dgen</v>
          </cell>
          <cell r="U19">
            <v>194.18986646902457</v>
          </cell>
          <cell r="V19">
            <v>3412708.6469200179</v>
          </cell>
          <cell r="W19">
            <v>2091660.138434849</v>
          </cell>
          <cell r="X19"/>
          <cell r="Y19">
            <v>9.6835781873775666</v>
          </cell>
        </row>
        <row r="20">
          <cell r="A20" t="str">
            <v>ST</v>
          </cell>
          <cell r="B20"/>
          <cell r="C20">
            <v>815.64154969163042</v>
          </cell>
          <cell r="D20">
            <v>15108.04240133653</v>
          </cell>
          <cell r="E20">
            <v>30486196.140494023</v>
          </cell>
          <cell r="F20">
            <v>57766616.740793005</v>
          </cell>
          <cell r="G20">
            <v>55092742.742080882</v>
          </cell>
          <cell r="H20">
            <v>59307435.99697382</v>
          </cell>
          <cell r="I20">
            <v>7.6501786716704379E-2</v>
          </cell>
          <cell r="J20">
            <v>59598958.517724894</v>
          </cell>
          <cell r="K20">
            <v>1029573.3465529814</v>
          </cell>
          <cell r="L20">
            <v>58277862.650420837</v>
          </cell>
          <cell r="M20">
            <v>0.95212276247188166</v>
          </cell>
          <cell r="N20">
            <v>0.99510859706274268</v>
          </cell>
          <cell r="O20"/>
          <cell r="P20">
            <v>0.99510859706274268</v>
          </cell>
          <cell r="Q20">
            <v>59307435.99697382</v>
          </cell>
          <cell r="R20">
            <v>0</v>
          </cell>
          <cell r="S20">
            <v>0</v>
          </cell>
          <cell r="T20" t="str">
            <v>ST</v>
          </cell>
          <cell r="U20">
            <v>1114.0431862584405</v>
          </cell>
          <cell r="V20">
            <v>10903918.930358833</v>
          </cell>
          <cell r="W20">
            <v>47373943.720062003</v>
          </cell>
          <cell r="X20"/>
          <cell r="Y20">
            <v>1.5539473505235513</v>
          </cell>
        </row>
        <row r="21">
          <cell r="A21"/>
          <cell r="B21"/>
          <cell r="C21"/>
          <cell r="D21"/>
          <cell r="E21"/>
          <cell r="F21"/>
        </row>
        <row r="22">
          <cell r="A22"/>
          <cell r="B22"/>
          <cell r="C22">
            <v>1324956.9269202144</v>
          </cell>
          <cell r="D22">
            <v>32617.678385449304</v>
          </cell>
          <cell r="E22">
            <v>40978292.258517489</v>
          </cell>
          <cell r="F22">
            <v>1544188434.263258</v>
          </cell>
        </row>
        <row r="25">
          <cell r="A25"/>
          <cell r="C25" t="str">
            <v>2021 Adjustments (from 2020 Revenue Requirement) by Rate Class</v>
          </cell>
        </row>
        <row r="26">
          <cell r="A26"/>
          <cell r="C26"/>
          <cell r="D26">
            <v>2020</v>
          </cell>
          <cell r="E26">
            <v>2021</v>
          </cell>
          <cell r="F26" t="str">
            <v>%</v>
          </cell>
        </row>
        <row r="27">
          <cell r="A27"/>
          <cell r="C27" t="str">
            <v>Revenue Requirement**</v>
          </cell>
          <cell r="D27">
            <v>1544188434.263258</v>
          </cell>
          <cell r="E27">
            <v>1585376847.3801429</v>
          </cell>
          <cell r="F27">
            <v>1.0266731780934082</v>
          </cell>
        </row>
        <row r="28">
          <cell r="A28"/>
          <cell r="C28" t="str">
            <v>Alloc Cost</v>
          </cell>
          <cell r="D28">
            <v>1539200822.699168</v>
          </cell>
          <cell r="E28">
            <v>1585376847.3801434</v>
          </cell>
          <cell r="F28">
            <v>1.0300000000000002</v>
          </cell>
        </row>
        <row r="29">
          <cell r="A29"/>
          <cell r="C29" t="str">
            <v>Misc Revenue</v>
          </cell>
          <cell r="D29">
            <v>45518109.401036493</v>
          </cell>
          <cell r="E29">
            <v>44764811.062314302</v>
          </cell>
          <cell r="F29">
            <v>0.98345057937083302</v>
          </cell>
        </row>
        <row r="30">
          <cell r="A30"/>
          <cell r="C30" t="str">
            <v>** 2020: Revenue with 2020 rates and 2021 charge determinants</v>
          </cell>
          <cell r="D30"/>
          <cell r="E30"/>
          <cell r="F30"/>
        </row>
        <row r="31">
          <cell r="A31"/>
          <cell r="C31" t="str">
            <v xml:space="preserve">    2021: 2021 Revenue before rate design adjustments </v>
          </cell>
          <cell r="D31"/>
          <cell r="E31"/>
          <cell r="F31"/>
        </row>
        <row r="32">
          <cell r="A32"/>
        </row>
        <row r="33">
          <cell r="A33"/>
          <cell r="C33"/>
          <cell r="D33"/>
          <cell r="E33" t="str">
            <v>% change</v>
          </cell>
          <cell r="F33"/>
        </row>
        <row r="34">
          <cell r="A34"/>
          <cell r="C34" t="str">
            <v>Rev 2020</v>
          </cell>
          <cell r="D34">
            <v>1539200822.6991677</v>
          </cell>
          <cell r="E34">
            <v>1.03</v>
          </cell>
          <cell r="F34">
            <v>1.026673178093408</v>
          </cell>
        </row>
        <row r="35">
          <cell r="A35"/>
          <cell r="C35" t="str">
            <v>Alloc Cost 2020</v>
          </cell>
          <cell r="D35">
            <v>1539200822.6991682</v>
          </cell>
          <cell r="E35">
            <v>1.03</v>
          </cell>
          <cell r="F35"/>
        </row>
        <row r="36">
          <cell r="A36"/>
          <cell r="C36" t="str">
            <v>Misc Rev 2020</v>
          </cell>
          <cell r="D36">
            <v>45518109.401036493</v>
          </cell>
          <cell r="E36">
            <v>0.98345057937083302</v>
          </cell>
          <cell r="F36"/>
        </row>
        <row r="37">
          <cell r="A37"/>
        </row>
        <row r="38">
          <cell r="A38"/>
        </row>
      </sheetData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 Rider Allocators 2021"/>
      <sheetName val="1595 Allocator"/>
      <sheetName val="GA and CBRB Allocator"/>
      <sheetName val="Version v39"/>
    </sheetNames>
    <sheetDataSet>
      <sheetData sheetId="0"/>
      <sheetData sheetId="1">
        <row r="23">
          <cell r="B23" t="str">
            <v>UR</v>
          </cell>
          <cell r="C23" t="str">
            <v>kWh</v>
          </cell>
          <cell r="D23">
            <v>3821004.2897590632</v>
          </cell>
          <cell r="E23">
            <v>-802310.51273868792</v>
          </cell>
          <cell r="F23">
            <v>3018693.7770203752</v>
          </cell>
          <cell r="G23">
            <v>9.0697907173184586E-2</v>
          </cell>
        </row>
        <row r="24">
          <cell r="B24" t="str">
            <v>R1</v>
          </cell>
          <cell r="C24" t="str">
            <v>kWh</v>
          </cell>
          <cell r="D24">
            <v>11305720.151930287</v>
          </cell>
          <cell r="E24">
            <v>-1643179.0563832021</v>
          </cell>
          <cell r="F24">
            <v>9662541.0955470856</v>
          </cell>
          <cell r="G24">
            <v>0.29031505680117076</v>
          </cell>
        </row>
        <row r="25">
          <cell r="B25" t="str">
            <v>R2</v>
          </cell>
          <cell r="C25" t="str">
            <v>kWh</v>
          </cell>
          <cell r="D25">
            <v>15989530.219940076</v>
          </cell>
          <cell r="E25">
            <v>-1554999.8795574489</v>
          </cell>
          <cell r="F25">
            <v>14434530.340382626</v>
          </cell>
          <cell r="G25">
            <v>0.43369145385550761</v>
          </cell>
        </row>
        <row r="26">
          <cell r="B26" t="str">
            <v>Seasonal</v>
          </cell>
          <cell r="C26" t="str">
            <v>kWh</v>
          </cell>
          <cell r="D26">
            <v>5400839.1153572751</v>
          </cell>
          <cell r="E26">
            <v>-49820.645720107175</v>
          </cell>
          <cell r="F26">
            <v>5351018.4696371676</v>
          </cell>
          <cell r="G26">
            <v>0.16077357038851189</v>
          </cell>
        </row>
        <row r="27">
          <cell r="B27" t="str">
            <v>UGe</v>
          </cell>
          <cell r="C27" t="str">
            <v>kWh</v>
          </cell>
          <cell r="D27">
            <v>129471.50670975132</v>
          </cell>
          <cell r="E27">
            <v>-410120.79439617915</v>
          </cell>
          <cell r="F27">
            <v>-280649.28768642782</v>
          </cell>
          <cell r="G27">
            <v>-8.4322243072726885E-3</v>
          </cell>
        </row>
        <row r="28">
          <cell r="B28" t="str">
            <v>GSe</v>
          </cell>
          <cell r="C28" t="str">
            <v>kWh</v>
          </cell>
          <cell r="D28">
            <v>3978984.412813161</v>
          </cell>
          <cell r="E28">
            <v>-1338953.7985334066</v>
          </cell>
          <cell r="F28">
            <v>2640030.6142797545</v>
          </cell>
          <cell r="G28">
            <v>7.9320815317894533E-2</v>
          </cell>
        </row>
        <row r="29">
          <cell r="B29" t="str">
            <v>UGd</v>
          </cell>
          <cell r="C29" t="str">
            <v>KW</v>
          </cell>
          <cell r="D29">
            <v>-535214.17414331855</v>
          </cell>
          <cell r="E29">
            <v>-2992342.848404781</v>
          </cell>
          <cell r="F29">
            <v>-3527557.0225480995</v>
          </cell>
          <cell r="G29">
            <v>-0.10598691454387407</v>
          </cell>
        </row>
        <row r="30">
          <cell r="B30" t="str">
            <v>GSd</v>
          </cell>
          <cell r="C30" t="str">
            <v>KW</v>
          </cell>
          <cell r="D30">
            <v>1076439.0318499631</v>
          </cell>
          <cell r="E30">
            <v>-6561789.066604156</v>
          </cell>
          <cell r="F30">
            <v>-5485350.0347541925</v>
          </cell>
          <cell r="G30">
            <v>-0.16480961800492114</v>
          </cell>
        </row>
        <row r="31">
          <cell r="B31" t="str">
            <v>Dgen</v>
          </cell>
          <cell r="C31" t="str">
            <v>KW</v>
          </cell>
          <cell r="D31">
            <v>155447.26051140125</v>
          </cell>
          <cell r="E31">
            <v>-68073.244612414011</v>
          </cell>
          <cell r="F31">
            <v>87374.015898987243</v>
          </cell>
          <cell r="G31">
            <v>2.6251885645641E-3</v>
          </cell>
        </row>
        <row r="32">
          <cell r="B32" t="str">
            <v>ST</v>
          </cell>
          <cell r="C32" t="str">
            <v>KW</v>
          </cell>
          <cell r="D32">
            <v>29367133.30350443</v>
          </cell>
          <cell r="E32">
            <v>-7133111.4262211435</v>
          </cell>
          <cell r="F32">
            <v>7091783.353198193</v>
          </cell>
          <cell r="G32">
            <v>0.21307557366603469</v>
          </cell>
        </row>
        <row r="33">
          <cell r="B33" t="str">
            <v>ST</v>
          </cell>
          <cell r="C33" t="str">
            <v>Non-WMP kW</v>
          </cell>
          <cell r="D33">
            <v>-15137670.429858174</v>
          </cell>
          <cell r="E33">
            <v>-4568.0942269190755</v>
          </cell>
          <cell r="F33"/>
          <cell r="G33">
            <v>0</v>
          </cell>
        </row>
        <row r="34">
          <cell r="B34" t="str">
            <v>USL</v>
          </cell>
          <cell r="C34" t="str">
            <v>kWh</v>
          </cell>
          <cell r="D34">
            <v>107186.62053951145</v>
          </cell>
          <cell r="E34">
            <v>-180621.80232900754</v>
          </cell>
          <cell r="F34">
            <v>-73435.181789496084</v>
          </cell>
          <cell r="G34">
            <v>-2.2063905096607272E-3</v>
          </cell>
        </row>
        <row r="35">
          <cell r="B35" t="str">
            <v>St Lgt</v>
          </cell>
          <cell r="C35" t="str">
            <v>kWh</v>
          </cell>
          <cell r="D35">
            <v>261788.45308576038</v>
          </cell>
          <cell r="E35">
            <v>-10237.790582310587</v>
          </cell>
          <cell r="F35">
            <v>251550.6625034498</v>
          </cell>
          <cell r="G35">
            <v>7.5579440388321905E-3</v>
          </cell>
        </row>
        <row r="36">
          <cell r="B36" t="str">
            <v>Sen Lgt</v>
          </cell>
          <cell r="C36" t="str">
            <v>kWh</v>
          </cell>
          <cell r="D36">
            <v>112417.73709307121</v>
          </cell>
          <cell r="E36">
            <v>0</v>
          </cell>
          <cell r="F36">
            <v>112417.73709307121</v>
          </cell>
          <cell r="G36">
            <v>3.3776375600280116E-3</v>
          </cell>
        </row>
      </sheetData>
      <sheetData sheetId="2">
        <row r="5">
          <cell r="B5" t="str">
            <v>Rate Class</v>
          </cell>
          <cell r="C5" t="str">
            <v>ALL (2015)</v>
          </cell>
          <cell r="D5" t="str">
            <v>GA (2015)</v>
          </cell>
          <cell r="E5" t="str">
            <v>% GA kWh (2015)</v>
          </cell>
          <cell r="F5" t="str">
            <v>% of GA kWh (provided before)</v>
          </cell>
          <cell r="G5" t="str">
            <v>Forecast Non Uplifted kWh (2021)</v>
          </cell>
          <cell r="H5" t="str">
            <v>GA kWh</v>
          </cell>
          <cell r="I5" t="str">
            <v>Loss Factor</v>
          </cell>
          <cell r="J5" t="str">
            <v>Uplifted GA kWh (Input to VA Rider file)</v>
          </cell>
        </row>
        <row r="6">
          <cell r="B6" t="str">
            <v>Dgen</v>
          </cell>
          <cell r="C6">
            <v>33630170</v>
          </cell>
          <cell r="D6">
            <v>33630170</v>
          </cell>
          <cell r="E6">
            <v>1</v>
          </cell>
          <cell r="F6">
            <v>0.97</v>
          </cell>
          <cell r="G6">
            <v>29635586.620933183</v>
          </cell>
          <cell r="H6">
            <v>29635586.620933183</v>
          </cell>
          <cell r="I6">
            <v>1.0609999999999999</v>
          </cell>
          <cell r="J6">
            <v>31443357.404810105</v>
          </cell>
        </row>
        <row r="7">
          <cell r="B7" t="str">
            <v>GSd</v>
          </cell>
          <cell r="C7">
            <v>2462661544</v>
          </cell>
          <cell r="D7">
            <v>1969694156</v>
          </cell>
          <cell r="E7">
            <v>0.79982332968123049</v>
          </cell>
          <cell r="F7">
            <v>0.87</v>
          </cell>
          <cell r="G7">
            <v>2392395090.2156491</v>
          </cell>
          <cell r="H7">
            <v>1913493406.9693084</v>
          </cell>
          <cell r="I7">
            <v>1.0609999999999999</v>
          </cell>
          <cell r="J7">
            <v>2030216504.794436</v>
          </cell>
        </row>
        <row r="8">
          <cell r="B8" t="str">
            <v>GSe</v>
          </cell>
          <cell r="C8">
            <v>2206751375</v>
          </cell>
          <cell r="D8">
            <v>422201256</v>
          </cell>
          <cell r="E8">
            <v>0.19132252993384902</v>
          </cell>
          <cell r="F8">
            <v>0.19</v>
          </cell>
          <cell r="G8">
            <v>2096098357.1619508</v>
          </cell>
          <cell r="H8">
            <v>401030840.68240911</v>
          </cell>
          <cell r="I8">
            <v>1.0960000000000001</v>
          </cell>
          <cell r="J8">
            <v>439529801.38792044</v>
          </cell>
        </row>
        <row r="9">
          <cell r="B9" t="str">
            <v>R1</v>
          </cell>
          <cell r="C9">
            <v>4706865899</v>
          </cell>
          <cell r="D9">
            <v>236445364</v>
          </cell>
          <cell r="E9">
            <v>5.0234140736882718E-2</v>
          </cell>
          <cell r="F9">
            <v>0.1</v>
          </cell>
          <cell r="G9">
            <v>4588968776.41924</v>
          </cell>
          <cell r="H9">
            <v>230522903.35180458</v>
          </cell>
          <cell r="I9">
            <v>1.0760000000000001</v>
          </cell>
          <cell r="J9">
            <v>248042644.00654176</v>
          </cell>
        </row>
        <row r="10">
          <cell r="B10" t="str">
            <v>R2</v>
          </cell>
          <cell r="C10">
            <v>4680570484</v>
          </cell>
          <cell r="D10">
            <v>295458269</v>
          </cell>
          <cell r="E10">
            <v>6.3124414002521834E-2</v>
          </cell>
          <cell r="F10">
            <v>0.1</v>
          </cell>
          <cell r="G10">
            <v>4181173637.9573803</v>
          </cell>
          <cell r="H10">
            <v>263934135.73885202</v>
          </cell>
          <cell r="I10">
            <v>1.105</v>
          </cell>
          <cell r="J10">
            <v>291647219.99143147</v>
          </cell>
        </row>
        <row r="11">
          <cell r="B11" t="str">
            <v>Sen Lgt</v>
          </cell>
          <cell r="C11">
            <v>16521610</v>
          </cell>
          <cell r="D11">
            <v>1484716</v>
          </cell>
          <cell r="E11">
            <v>8.9865091840323069E-2</v>
          </cell>
          <cell r="F11">
            <v>0.15</v>
          </cell>
          <cell r="G11">
            <v>13161718.207125986</v>
          </cell>
          <cell r="H11">
            <v>1182779.015459829</v>
          </cell>
          <cell r="I11">
            <v>1.0920000000000001</v>
          </cell>
          <cell r="J11">
            <v>1291594.6848821333</v>
          </cell>
        </row>
        <row r="12">
          <cell r="B12" t="str">
            <v>ST</v>
          </cell>
          <cell r="C12">
            <v>17252784847</v>
          </cell>
          <cell r="D12">
            <v>2554340</v>
          </cell>
          <cell r="E12">
            <v>1.4805377929721076E-4</v>
          </cell>
          <cell r="F12">
            <v>0.14000000000000001</v>
          </cell>
          <cell r="G12">
            <v>15108042401.336531</v>
          </cell>
          <cell r="H12">
            <v>2115125936.1871145</v>
          </cell>
          <cell r="I12">
            <v>1.034</v>
          </cell>
          <cell r="J12">
            <v>2187040218.0174766</v>
          </cell>
        </row>
        <row r="13">
          <cell r="B13" t="str">
            <v>St Lgt</v>
          </cell>
          <cell r="C13">
            <v>113862125</v>
          </cell>
          <cell r="D13">
            <v>57304417</v>
          </cell>
          <cell r="E13">
            <v>0.50327900520036839</v>
          </cell>
          <cell r="F13">
            <v>0.46</v>
          </cell>
          <cell r="G13">
            <v>99780342.052679271</v>
          </cell>
          <cell r="H13">
            <v>50217351.286824904</v>
          </cell>
          <cell r="I13">
            <v>1.0920000000000001</v>
          </cell>
          <cell r="J13">
            <v>54837347.6052128</v>
          </cell>
        </row>
        <row r="14">
          <cell r="B14" t="str">
            <v>Seasonal</v>
          </cell>
          <cell r="C14">
            <v>637956955</v>
          </cell>
          <cell r="D14">
            <v>7835180</v>
          </cell>
          <cell r="E14">
            <v>1.2281675023042895E-2</v>
          </cell>
          <cell r="F14">
            <v>0.02</v>
          </cell>
          <cell r="G14">
            <v>555477637.40921152</v>
          </cell>
          <cell r="H14">
            <v>6822195.8252275903</v>
          </cell>
          <cell r="I14">
            <v>1.1040000000000001</v>
          </cell>
          <cell r="J14">
            <v>7531704.1910512606</v>
          </cell>
        </row>
        <row r="15">
          <cell r="B15" t="str">
            <v>UGd</v>
          </cell>
          <cell r="C15">
            <v>1050498327</v>
          </cell>
          <cell r="D15">
            <v>520590367</v>
          </cell>
          <cell r="E15">
            <v>0.49556515571680676</v>
          </cell>
          <cell r="F15">
            <v>0.91</v>
          </cell>
          <cell r="G15">
            <v>1014221954.2406397</v>
          </cell>
          <cell r="H15">
            <v>502613060.68466669</v>
          </cell>
          <cell r="I15">
            <v>1.05</v>
          </cell>
          <cell r="J15">
            <v>527743713.71890002</v>
          </cell>
        </row>
        <row r="16">
          <cell r="B16" t="str">
            <v>UGe</v>
          </cell>
          <cell r="C16">
            <v>581817074</v>
          </cell>
          <cell r="D16">
            <v>123224095</v>
          </cell>
          <cell r="E16">
            <v>0.21179181654610568</v>
          </cell>
          <cell r="F16">
            <v>0.22</v>
          </cell>
          <cell r="G16">
            <v>588972120.04674149</v>
          </cell>
          <cell r="H16">
            <v>124739475.1997104</v>
          </cell>
          <cell r="I16">
            <v>1.0669999999999999</v>
          </cell>
          <cell r="J16">
            <v>133097020.03809099</v>
          </cell>
        </row>
        <row r="17">
          <cell r="B17" t="str">
            <v>UR</v>
          </cell>
          <cell r="C17">
            <v>1853901003</v>
          </cell>
          <cell r="D17">
            <v>126307628</v>
          </cell>
          <cell r="E17">
            <v>6.8130729632061154E-2</v>
          </cell>
          <cell r="F17">
            <v>0.13</v>
          </cell>
          <cell r="G17">
            <v>1919930037.8522115</v>
          </cell>
          <cell r="H17">
            <v>130806234.32138196</v>
          </cell>
          <cell r="I17">
            <v>1.0569999999999999</v>
          </cell>
          <cell r="J17">
            <v>138262189.67770073</v>
          </cell>
        </row>
        <row r="18">
          <cell r="B18" t="str">
            <v>USL</v>
          </cell>
          <cell r="C18">
            <v>28976975</v>
          </cell>
          <cell r="D18">
            <v>1739659</v>
          </cell>
          <cell r="E18">
            <v>6.0035907819915642E-2</v>
          </cell>
          <cell r="F18">
            <v>0.06</v>
          </cell>
          <cell r="G18">
            <v>29820725.929010678</v>
          </cell>
          <cell r="H18">
            <v>1790314.3529970534</v>
          </cell>
          <cell r="I18">
            <v>1.0920000000000001</v>
          </cell>
          <cell r="J18">
            <v>1955023.2734727825</v>
          </cell>
        </row>
      </sheetData>
      <sheetData sheetId="3">
        <row r="15">
          <cell r="B15" t="str">
            <v>2018 kWh</v>
          </cell>
          <cell r="C15" t="str">
            <v>2018 kWh Non WMP</v>
          </cell>
          <cell r="D15" t="str">
            <v>% Non WMP</v>
          </cell>
        </row>
        <row r="16">
          <cell r="A16" t="str">
            <v>UR</v>
          </cell>
          <cell r="B16">
            <v>1909812707.0369627</v>
          </cell>
          <cell r="C16">
            <v>1909812707.0369627</v>
          </cell>
          <cell r="D16">
            <v>1</v>
          </cell>
        </row>
        <row r="17">
          <cell r="A17" t="str">
            <v>R1</v>
          </cell>
          <cell r="B17">
            <v>4591766175.9796915</v>
          </cell>
          <cell r="C17">
            <v>4591766175.9796915</v>
          </cell>
          <cell r="D17">
            <v>1</v>
          </cell>
        </row>
        <row r="18">
          <cell r="A18" t="str">
            <v>R2</v>
          </cell>
          <cell r="B18">
            <v>4330539160.0411453</v>
          </cell>
          <cell r="C18">
            <v>4330539160.0411453</v>
          </cell>
          <cell r="D18">
            <v>1</v>
          </cell>
        </row>
        <row r="19">
          <cell r="A19" t="str">
            <v>Seasonal</v>
          </cell>
          <cell r="B19">
            <v>585362231.4819473</v>
          </cell>
          <cell r="C19">
            <v>585362231.4819473</v>
          </cell>
          <cell r="D19">
            <v>1</v>
          </cell>
        </row>
        <row r="20">
          <cell r="A20" t="str">
            <v>GSe</v>
          </cell>
          <cell r="B20">
            <v>2207062032.0440636</v>
          </cell>
          <cell r="C20">
            <v>2207062032.0440636</v>
          </cell>
          <cell r="D20">
            <v>1</v>
          </cell>
        </row>
        <row r="21">
          <cell r="A21" t="str">
            <v>GSd</v>
          </cell>
          <cell r="B21">
            <v>2457598719.7756748</v>
          </cell>
          <cell r="C21">
            <v>2457598719.7756748</v>
          </cell>
          <cell r="D21">
            <v>1</v>
          </cell>
        </row>
        <row r="22">
          <cell r="A22" t="str">
            <v>UGe</v>
          </cell>
          <cell r="B22">
            <v>604053832.47983062</v>
          </cell>
          <cell r="C22">
            <v>604053832.47983062</v>
          </cell>
          <cell r="D22">
            <v>1</v>
          </cell>
        </row>
        <row r="23">
          <cell r="A23" t="str">
            <v>UGd</v>
          </cell>
          <cell r="B23">
            <v>1036884037.119944</v>
          </cell>
          <cell r="C23">
            <v>1036884037.119944</v>
          </cell>
          <cell r="D23">
            <v>1</v>
          </cell>
        </row>
        <row r="24">
          <cell r="A24" t="str">
            <v>St Lgt</v>
          </cell>
          <cell r="B24">
            <v>99400638.465122581</v>
          </cell>
          <cell r="C24">
            <v>99400638.465122581</v>
          </cell>
          <cell r="D24">
            <v>1</v>
          </cell>
        </row>
        <row r="25">
          <cell r="A25" t="str">
            <v>Sen Lgt</v>
          </cell>
          <cell r="B25">
            <v>13573825.079806192</v>
          </cell>
          <cell r="C25">
            <v>13573825.079806192</v>
          </cell>
          <cell r="D25">
            <v>1</v>
          </cell>
        </row>
        <row r="26">
          <cell r="A26" t="str">
            <v>USL</v>
          </cell>
          <cell r="B26">
            <v>29489858.866601825</v>
          </cell>
          <cell r="C26">
            <v>29489858.866601825</v>
          </cell>
          <cell r="D26">
            <v>1</v>
          </cell>
        </row>
        <row r="27">
          <cell r="A27" t="str">
            <v>DGen</v>
          </cell>
          <cell r="B27">
            <v>27034065.325344503</v>
          </cell>
          <cell r="C27">
            <v>27034065.325344503</v>
          </cell>
          <cell r="D27">
            <v>1</v>
          </cell>
        </row>
        <row r="28">
          <cell r="A28" t="str">
            <v>ST</v>
          </cell>
          <cell r="B28">
            <v>15158047162.746782</v>
          </cell>
          <cell r="C28">
            <v>5040245220.2906704</v>
          </cell>
          <cell r="D28">
            <v>0.33251283401979664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AM2018_v26_Decision 201903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5">
          <cell r="D15" t="str">
            <v>UR</v>
          </cell>
          <cell r="E15" t="str">
            <v>R1</v>
          </cell>
          <cell r="F15" t="str">
            <v>R2</v>
          </cell>
          <cell r="G15" t="str">
            <v>Seasonal</v>
          </cell>
          <cell r="H15" t="str">
            <v>GSe</v>
          </cell>
          <cell r="I15" t="str">
            <v>GSd</v>
          </cell>
          <cell r="J15" t="str">
            <v>UGe</v>
          </cell>
          <cell r="K15" t="str">
            <v>UGd</v>
          </cell>
          <cell r="L15" t="str">
            <v>St Lgt</v>
          </cell>
          <cell r="M15" t="str">
            <v>Sen Lgt</v>
          </cell>
          <cell r="N15" t="str">
            <v>USL</v>
          </cell>
          <cell r="O15" t="str">
            <v>DGen</v>
          </cell>
          <cell r="P15" t="str">
            <v>ST</v>
          </cell>
        </row>
        <row r="20">
          <cell r="D20">
            <v>6.8464691079923132E-2</v>
          </cell>
          <cell r="E20">
            <v>0.18493351898669874</v>
          </cell>
          <cell r="F20">
            <v>0.18226974153573466</v>
          </cell>
          <cell r="G20">
            <v>2.3554893298438202E-2</v>
          </cell>
          <cell r="H20">
            <v>6.3554099960917848E-2</v>
          </cell>
          <cell r="I20">
            <v>5.2727188847956352E-2</v>
          </cell>
          <cell r="J20">
            <v>1.6959938423766023E-2</v>
          </cell>
          <cell r="K20">
            <v>2.0880809432577602E-2</v>
          </cell>
          <cell r="L20">
            <v>3.5562910753580237E-3</v>
          </cell>
          <cell r="M20">
            <v>5.0358801300673308E-4</v>
          </cell>
          <cell r="N20">
            <v>6.0974598936282959E-4</v>
          </cell>
          <cell r="O20">
            <v>1.2617091523157719E-3</v>
          </cell>
          <cell r="P20">
            <v>0.38072378420394432</v>
          </cell>
        </row>
        <row r="21">
          <cell r="D21">
            <v>6.7368218877398078E-2</v>
          </cell>
          <cell r="E21">
            <v>0.1820785756402396</v>
          </cell>
          <cell r="F21">
            <v>0.17960959624309863</v>
          </cell>
          <cell r="G21">
            <v>2.321045272754543E-2</v>
          </cell>
          <cell r="H21">
            <v>6.2610230313904502E-2</v>
          </cell>
          <cell r="I21">
            <v>5.1889255944112499E-2</v>
          </cell>
          <cell r="J21">
            <v>1.6693520672203303E-2</v>
          </cell>
          <cell r="K21">
            <v>2.0541847689248171E-2</v>
          </cell>
          <cell r="L21">
            <v>1.9305549291578728E-2</v>
          </cell>
          <cell r="M21">
            <v>4.9605082851972748E-4</v>
          </cell>
          <cell r="N21">
            <v>6.0061994209137078E-4</v>
          </cell>
          <cell r="O21">
            <v>1.2406947252387452E-3</v>
          </cell>
          <cell r="P21">
            <v>0.37435538710482119</v>
          </cell>
        </row>
        <row r="22">
          <cell r="D22">
            <v>6.7383682023188951E-2</v>
          </cell>
          <cell r="E22">
            <v>0.1820135494992885</v>
          </cell>
          <cell r="F22">
            <v>0.17939183121056113</v>
          </cell>
          <cell r="G22">
            <v>2.3182978190309046E-2</v>
          </cell>
          <cell r="H22">
            <v>6.2550625665384399E-2</v>
          </cell>
          <cell r="I22">
            <v>5.1894663822549661E-2</v>
          </cell>
          <cell r="J22">
            <v>1.6692152989426699E-2</v>
          </cell>
          <cell r="K22">
            <v>2.0551116217688098E-2</v>
          </cell>
          <cell r="L22">
            <v>1.9289432595209276E-2</v>
          </cell>
          <cell r="M22">
            <v>4.9563671439811817E-4</v>
          </cell>
          <cell r="N22">
            <v>6.0011853137811302E-4</v>
          </cell>
          <cell r="O22">
            <v>1.2417876570296022E-3</v>
          </cell>
          <cell r="P22">
            <v>0.37471242488358858</v>
          </cell>
        </row>
        <row r="25">
          <cell r="D25">
            <v>7.2972355629712757E-2</v>
          </cell>
          <cell r="E25">
            <v>0.17757404901962218</v>
          </cell>
          <cell r="F25">
            <v>0.16605093742621679</v>
          </cell>
          <cell r="G25">
            <v>1.9966229252617779E-2</v>
          </cell>
          <cell r="H25">
            <v>6.3054364400457932E-2</v>
          </cell>
          <cell r="I25">
            <v>5.7417395246175257E-2</v>
          </cell>
          <cell r="J25">
            <v>1.6929043917057133E-2</v>
          </cell>
          <cell r="K25">
            <v>2.4514644590035436E-2</v>
          </cell>
          <cell r="L25">
            <v>1.9455738605200646E-3</v>
          </cell>
          <cell r="M25">
            <v>2.8111403681537118E-4</v>
          </cell>
          <cell r="N25">
            <v>6.3503375712952923E-4</v>
          </cell>
          <cell r="O25">
            <v>7.9563085558965498E-4</v>
          </cell>
          <cell r="P25">
            <v>0.39786362800804997</v>
          </cell>
        </row>
        <row r="26">
          <cell r="D26">
            <v>7.2960063973184552E-2</v>
          </cell>
          <cell r="E26">
            <v>0.17764833395413931</v>
          </cell>
          <cell r="F26">
            <v>0.16626265764273024</v>
          </cell>
          <cell r="G26">
            <v>1.9991111958522097E-2</v>
          </cell>
          <cell r="H26">
            <v>6.3118302228537163E-2</v>
          </cell>
          <cell r="I26">
            <v>5.7414916843409651E-2</v>
          </cell>
          <cell r="J26">
            <v>1.6931464620119113E-2</v>
          </cell>
          <cell r="K26">
            <v>2.450508447027392E-2</v>
          </cell>
          <cell r="L26">
            <v>1.9473183027531439E-3</v>
          </cell>
          <cell r="M26">
            <v>2.813660895428894E-4</v>
          </cell>
          <cell r="N26">
            <v>6.3560314168379739E-4</v>
          </cell>
          <cell r="O26">
            <v>7.9497912965820466E-4</v>
          </cell>
          <cell r="P26">
            <v>0.39750879764544611</v>
          </cell>
        </row>
        <row r="27">
          <cell r="D27">
            <v>7.2972355629712757E-2</v>
          </cell>
          <cell r="E27">
            <v>0.17757404901962218</v>
          </cell>
          <cell r="F27">
            <v>0.16605093742621679</v>
          </cell>
          <cell r="G27">
            <v>1.9966229252617779E-2</v>
          </cell>
          <cell r="H27">
            <v>6.3054364400457932E-2</v>
          </cell>
          <cell r="I27">
            <v>5.7417395246175257E-2</v>
          </cell>
          <cell r="J27">
            <v>1.6929043917057133E-2</v>
          </cell>
          <cell r="K27">
            <v>2.4514644590035436E-2</v>
          </cell>
          <cell r="L27">
            <v>1.9455738605200646E-3</v>
          </cell>
          <cell r="M27">
            <v>2.8111403681537118E-4</v>
          </cell>
          <cell r="N27">
            <v>6.3503375712952923E-4</v>
          </cell>
          <cell r="O27">
            <v>7.9563085558965498E-4</v>
          </cell>
          <cell r="P27">
            <v>0.39786362800804997</v>
          </cell>
        </row>
        <row r="30">
          <cell r="D30">
            <v>7.1302297319088367E-2</v>
          </cell>
          <cell r="E30">
            <v>0.16764367274693145</v>
          </cell>
          <cell r="F30">
            <v>0.15627629365389745</v>
          </cell>
          <cell r="G30">
            <v>1.8802881610479837E-2</v>
          </cell>
          <cell r="H30">
            <v>6.4031965375707156E-2</v>
          </cell>
          <cell r="I30">
            <v>6.1652874054323861E-2</v>
          </cell>
          <cell r="J30">
            <v>1.7092446597911076E-2</v>
          </cell>
          <cell r="K30">
            <v>2.6618144498536292E-2</v>
          </cell>
          <cell r="L30">
            <v>1.8611291680557579E-3</v>
          </cell>
          <cell r="M30">
            <v>2.60500933467366E-4</v>
          </cell>
          <cell r="N30">
            <v>7.0368811259345556E-4</v>
          </cell>
          <cell r="O30">
            <v>7.3566521137441887E-4</v>
          </cell>
          <cell r="P30">
            <v>0.41301844071763349</v>
          </cell>
        </row>
        <row r="31">
          <cell r="D31">
            <v>7.1292516525798655E-2</v>
          </cell>
          <cell r="E31">
            <v>0.16771904861844306</v>
          </cell>
          <cell r="F31">
            <v>0.15648044455345775</v>
          </cell>
          <cell r="G31">
            <v>1.8826903286371603E-2</v>
          </cell>
          <cell r="H31">
            <v>6.4098899087916605E-2</v>
          </cell>
          <cell r="I31">
            <v>6.1652140896103297E-2</v>
          </cell>
          <cell r="J31">
            <v>1.7095425296936525E-2</v>
          </cell>
          <cell r="K31">
            <v>2.6608596203912805E-2</v>
          </cell>
          <cell r="L31">
            <v>1.8628561531207532E-3</v>
          </cell>
          <cell r="M31">
            <v>2.6074265834559435E-4</v>
          </cell>
          <cell r="N31">
            <v>7.0434108116851325E-4</v>
          </cell>
          <cell r="O31">
            <v>7.3508559373591418E-4</v>
          </cell>
          <cell r="P31">
            <v>0.41266300004468881</v>
          </cell>
        </row>
        <row r="32">
          <cell r="D32">
            <v>7.1302297319088367E-2</v>
          </cell>
          <cell r="E32">
            <v>0.16764367274693145</v>
          </cell>
          <cell r="F32">
            <v>0.15627629365389745</v>
          </cell>
          <cell r="G32">
            <v>1.8802881610479837E-2</v>
          </cell>
          <cell r="H32">
            <v>6.4031965375707156E-2</v>
          </cell>
          <cell r="I32">
            <v>6.1652874054323861E-2</v>
          </cell>
          <cell r="J32">
            <v>1.7092446597911076E-2</v>
          </cell>
          <cell r="K32">
            <v>2.6618144498536292E-2</v>
          </cell>
          <cell r="L32">
            <v>1.8611291680557579E-3</v>
          </cell>
          <cell r="M32">
            <v>2.60500933467366E-4</v>
          </cell>
          <cell r="N32">
            <v>7.0368811259345556E-4</v>
          </cell>
          <cell r="O32">
            <v>7.3566521137441887E-4</v>
          </cell>
          <cell r="P32">
            <v>0.41301844071763349</v>
          </cell>
        </row>
        <row r="36">
          <cell r="D36">
            <v>4.6236852950735555E-2</v>
          </cell>
          <cell r="E36">
            <v>0.11735162732576929</v>
          </cell>
          <cell r="F36">
            <v>0.13878514654785781</v>
          </cell>
          <cell r="G36">
            <v>0</v>
          </cell>
          <cell r="H36">
            <v>6.6720948264922489E-2</v>
          </cell>
          <cell r="I36">
            <v>8.6740632103100568E-2</v>
          </cell>
          <cell r="J36">
            <v>2.0283811820638965E-2</v>
          </cell>
          <cell r="K36">
            <v>3.6676360986735594E-2</v>
          </cell>
          <cell r="L36">
            <v>3.9012181336904464E-3</v>
          </cell>
          <cell r="M36">
            <v>0</v>
          </cell>
          <cell r="N36">
            <v>0</v>
          </cell>
          <cell r="O36">
            <v>1.5513866660565362E-3</v>
          </cell>
          <cell r="P36">
            <v>0.48175201520049271</v>
          </cell>
        </row>
        <row r="37">
          <cell r="D37">
            <v>8.594644133761635E-2</v>
          </cell>
          <cell r="E37">
            <v>0.21710232785893421</v>
          </cell>
          <cell r="F37">
            <v>0.25670339456803831</v>
          </cell>
          <cell r="G37">
            <v>0</v>
          </cell>
          <cell r="H37">
            <v>0.12594136364838621</v>
          </cell>
          <cell r="I37">
            <v>0.16656892969691531</v>
          </cell>
          <cell r="J37">
            <v>3.906670904331426E-2</v>
          </cell>
          <cell r="K37">
            <v>7.1188926726511628E-2</v>
          </cell>
          <cell r="L37">
            <v>9.0177650112696073E-3</v>
          </cell>
          <cell r="M37">
            <v>0</v>
          </cell>
          <cell r="N37">
            <v>0</v>
          </cell>
          <cell r="O37">
            <v>0</v>
          </cell>
          <cell r="P37">
            <v>2.8464142109014125E-2</v>
          </cell>
        </row>
        <row r="38">
          <cell r="D38">
            <v>0</v>
          </cell>
          <cell r="E38">
            <v>0</v>
          </cell>
          <cell r="F38">
            <v>7.4313799887415183E-2</v>
          </cell>
          <cell r="G38">
            <v>0</v>
          </cell>
          <cell r="H38">
            <v>0.1965630383758396</v>
          </cell>
          <cell r="I38">
            <v>0.45763014147889725</v>
          </cell>
          <cell r="J38">
            <v>8.122653454905629E-2</v>
          </cell>
          <cell r="K38">
            <v>0.19026648570879173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0.11965081736256079</v>
          </cell>
          <cell r="E39">
            <v>0.29760907025171268</v>
          </cell>
          <cell r="F39">
            <v>0.34612551221331067</v>
          </cell>
          <cell r="G39">
            <v>0</v>
          </cell>
          <cell r="H39">
            <v>0.17263492656279472</v>
          </cell>
          <cell r="I39">
            <v>0</v>
          </cell>
          <cell r="J39">
            <v>5.4744009198560671E-2</v>
          </cell>
          <cell r="K39">
            <v>0</v>
          </cell>
          <cell r="L39">
            <v>9.2356644110603552E-3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2">
          <cell r="D42">
            <v>4.1273321168226448E-2</v>
          </cell>
          <cell r="E42">
            <v>0.11156721541464718</v>
          </cell>
          <cell r="F42">
            <v>0.13394218130530286</v>
          </cell>
          <cell r="G42">
            <v>0</v>
          </cell>
          <cell r="H42">
            <v>6.8898106965002273E-2</v>
          </cell>
          <cell r="I42">
            <v>9.0707042812527713E-2</v>
          </cell>
          <cell r="J42">
            <v>2.1223275623130599E-2</v>
          </cell>
          <cell r="K42">
            <v>3.7434657829951389E-2</v>
          </cell>
          <cell r="L42">
            <v>3.1270263755821199E-3</v>
          </cell>
          <cell r="M42">
            <v>0</v>
          </cell>
          <cell r="N42">
            <v>0</v>
          </cell>
          <cell r="O42">
            <v>1.5909239544509184E-3</v>
          </cell>
          <cell r="P42">
            <v>0.4902362485511787</v>
          </cell>
        </row>
        <row r="43">
          <cell r="D43">
            <v>7.7313118838584674E-2</v>
          </cell>
          <cell r="E43">
            <v>0.20888277388898127</v>
          </cell>
          <cell r="F43">
            <v>0.2512543494467897</v>
          </cell>
          <cell r="G43">
            <v>0</v>
          </cell>
          <cell r="H43">
            <v>0.13232615531657815</v>
          </cell>
          <cell r="I43">
            <v>0.17735859483714192</v>
          </cell>
          <cell r="J43">
            <v>4.161097601581866E-2</v>
          </cell>
          <cell r="K43">
            <v>7.3983952754052965E-2</v>
          </cell>
          <cell r="L43">
            <v>7.7777569182665785E-3</v>
          </cell>
          <cell r="M43">
            <v>0</v>
          </cell>
          <cell r="N43">
            <v>0</v>
          </cell>
          <cell r="O43">
            <v>0</v>
          </cell>
          <cell r="P43">
            <v>2.9492321983786127E-2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0.20485039135204744</v>
          </cell>
          <cell r="I44">
            <v>0.50292979118740067</v>
          </cell>
          <cell r="J44">
            <v>8.8212616260852014E-2</v>
          </cell>
          <cell r="K44">
            <v>0.20400720119969987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0.10974669025930688</v>
          </cell>
          <cell r="E45">
            <v>0.29208376952036702</v>
          </cell>
          <cell r="F45">
            <v>0.34566259132708271</v>
          </cell>
          <cell r="G45">
            <v>0</v>
          </cell>
          <cell r="H45">
            <v>0.18548618413576048</v>
          </cell>
          <cell r="I45">
            <v>0</v>
          </cell>
          <cell r="J45">
            <v>5.9647059697959748E-2</v>
          </cell>
          <cell r="K45">
            <v>0</v>
          </cell>
          <cell r="L45">
            <v>7.3737050595231689E-3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8">
          <cell r="D48">
            <v>3.2301413854503906E-2</v>
          </cell>
          <cell r="E48">
            <v>9.3279103443855843E-2</v>
          </cell>
          <cell r="F48">
            <v>0.11162085219346887</v>
          </cell>
          <cell r="G48">
            <v>0</v>
          </cell>
          <cell r="H48">
            <v>6.8785781674942759E-2</v>
          </cell>
          <cell r="I48">
            <v>9.7359549580378887E-2</v>
          </cell>
          <cell r="J48">
            <v>2.2023078963896422E-2</v>
          </cell>
          <cell r="K48">
            <v>4.0693924458885387E-2</v>
          </cell>
          <cell r="L48">
            <v>1.3953390423334078E-3</v>
          </cell>
          <cell r="M48">
            <v>0</v>
          </cell>
          <cell r="N48">
            <v>0</v>
          </cell>
          <cell r="O48">
            <v>1.5404297207747897E-3</v>
          </cell>
          <cell r="P48">
            <v>0.53100052706695966</v>
          </cell>
        </row>
        <row r="49">
          <cell r="D49">
            <v>6.398148186456605E-2</v>
          </cell>
          <cell r="E49">
            <v>0.18636034585318276</v>
          </cell>
          <cell r="F49">
            <v>0.22457316767058708</v>
          </cell>
          <cell r="G49">
            <v>0</v>
          </cell>
          <cell r="H49">
            <v>0.14344306271771942</v>
          </cell>
          <cell r="I49">
            <v>0.20727883139446662</v>
          </cell>
          <cell r="J49">
            <v>4.6967679382278062E-2</v>
          </cell>
          <cell r="K49">
            <v>8.7573065874388498E-2</v>
          </cell>
          <cell r="L49">
            <v>5.0394564819726609E-3</v>
          </cell>
          <cell r="M49">
            <v>0</v>
          </cell>
          <cell r="N49">
            <v>0</v>
          </cell>
          <cell r="O49">
            <v>0</v>
          </cell>
          <cell r="P49">
            <v>3.478290876083872E-2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0.16778448496741749</v>
          </cell>
          <cell r="I50">
            <v>0.52954236251508091</v>
          </cell>
          <cell r="J50">
            <v>8.4981300281087177E-2</v>
          </cell>
          <cell r="K50">
            <v>0.21769185223641449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9.7308059357591847E-2</v>
          </cell>
          <cell r="E51">
            <v>0.27914027519345741</v>
          </cell>
          <cell r="F51">
            <v>0.33083074440792154</v>
          </cell>
          <cell r="G51">
            <v>0</v>
          </cell>
          <cell r="H51">
            <v>0.21714479774227297</v>
          </cell>
          <cell r="I51">
            <v>0</v>
          </cell>
          <cell r="J51">
            <v>7.2802991781965143E-2</v>
          </cell>
          <cell r="K51">
            <v>0</v>
          </cell>
          <cell r="L51">
            <v>2.7731315167911471E-3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5">
          <cell r="D55">
            <v>2.532970423624745E-2</v>
          </cell>
          <cell r="E55">
            <v>0.12220128998724245</v>
          </cell>
          <cell r="F55">
            <v>0.3357105592548465</v>
          </cell>
          <cell r="G55">
            <v>1.0887682680805852E-2</v>
          </cell>
          <cell r="H55">
            <v>0.15794764024580038</v>
          </cell>
          <cell r="I55">
            <v>0.21841289504520134</v>
          </cell>
          <cell r="J55">
            <v>2.1890934740219081E-2</v>
          </cell>
          <cell r="K55">
            <v>4.1167136665495263E-2</v>
          </cell>
          <cell r="L55">
            <v>4.925446184532392E-3</v>
          </cell>
          <cell r="M55">
            <v>1.2220833408029479E-4</v>
          </cell>
          <cell r="N55">
            <v>3.3011993779640805E-4</v>
          </cell>
          <cell r="O55">
            <v>3.4452968450533674E-4</v>
          </cell>
          <cell r="P55">
            <v>6.0729853003227315E-2</v>
          </cell>
        </row>
        <row r="56">
          <cell r="D56">
            <v>3.2632991801436487E-2</v>
          </cell>
          <cell r="E56">
            <v>0.14583223130606227</v>
          </cell>
          <cell r="F56">
            <v>0.3436209948794251</v>
          </cell>
          <cell r="G56">
            <v>3.1007335476566488E-2</v>
          </cell>
          <cell r="H56">
            <v>9.7540971193143117E-2</v>
          </cell>
          <cell r="I56">
            <v>9.8528178145126391E-2</v>
          </cell>
          <cell r="J56">
            <v>1.0842930926193147E-2</v>
          </cell>
          <cell r="K56">
            <v>1.9331608503908429E-2</v>
          </cell>
          <cell r="L56">
            <v>2.4866100947548999E-3</v>
          </cell>
          <cell r="M56">
            <v>3.480490564390641E-4</v>
          </cell>
          <cell r="N56">
            <v>9.4018082912635697E-4</v>
          </cell>
          <cell r="O56">
            <v>9.8185029901080747E-4</v>
          </cell>
          <cell r="P56">
            <v>0.21590606748880747</v>
          </cell>
        </row>
        <row r="57">
          <cell r="D57">
            <v>3.1695020372870128E-2</v>
          </cell>
          <cell r="E57">
            <v>0.14167169222897275</v>
          </cell>
          <cell r="F57">
            <v>0.33392458808994008</v>
          </cell>
          <cell r="G57">
            <v>3.0132036352135315E-2</v>
          </cell>
          <cell r="H57">
            <v>9.4785931731721812E-2</v>
          </cell>
          <cell r="I57">
            <v>9.5709129917081193E-2</v>
          </cell>
          <cell r="J57">
            <v>1.0533240028153364E-2</v>
          </cell>
          <cell r="K57">
            <v>1.8776061021016872E-2</v>
          </cell>
          <cell r="L57">
            <v>2.4163569146104648E-3</v>
          </cell>
          <cell r="M57">
            <v>3.3821576849710211E-4</v>
          </cell>
          <cell r="N57">
            <v>9.1361828387799581E-4</v>
          </cell>
          <cell r="O57">
            <v>9.5349775358590297E-4</v>
          </cell>
          <cell r="P57">
            <v>0.23815061153753697</v>
          </cell>
        </row>
        <row r="58">
          <cell r="D58">
            <v>2.4732791619226317E-2</v>
          </cell>
          <cell r="E58">
            <v>0.1269627066453469</v>
          </cell>
          <cell r="F58">
            <v>0.3858111468776223</v>
          </cell>
          <cell r="G58">
            <v>0</v>
          </cell>
          <cell r="H58">
            <v>0.15380343831516907</v>
          </cell>
          <cell r="I58">
            <v>0.21130353498008905</v>
          </cell>
          <cell r="J58">
            <v>2.0151946931087766E-2</v>
          </cell>
          <cell r="K58">
            <v>4.0065389872694264E-2</v>
          </cell>
          <cell r="L58">
            <v>7.7785731586157356E-3</v>
          </cell>
          <cell r="M58">
            <v>0</v>
          </cell>
          <cell r="N58">
            <v>0</v>
          </cell>
          <cell r="O58">
            <v>0</v>
          </cell>
          <cell r="P58">
            <v>2.9390471600148658E-2</v>
          </cell>
        </row>
        <row r="59">
          <cell r="D59">
            <v>2.6414177239229234E-2</v>
          </cell>
          <cell r="E59">
            <v>0.13051494224694143</v>
          </cell>
          <cell r="F59">
            <v>0.37328048796019087</v>
          </cell>
          <cell r="G59">
            <v>7.2769187018409329E-3</v>
          </cell>
          <cell r="H59">
            <v>0.1395506479503163</v>
          </cell>
          <cell r="I59">
            <v>0.18338736369312697</v>
          </cell>
          <cell r="J59">
            <v>1.7829019023677034E-2</v>
          </cell>
          <cell r="K59">
            <v>3.4923994400448514E-2</v>
          </cell>
          <cell r="L59">
            <v>6.4835922547926859E-3</v>
          </cell>
          <cell r="M59">
            <v>8.1679466408172394E-5</v>
          </cell>
          <cell r="N59">
            <v>2.2063978347166939E-4</v>
          </cell>
          <cell r="O59">
            <v>2.3027071765565802E-4</v>
          </cell>
          <cell r="P59">
            <v>7.9806266561900652E-2</v>
          </cell>
        </row>
        <row r="60">
          <cell r="D60">
            <v>3.1028412401194954E-2</v>
          </cell>
          <cell r="E60">
            <v>0.14961632188218135</v>
          </cell>
          <cell r="F60">
            <v>0.41090178674227079</v>
          </cell>
          <cell r="G60">
            <v>1.317691879645372E-2</v>
          </cell>
          <cell r="H60">
            <v>0.14763245305272843</v>
          </cell>
          <cell r="I60">
            <v>0.13644107030731933</v>
          </cell>
          <cell r="J60">
            <v>1.8629303635756413E-2</v>
          </cell>
          <cell r="K60">
            <v>2.6145561666705692E-2</v>
          </cell>
          <cell r="L60">
            <v>5.8121491493478136E-3</v>
          </cell>
          <cell r="M60">
            <v>1.4790376810529382E-4</v>
          </cell>
          <cell r="N60">
            <v>3.9953071199459869E-4</v>
          </cell>
          <cell r="O60">
            <v>4.1697024139930453E-4</v>
          </cell>
          <cell r="P60">
            <v>5.9651617644542555E-2</v>
          </cell>
        </row>
        <row r="61">
          <cell r="D61">
            <v>3.1070482862714782E-2</v>
          </cell>
          <cell r="E61">
            <v>0.14740202339973515</v>
          </cell>
          <cell r="F61">
            <v>0.39259820731772427</v>
          </cell>
          <cell r="G61">
            <v>1.7095810265925142E-2</v>
          </cell>
          <cell r="H61">
            <v>0.13496533213758485</v>
          </cell>
          <cell r="I61">
            <v>0.14802057410655317</v>
          </cell>
          <cell r="J61">
            <v>1.6652105935994817E-2</v>
          </cell>
          <cell r="K61">
            <v>2.8422911764096975E-2</v>
          </cell>
          <cell r="L61">
            <v>5.2634197906380542E-3</v>
          </cell>
          <cell r="M61">
            <v>1.9189119977152728E-4</v>
          </cell>
          <cell r="N61">
            <v>5.1835344462378174E-4</v>
          </cell>
          <cell r="O61">
            <v>5.409795904197254E-4</v>
          </cell>
          <cell r="P61">
            <v>7.7257908184217822E-2</v>
          </cell>
        </row>
        <row r="62">
          <cell r="D62">
            <v>3.1044395683081493E-2</v>
          </cell>
          <cell r="E62">
            <v>0.14877507233208589</v>
          </cell>
          <cell r="F62">
            <v>0.40394794647272148</v>
          </cell>
          <cell r="G62">
            <v>1.4665772133842892E-2</v>
          </cell>
          <cell r="H62">
            <v>0.14281999897061337</v>
          </cell>
          <cell r="I62">
            <v>0.14084032020007672</v>
          </cell>
          <cell r="J62">
            <v>1.7878132694458235E-2</v>
          </cell>
          <cell r="K62">
            <v>2.7010765594734327E-2</v>
          </cell>
          <cell r="L62">
            <v>5.6036775590007004E-3</v>
          </cell>
          <cell r="M62">
            <v>1.6461533946409012E-4</v>
          </cell>
          <cell r="N62">
            <v>4.4467348346729834E-4</v>
          </cell>
          <cell r="O62">
            <v>4.6408349640899622E-4</v>
          </cell>
          <cell r="P62">
            <v>6.6340546040044815E-2</v>
          </cell>
        </row>
        <row r="63">
          <cell r="D63">
            <v>2.519542249707658E-2</v>
          </cell>
          <cell r="E63">
            <v>0.12490373959022411</v>
          </cell>
          <cell r="F63">
            <v>0.35919203576347669</v>
          </cell>
          <cell r="G63">
            <v>6.3526115264578792E-3</v>
          </cell>
          <cell r="H63">
            <v>0.13511016509018317</v>
          </cell>
          <cell r="I63">
            <v>0.17834547912248905</v>
          </cell>
          <cell r="J63">
            <v>1.7305062382201416E-2</v>
          </cell>
          <cell r="K63">
            <v>3.3948717332339839E-2</v>
          </cell>
          <cell r="L63">
            <v>6.3319437600125655E-3</v>
          </cell>
          <cell r="M63">
            <v>7.1304619584140484E-5</v>
          </cell>
          <cell r="N63">
            <v>1.9261433157453136E-4</v>
          </cell>
          <cell r="O63">
            <v>2.0102195381336242E-4</v>
          </cell>
          <cell r="P63">
            <v>0.1128498820305667</v>
          </cell>
        </row>
        <row r="64">
          <cell r="D64">
            <v>2.5195422497076587E-2</v>
          </cell>
          <cell r="E64">
            <v>0.12490373959022415</v>
          </cell>
          <cell r="F64">
            <v>0.3591920357634768</v>
          </cell>
          <cell r="G64">
            <v>6.352611526457881E-3</v>
          </cell>
          <cell r="H64">
            <v>0.1351101650901832</v>
          </cell>
          <cell r="I64">
            <v>0.17834547912248908</v>
          </cell>
          <cell r="J64">
            <v>1.7305062382201419E-2</v>
          </cell>
          <cell r="K64">
            <v>3.3948717332339846E-2</v>
          </cell>
          <cell r="L64">
            <v>6.3319437600125664E-3</v>
          </cell>
          <cell r="M64">
            <v>7.1304619584140497E-5</v>
          </cell>
          <cell r="N64">
            <v>1.9261433157453139E-4</v>
          </cell>
          <cell r="O64">
            <v>2.0102195381336245E-4</v>
          </cell>
          <cell r="P64">
            <v>0.11284988203056674</v>
          </cell>
        </row>
        <row r="65">
          <cell r="D65">
            <v>2.519542249707659E-2</v>
          </cell>
          <cell r="E65">
            <v>0.12490373959022416</v>
          </cell>
          <cell r="F65">
            <v>0.35919203576347686</v>
          </cell>
          <cell r="G65">
            <v>6.3526115264578818E-3</v>
          </cell>
          <cell r="H65">
            <v>0.1351101650901832</v>
          </cell>
          <cell r="I65">
            <v>0.17834547912248908</v>
          </cell>
          <cell r="J65">
            <v>1.7305062382201419E-2</v>
          </cell>
          <cell r="K65">
            <v>3.3948717332339846E-2</v>
          </cell>
          <cell r="L65">
            <v>6.3319437600125672E-3</v>
          </cell>
          <cell r="M65">
            <v>7.1304619584140497E-5</v>
          </cell>
          <cell r="N65">
            <v>1.9261433157453142E-4</v>
          </cell>
          <cell r="O65">
            <v>2.0102195381336248E-4</v>
          </cell>
          <cell r="P65">
            <v>0.11284988203056673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0.24847958756598931</v>
          </cell>
          <cell r="I66">
            <v>0.59688324329729314</v>
          </cell>
          <cell r="J66">
            <v>4.4583420046910079E-2</v>
          </cell>
          <cell r="K66">
            <v>0.11005374908980736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 t="str">
            <v>0.00%</v>
          </cell>
          <cell r="E67" t="str">
            <v>0.00%</v>
          </cell>
          <cell r="F67" t="str">
            <v>0.00%</v>
          </cell>
          <cell r="G67" t="str">
            <v>0.00%</v>
          </cell>
          <cell r="H67" t="str">
            <v>0.00%</v>
          </cell>
          <cell r="I67" t="str">
            <v>0.00%</v>
          </cell>
          <cell r="J67" t="str">
            <v>0.00%</v>
          </cell>
          <cell r="K67" t="str">
            <v>0.00%</v>
          </cell>
          <cell r="L67" t="str">
            <v>0.00%</v>
          </cell>
          <cell r="M67" t="str">
            <v>0.00%</v>
          </cell>
          <cell r="N67" t="str">
            <v>0.00%</v>
          </cell>
          <cell r="O67" t="str">
            <v>0.00%</v>
          </cell>
          <cell r="P67" t="str">
            <v>0.00%</v>
          </cell>
        </row>
        <row r="68">
          <cell r="D68" t="str">
            <v>0.00%</v>
          </cell>
          <cell r="E68" t="str">
            <v>0.00%</v>
          </cell>
          <cell r="F68" t="str">
            <v>0.00%</v>
          </cell>
          <cell r="G68" t="str">
            <v>0.00%</v>
          </cell>
          <cell r="H68" t="str">
            <v>0.00%</v>
          </cell>
          <cell r="I68" t="str">
            <v>0.00%</v>
          </cell>
          <cell r="J68" t="str">
            <v>0.00%</v>
          </cell>
          <cell r="K68" t="str">
            <v>0.00%</v>
          </cell>
          <cell r="L68" t="str">
            <v>0.00%</v>
          </cell>
          <cell r="M68" t="str">
            <v>0.00%</v>
          </cell>
          <cell r="N68" t="str">
            <v>0.00%</v>
          </cell>
          <cell r="O68" t="str">
            <v>0.00%</v>
          </cell>
          <cell r="P68" t="str">
            <v>0.00%</v>
          </cell>
        </row>
        <row r="73">
          <cell r="D73">
            <v>5.7784466678737954E-2</v>
          </cell>
          <cell r="E73">
            <v>0.13893129866337159</v>
          </cell>
          <cell r="F73">
            <v>0.13102745356774101</v>
          </cell>
          <cell r="G73">
            <v>1.7711079330150058E-2</v>
          </cell>
          <cell r="H73">
            <v>6.6778224890138169E-2</v>
          </cell>
          <cell r="I73">
            <v>7.4358616847258224E-2</v>
          </cell>
          <cell r="J73">
            <v>1.8276623894313202E-2</v>
          </cell>
          <cell r="K73">
            <v>3.1372600502606811E-2</v>
          </cell>
          <cell r="L73">
            <v>3.007526790490659E-3</v>
          </cell>
          <cell r="M73">
            <v>4.1069799155540854E-4</v>
          </cell>
          <cell r="N73">
            <v>8.922632888340383E-4</v>
          </cell>
          <cell r="O73">
            <v>8.1795929057715733E-4</v>
          </cell>
          <cell r="P73">
            <v>0.45863118826422572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0.19729337585259749</v>
          </cell>
          <cell r="J74">
            <v>0</v>
          </cell>
          <cell r="K74">
            <v>6.7736991462205937E-2</v>
          </cell>
          <cell r="L74">
            <v>0</v>
          </cell>
          <cell r="M74">
            <v>0</v>
          </cell>
          <cell r="N74">
            <v>0</v>
          </cell>
          <cell r="O74">
            <v>4.9457844325626905E-3</v>
          </cell>
          <cell r="P74">
            <v>0.730023848252634</v>
          </cell>
        </row>
        <row r="75">
          <cell r="D75">
            <v>8.3278571868113827E-2</v>
          </cell>
          <cell r="E75">
            <v>0.2002268222841487</v>
          </cell>
          <cell r="F75">
            <v>0.18883585565136146</v>
          </cell>
          <cell r="G75">
            <v>2.5525084467042113E-2</v>
          </cell>
          <cell r="H75">
            <v>9.6240313710201725E-2</v>
          </cell>
          <cell r="I75">
            <v>0.10716512192724767</v>
          </cell>
          <cell r="J75">
            <v>2.6340143363287171E-2</v>
          </cell>
          <cell r="K75">
            <v>4.5213973855145168E-2</v>
          </cell>
          <cell r="L75">
            <v>4.3344267129718584E-3</v>
          </cell>
          <cell r="M75">
            <v>5.9189509173789771E-4</v>
          </cell>
          <cell r="N75">
            <v>1.2859236520700887E-3</v>
          </cell>
          <cell r="O75">
            <v>1.1788372460757814E-3</v>
          </cell>
          <cell r="P75">
            <v>0.21978303017059672</v>
          </cell>
        </row>
        <row r="77">
          <cell r="D77">
            <v>6.3262353444242372E-2</v>
          </cell>
          <cell r="E77">
            <v>0.21240893515121695</v>
          </cell>
          <cell r="F77">
            <v>0.35428680721201988</v>
          </cell>
          <cell r="G77">
            <v>7.5108982131436131E-2</v>
          </cell>
          <cell r="H77">
            <v>0.11325362073863664</v>
          </cell>
          <cell r="I77">
            <v>9.6748771337439948E-2</v>
          </cell>
          <cell r="J77">
            <v>1.5440983556740985E-2</v>
          </cell>
          <cell r="K77">
            <v>1.9597363534535034E-2</v>
          </cell>
          <cell r="L77">
            <v>7.0053375339181288E-3</v>
          </cell>
          <cell r="M77">
            <v>1.7277489237618611E-3</v>
          </cell>
          <cell r="N77">
            <v>2.3376702024643617E-3</v>
          </cell>
          <cell r="O77">
            <v>2.4990689169852899E-3</v>
          </cell>
          <cell r="P77">
            <v>3.6322357316602306E-2</v>
          </cell>
        </row>
        <row r="78">
          <cell r="D78">
            <v>0.14210708896268262</v>
          </cell>
          <cell r="E78">
            <v>0.3486390777405487</v>
          </cell>
          <cell r="F78">
            <v>0.28772837087278291</v>
          </cell>
          <cell r="G78">
            <v>3.2320160978487038E-3</v>
          </cell>
          <cell r="H78">
            <v>0.10297118767449297</v>
          </cell>
          <cell r="I78">
            <v>7.0679272161747853E-2</v>
          </cell>
          <cell r="J78">
            <v>2.3849772916954042E-2</v>
          </cell>
          <cell r="K78">
            <v>1.3631384722953891E-2</v>
          </cell>
          <cell r="L78">
            <v>1.5552386347408083E-4</v>
          </cell>
          <cell r="M78">
            <v>7.0555313448982486E-5</v>
          </cell>
          <cell r="N78">
            <v>4.2347163934761111E-5</v>
          </cell>
          <cell r="O78">
            <v>1.5201327785928798E-3</v>
          </cell>
          <cell r="P78">
            <v>5.3732697305375991E-3</v>
          </cell>
        </row>
        <row r="79">
          <cell r="D79">
            <v>0.12097697488074433</v>
          </cell>
          <cell r="E79">
            <v>0.34366556375436885</v>
          </cell>
          <cell r="F79">
            <v>0.29212289790607587</v>
          </cell>
          <cell r="G79">
            <v>3.6167612923658346E-2</v>
          </cell>
          <cell r="H79">
            <v>9.991831362553133E-2</v>
          </cell>
          <cell r="I79">
            <v>4.4919463553911299E-2</v>
          </cell>
          <cell r="J79">
            <v>2.2585147070772853E-2</v>
          </cell>
          <cell r="K79">
            <v>1.1437446818766357E-2</v>
          </cell>
          <cell r="L79">
            <v>1.3259538504528771E-3</v>
          </cell>
          <cell r="M79">
            <v>1.2363812214265788E-3</v>
          </cell>
          <cell r="N79">
            <v>3.6524871853901045E-4</v>
          </cell>
          <cell r="O79">
            <v>2.8341760391701666E-3</v>
          </cell>
          <cell r="P79">
            <v>2.2444819636582094E-2</v>
          </cell>
        </row>
        <row r="81">
          <cell r="D81">
            <v>0.18910014738976647</v>
          </cell>
          <cell r="E81">
            <v>0.37271443132164706</v>
          </cell>
          <cell r="F81">
            <v>0.27360555366727557</v>
          </cell>
          <cell r="G81">
            <v>4.1002920148345917E-2</v>
          </cell>
          <cell r="H81">
            <v>7.3217315389304635E-2</v>
          </cell>
          <cell r="I81">
            <v>4.3639775237264552E-3</v>
          </cell>
          <cell r="J81">
            <v>1.4993255644230707E-2</v>
          </cell>
          <cell r="K81">
            <v>1.4452303579548758E-3</v>
          </cell>
          <cell r="L81">
            <v>4.5538739236568992E-3</v>
          </cell>
          <cell r="M81">
            <v>1.8825916463078293E-2</v>
          </cell>
          <cell r="N81">
            <v>4.5725187352756063E-3</v>
          </cell>
          <cell r="O81">
            <v>9.32468073298324E-4</v>
          </cell>
          <cell r="P81">
            <v>6.723913624392862E-4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0.56242298196498364</v>
          </cell>
          <cell r="M82">
            <v>0.29451224320904623</v>
          </cell>
          <cell r="N82">
            <v>0.1430647748259701</v>
          </cell>
          <cell r="O82">
            <v>0</v>
          </cell>
          <cell r="P82">
            <v>0</v>
          </cell>
        </row>
        <row r="84">
          <cell r="D84">
            <v>0.17412300753422377</v>
          </cell>
          <cell r="E84">
            <v>0.34319464383794107</v>
          </cell>
          <cell r="F84">
            <v>0.25193540322534241</v>
          </cell>
          <cell r="G84">
            <v>0.11326620109713328</v>
          </cell>
          <cell r="H84">
            <v>6.7418345967177468E-2</v>
          </cell>
          <cell r="I84">
            <v>4.0183410839801734E-3</v>
          </cell>
          <cell r="J84">
            <v>1.3805757433503766E-2</v>
          </cell>
          <cell r="K84">
            <v>1.3307649940017135E-3</v>
          </cell>
          <cell r="L84">
            <v>1.6551986719759066E-2</v>
          </cell>
          <cell r="M84">
            <v>8.6674316212527868E-3</v>
          </cell>
          <cell r="N84">
            <v>4.2103653814278344E-3</v>
          </cell>
          <cell r="O84">
            <v>8.5861458911339712E-4</v>
          </cell>
          <cell r="P84">
            <v>6.1913651514318576E-4</v>
          </cell>
        </row>
        <row r="85">
          <cell r="D85">
            <v>0.17412300753422377</v>
          </cell>
          <cell r="E85">
            <v>0.34319464383794107</v>
          </cell>
          <cell r="F85">
            <v>0.25193540322534241</v>
          </cell>
          <cell r="G85">
            <v>0.11326620109713328</v>
          </cell>
          <cell r="H85">
            <v>6.7418345967177468E-2</v>
          </cell>
          <cell r="I85">
            <v>4.0183410839801734E-3</v>
          </cell>
          <cell r="J85">
            <v>1.3805757433503766E-2</v>
          </cell>
          <cell r="K85">
            <v>1.3307649940017135E-3</v>
          </cell>
          <cell r="L85">
            <v>1.6551986719759066E-2</v>
          </cell>
          <cell r="M85">
            <v>8.6674316212527868E-3</v>
          </cell>
          <cell r="N85">
            <v>4.2103653814278344E-3</v>
          </cell>
          <cell r="O85">
            <v>8.5861458911339712E-4</v>
          </cell>
          <cell r="P85">
            <v>6.1913651514318576E-4</v>
          </cell>
        </row>
        <row r="86">
          <cell r="D86">
            <v>0.174844446052251</v>
          </cell>
          <cell r="E86">
            <v>0.34461659168246511</v>
          </cell>
          <cell r="F86">
            <v>0.25297923945649503</v>
          </cell>
          <cell r="G86">
            <v>0.11373549347508645</v>
          </cell>
          <cell r="H86">
            <v>6.769767833279175E-2</v>
          </cell>
          <cell r="I86">
            <v>4.0349901533800617E-3</v>
          </cell>
          <cell r="J86">
            <v>1.3862958404955588E-2</v>
          </cell>
          <cell r="K86">
            <v>1.3362787117964538E-3</v>
          </cell>
          <cell r="L86">
            <v>1.3157090766358577E-2</v>
          </cell>
          <cell r="M86">
            <v>8.7033431249218807E-3</v>
          </cell>
          <cell r="N86">
            <v>4.2278100592113461E-3</v>
          </cell>
          <cell r="O86">
            <v>7.4515070308468062E-4</v>
          </cell>
          <cell r="P86">
            <v>5.8929077202080921E-5</v>
          </cell>
        </row>
        <row r="87">
          <cell r="D87">
            <v>0.17485475008131768</v>
          </cell>
          <cell r="E87">
            <v>0.34463690081700005</v>
          </cell>
          <cell r="F87">
            <v>0.25299414816818411</v>
          </cell>
          <cell r="G87">
            <v>0.11374219619774731</v>
          </cell>
          <cell r="H87">
            <v>6.7701667929607884E-2</v>
          </cell>
          <cell r="I87">
            <v>4.0352279456391986E-3</v>
          </cell>
          <cell r="J87">
            <v>1.3863775384445531E-2</v>
          </cell>
          <cell r="K87">
            <v>1.3363574621085077E-3</v>
          </cell>
          <cell r="L87">
            <v>1.3157866147268583E-2</v>
          </cell>
          <cell r="M87">
            <v>8.7038560351261306E-3</v>
          </cell>
          <cell r="N87">
            <v>4.2280592148392316E-3</v>
          </cell>
          <cell r="O87">
            <v>7.4519461671577959E-4</v>
          </cell>
          <cell r="P87">
            <v>0</v>
          </cell>
        </row>
        <row r="88">
          <cell r="D88">
            <v>0.175319891393976</v>
          </cell>
          <cell r="E88">
            <v>0.34555368952512466</v>
          </cell>
          <cell r="F88">
            <v>0.25366715264829742</v>
          </cell>
          <cell r="G88">
            <v>0.11404476844367975</v>
          </cell>
          <cell r="H88">
            <v>6.7881765082675155E-2</v>
          </cell>
          <cell r="I88">
            <v>0</v>
          </cell>
          <cell r="J88">
            <v>1.3900655221440076E-2</v>
          </cell>
          <cell r="K88">
            <v>0</v>
          </cell>
          <cell r="L88">
            <v>1.6665761493307122E-2</v>
          </cell>
          <cell r="M88">
            <v>8.7270096698971889E-3</v>
          </cell>
          <cell r="N88">
            <v>4.2393065216025467E-3</v>
          </cell>
          <cell r="O88">
            <v>0</v>
          </cell>
          <cell r="P88">
            <v>0</v>
          </cell>
        </row>
        <row r="90">
          <cell r="D90">
            <v>0.1041870659726393</v>
          </cell>
          <cell r="E90">
            <v>0.30802744139345378</v>
          </cell>
          <cell r="F90">
            <v>0.45223909548294106</v>
          </cell>
          <cell r="G90">
            <v>0.13554639715096584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D91">
            <v>0.15352621167647976</v>
          </cell>
          <cell r="E91">
            <v>0.30259857259668432</v>
          </cell>
          <cell r="F91">
            <v>0.22213427502836422</v>
          </cell>
          <cell r="G91">
            <v>9.9868081832961378E-2</v>
          </cell>
          <cell r="H91">
            <v>0.10649915247985622</v>
          </cell>
          <cell r="I91">
            <v>1.6661186862993008E-2</v>
          </cell>
          <cell r="J91">
            <v>2.1808625603577405E-2</v>
          </cell>
          <cell r="K91">
            <v>5.5177307680986595E-3</v>
          </cell>
          <cell r="L91">
            <v>0</v>
          </cell>
          <cell r="M91">
            <v>0</v>
          </cell>
          <cell r="N91">
            <v>0</v>
          </cell>
          <cell r="O91">
            <v>4.2269452923414759E-3</v>
          </cell>
          <cell r="P91">
            <v>6.7159217858643441E-2</v>
          </cell>
        </row>
        <row r="92">
          <cell r="D92">
            <v>5.484390836029307E-3</v>
          </cell>
          <cell r="E92">
            <v>3.8587141881939201E-2</v>
          </cell>
          <cell r="F92">
            <v>0.52953271580641292</v>
          </cell>
          <cell r="G92">
            <v>0.13222703803804789</v>
          </cell>
          <cell r="H92">
            <v>0.12983486711830131</v>
          </cell>
          <cell r="I92">
            <v>0.1196389406664685</v>
          </cell>
          <cell r="J92">
            <v>1.3585293525098272E-2</v>
          </cell>
          <cell r="K92">
            <v>3.1109612127702586E-2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0.1664305073573237</v>
          </cell>
          <cell r="E93">
            <v>0.32803280568788723</v>
          </cell>
          <cell r="F93">
            <v>0.24080526504703523</v>
          </cell>
          <cell r="G93">
            <v>3.6087421916998166E-2</v>
          </cell>
          <cell r="H93">
            <v>0.12887980380540523</v>
          </cell>
          <cell r="I93">
            <v>2.6885716504012596E-2</v>
          </cell>
          <cell r="J93">
            <v>2.6391678465105355E-2</v>
          </cell>
          <cell r="K93">
            <v>8.9038161804710116E-3</v>
          </cell>
          <cell r="L93">
            <v>8.0158958945001826E-3</v>
          </cell>
          <cell r="M93">
            <v>3.3138068601910284E-4</v>
          </cell>
          <cell r="N93">
            <v>8.0487151757129803E-3</v>
          </cell>
          <cell r="O93">
            <v>1.2310233757803882E-2</v>
          </cell>
          <cell r="P93">
            <v>8.8767595217254108E-3</v>
          </cell>
        </row>
        <row r="97">
          <cell r="D97">
            <v>7.0713533377953539E-2</v>
          </cell>
          <cell r="E97">
            <v>0.24787598478619088</v>
          </cell>
          <cell r="F97">
            <v>0.43463162185131321</v>
          </cell>
          <cell r="G97">
            <v>0.14267685612757053</v>
          </cell>
          <cell r="H97">
            <v>6.2763967279981361E-2</v>
          </cell>
          <cell r="I97">
            <v>5.9897304711817355E-3</v>
          </cell>
          <cell r="J97">
            <v>5.8133260250501154E-3</v>
          </cell>
          <cell r="K97">
            <v>1.6364744908216014E-3</v>
          </cell>
          <cell r="L97">
            <v>1.1018319651779341E-2</v>
          </cell>
          <cell r="M97">
            <v>7.0023357452131769E-3</v>
          </cell>
          <cell r="N97">
            <v>3.4267409712287842E-3</v>
          </cell>
          <cell r="O97">
            <v>5.5362870930999531E-4</v>
          </cell>
          <cell r="P97">
            <v>5.897480512405546E-3</v>
          </cell>
        </row>
        <row r="98">
          <cell r="D98" t="str">
            <v>0.00%</v>
          </cell>
          <cell r="E98" t="str">
            <v>0.00%</v>
          </cell>
          <cell r="F98" t="str">
            <v>0.00%</v>
          </cell>
          <cell r="G98" t="str">
            <v>0.00%</v>
          </cell>
          <cell r="H98" t="str">
            <v>0.00%</v>
          </cell>
          <cell r="I98" t="str">
            <v>0.00%</v>
          </cell>
          <cell r="J98" t="str">
            <v>0.00%</v>
          </cell>
          <cell r="K98" t="str">
            <v>0.00%</v>
          </cell>
          <cell r="L98" t="str">
            <v>0.00%</v>
          </cell>
          <cell r="M98" t="str">
            <v>0.00%</v>
          </cell>
          <cell r="N98" t="str">
            <v>0.00%</v>
          </cell>
          <cell r="O98" t="str">
            <v>0.00%</v>
          </cell>
          <cell r="P98" t="str">
            <v>0.00%</v>
          </cell>
        </row>
        <row r="99">
          <cell r="D99" t="str">
            <v>0.00%</v>
          </cell>
          <cell r="E99" t="str">
            <v>0.00%</v>
          </cell>
          <cell r="F99" t="str">
            <v>0.00%</v>
          </cell>
          <cell r="G99" t="str">
            <v>0.00%</v>
          </cell>
          <cell r="H99" t="str">
            <v>0.00%</v>
          </cell>
          <cell r="I99" t="str">
            <v>0.00%</v>
          </cell>
          <cell r="J99" t="str">
            <v>0.00%</v>
          </cell>
          <cell r="K99" t="str">
            <v>0.00%</v>
          </cell>
          <cell r="L99" t="str">
            <v>0.00%</v>
          </cell>
          <cell r="M99" t="str">
            <v>0.00%</v>
          </cell>
          <cell r="N99" t="str">
            <v>0.00%</v>
          </cell>
          <cell r="O99" t="str">
            <v>0.00%</v>
          </cell>
          <cell r="P99" t="str">
            <v>0.00%</v>
          </cell>
        </row>
        <row r="100">
          <cell r="D100">
            <v>8.3278571868113827E-2</v>
          </cell>
          <cell r="E100">
            <v>0.20022682228414868</v>
          </cell>
          <cell r="F100">
            <v>0.18883585565136143</v>
          </cell>
          <cell r="G100">
            <v>2.5525084467042113E-2</v>
          </cell>
          <cell r="H100">
            <v>9.6240313710201725E-2</v>
          </cell>
          <cell r="I100">
            <v>0.10716512192724766</v>
          </cell>
          <cell r="J100">
            <v>2.6340143363287168E-2</v>
          </cell>
          <cell r="K100">
            <v>4.5213973855145161E-2</v>
          </cell>
          <cell r="L100">
            <v>4.3344267129718584E-3</v>
          </cell>
          <cell r="M100">
            <v>5.918950917378976E-4</v>
          </cell>
          <cell r="N100">
            <v>1.2859236520700887E-3</v>
          </cell>
          <cell r="O100">
            <v>1.1788372460757811E-3</v>
          </cell>
          <cell r="P100">
            <v>0.21978303017059669</v>
          </cell>
        </row>
        <row r="101">
          <cell r="D101">
            <v>8.3278571868113827E-2</v>
          </cell>
          <cell r="E101">
            <v>0.20022682228414868</v>
          </cell>
          <cell r="F101">
            <v>0.18883585565136143</v>
          </cell>
          <cell r="G101">
            <v>2.5525084467042113E-2</v>
          </cell>
          <cell r="H101">
            <v>9.6240313710201725E-2</v>
          </cell>
          <cell r="I101">
            <v>0.10716512192724766</v>
          </cell>
          <cell r="J101">
            <v>2.6340143363287168E-2</v>
          </cell>
          <cell r="K101">
            <v>4.5213973855145161E-2</v>
          </cell>
          <cell r="L101">
            <v>4.3344267129718584E-3</v>
          </cell>
          <cell r="M101">
            <v>5.918950917378976E-4</v>
          </cell>
          <cell r="N101">
            <v>1.2859236520700887E-3</v>
          </cell>
          <cell r="O101">
            <v>1.1788372460757811E-3</v>
          </cell>
          <cell r="P101">
            <v>0.21978303017059669</v>
          </cell>
        </row>
        <row r="102">
          <cell r="D102">
            <v>6.316118155275649E-2</v>
          </cell>
          <cell r="E102">
            <v>0.23653106546491523</v>
          </cell>
          <cell r="F102">
            <v>0.43865645468973863</v>
          </cell>
          <cell r="G102">
            <v>0.1479097902876011</v>
          </cell>
          <cell r="H102">
            <v>7.5155672050624317E-2</v>
          </cell>
          <cell r="I102">
            <v>3.3383822962004292E-3</v>
          </cell>
          <cell r="J102">
            <v>6.4125780799340511E-3</v>
          </cell>
          <cell r="K102">
            <v>5.0253690216160111E-4</v>
          </cell>
          <cell r="L102">
            <v>1.4145434816284009E-2</v>
          </cell>
          <cell r="M102">
            <v>8.704155550776185E-3</v>
          </cell>
          <cell r="N102">
            <v>4.2282047101115669E-3</v>
          </cell>
          <cell r="O102">
            <v>5.3284683991644858E-4</v>
          </cell>
          <cell r="P102">
            <v>7.216967589797706E-4</v>
          </cell>
        </row>
        <row r="103">
          <cell r="D103">
            <v>6.3123645460070682E-2</v>
          </cell>
          <cell r="E103">
            <v>0.23639049729031655</v>
          </cell>
          <cell r="F103">
            <v>0.43839576530844981</v>
          </cell>
          <cell r="G103">
            <v>0.14782188889847434</v>
          </cell>
          <cell r="H103">
            <v>7.5111007745704686E-2</v>
          </cell>
          <cell r="I103">
            <v>4.0939911578789798E-3</v>
          </cell>
          <cell r="J103">
            <v>6.4087671454447657E-3</v>
          </cell>
          <cell r="K103">
            <v>6.162810161973038E-4</v>
          </cell>
          <cell r="L103">
            <v>1.3574984519548675E-2</v>
          </cell>
          <cell r="M103">
            <v>8.6989827534745268E-3</v>
          </cell>
          <cell r="N103">
            <v>4.2256919280515802E-3</v>
          </cell>
          <cell r="O103">
            <v>6.5345129993186547E-4</v>
          </cell>
          <cell r="P103">
            <v>8.8504547645603434E-4</v>
          </cell>
        </row>
        <row r="104">
          <cell r="D104">
            <v>6.3147645444419337E-2</v>
          </cell>
          <cell r="E104">
            <v>0.23648037435926261</v>
          </cell>
          <cell r="F104">
            <v>0.43856244597825639</v>
          </cell>
          <cell r="G104">
            <v>0.14787809165726773</v>
          </cell>
          <cell r="H104">
            <v>7.5139565396283498E-2</v>
          </cell>
          <cell r="I104">
            <v>3.6108667952612279E-3</v>
          </cell>
          <cell r="J104">
            <v>6.411203796719638E-3</v>
          </cell>
          <cell r="K104">
            <v>5.4355482758042446E-4</v>
          </cell>
          <cell r="L104">
            <v>1.3939721422452561E-2</v>
          </cell>
          <cell r="M104">
            <v>8.7022901583053321E-3</v>
          </cell>
          <cell r="N104">
            <v>4.22729856118242E-3</v>
          </cell>
          <cell r="O104">
            <v>5.7633871453368864E-4</v>
          </cell>
          <cell r="P104">
            <v>7.806028884749525E-4</v>
          </cell>
        </row>
        <row r="105">
          <cell r="D105">
            <v>6.3159008135445574E-2</v>
          </cell>
          <cell r="E105">
            <v>0.23652292627721144</v>
          </cell>
          <cell r="F105">
            <v>0.43864136023601369</v>
          </cell>
          <cell r="G105">
            <v>0.14790470061557845</v>
          </cell>
          <cell r="H105">
            <v>7.5153085895099156E-2</v>
          </cell>
          <cell r="I105">
            <v>4.6687797117421328E-3</v>
          </cell>
          <cell r="J105">
            <v>6.4123574189542537E-3</v>
          </cell>
          <cell r="K105">
            <v>7.0280569600557265E-4</v>
          </cell>
          <cell r="L105">
            <v>1.3157866147268583E-2</v>
          </cell>
          <cell r="M105">
            <v>8.7038560351261306E-3</v>
          </cell>
          <cell r="N105">
            <v>4.2280592148392316E-3</v>
          </cell>
          <cell r="O105">
            <v>7.4519461671577959E-4</v>
          </cell>
          <cell r="P105">
            <v>0</v>
          </cell>
        </row>
        <row r="106">
          <cell r="D106">
            <v>6.3159008135445574E-2</v>
          </cell>
          <cell r="E106">
            <v>0.23652292627721144</v>
          </cell>
          <cell r="F106">
            <v>0.43864136023601363</v>
          </cell>
          <cell r="G106">
            <v>0.14790470061557845</v>
          </cell>
          <cell r="H106">
            <v>7.5153085895099156E-2</v>
          </cell>
          <cell r="I106">
            <v>4.6687797117421328E-3</v>
          </cell>
          <cell r="J106">
            <v>6.4123574189542546E-3</v>
          </cell>
          <cell r="K106">
            <v>7.0280569600557265E-4</v>
          </cell>
          <cell r="L106">
            <v>1.3157866147268583E-2</v>
          </cell>
          <cell r="M106">
            <v>8.7038560351261306E-3</v>
          </cell>
          <cell r="N106">
            <v>4.2280592148392316E-3</v>
          </cell>
          <cell r="O106">
            <v>7.4519461671577959E-4</v>
          </cell>
          <cell r="P106">
            <v>0</v>
          </cell>
        </row>
        <row r="107">
          <cell r="D107">
            <v>6.3159008135445574E-2</v>
          </cell>
          <cell r="E107">
            <v>0.23652292627721144</v>
          </cell>
          <cell r="F107">
            <v>0.43864136023601369</v>
          </cell>
          <cell r="G107">
            <v>0.14790470061557845</v>
          </cell>
          <cell r="H107">
            <v>7.515308589509917E-2</v>
          </cell>
          <cell r="I107">
            <v>4.6687797117421328E-3</v>
          </cell>
          <cell r="J107">
            <v>6.4123574189542546E-3</v>
          </cell>
          <cell r="K107">
            <v>7.0280569600557265E-4</v>
          </cell>
          <cell r="L107">
            <v>1.3157866147268583E-2</v>
          </cell>
          <cell r="M107">
            <v>8.7038560351261306E-3</v>
          </cell>
          <cell r="N107">
            <v>4.2280592148392316E-3</v>
          </cell>
          <cell r="O107">
            <v>7.4519461671577959E-4</v>
          </cell>
          <cell r="P107">
            <v>0</v>
          </cell>
        </row>
        <row r="108">
          <cell r="D108">
            <v>6.3159008135445588E-2</v>
          </cell>
          <cell r="E108">
            <v>0.23652292627721147</v>
          </cell>
          <cell r="F108">
            <v>0.43864136023601374</v>
          </cell>
          <cell r="G108">
            <v>0.14790470061557848</v>
          </cell>
          <cell r="H108">
            <v>7.515308589509917E-2</v>
          </cell>
          <cell r="I108">
            <v>4.6687797117421336E-3</v>
          </cell>
          <cell r="J108">
            <v>6.4123574189542563E-3</v>
          </cell>
          <cell r="K108">
            <v>7.0280569600557276E-4</v>
          </cell>
          <cell r="L108">
            <v>1.3157866147268587E-2</v>
          </cell>
          <cell r="M108">
            <v>8.7038560351261323E-3</v>
          </cell>
          <cell r="N108">
            <v>4.2280592148392325E-3</v>
          </cell>
          <cell r="O108">
            <v>7.451946167157797E-4</v>
          </cell>
          <cell r="P108">
            <v>0</v>
          </cell>
        </row>
        <row r="109">
          <cell r="D109">
            <v>0.1041870659726393</v>
          </cell>
          <cell r="E109">
            <v>0.30802744139345378</v>
          </cell>
          <cell r="F109">
            <v>0.45223909548294106</v>
          </cell>
          <cell r="G109">
            <v>0.13554639715096584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D110">
            <v>0.1470520519877952</v>
          </cell>
          <cell r="E110">
            <v>0.28983807092621244</v>
          </cell>
          <cell r="F110">
            <v>0.21276693147732076</v>
          </cell>
          <cell r="G110">
            <v>9.5656671269717053E-2</v>
          </cell>
          <cell r="H110">
            <v>0.10200811142351141</v>
          </cell>
          <cell r="I110">
            <v>6.0713334801690097E-2</v>
          </cell>
          <cell r="J110">
            <v>2.0888961637362799E-2</v>
          </cell>
          <cell r="K110">
            <v>2.0106600941691938E-2</v>
          </cell>
          <cell r="L110">
            <v>0</v>
          </cell>
          <cell r="M110">
            <v>0</v>
          </cell>
          <cell r="N110">
            <v>0</v>
          </cell>
          <cell r="O110">
            <v>1.5402981002054172E-2</v>
          </cell>
          <cell r="P110">
            <v>3.5566284532644085E-2</v>
          </cell>
        </row>
        <row r="113">
          <cell r="D113">
            <v>4.9015009576554386E-2</v>
          </cell>
          <cell r="E113">
            <v>0.17975075812461425</v>
          </cell>
          <cell r="F113">
            <v>0.36946251890968257</v>
          </cell>
          <cell r="G113">
            <v>6.6565719291392711E-2</v>
          </cell>
          <cell r="H113">
            <v>0.11962036154307644</v>
          </cell>
          <cell r="I113">
            <v>0.12361882896455298</v>
          </cell>
          <cell r="J113">
            <v>1.5658646462242617E-2</v>
          </cell>
          <cell r="K113">
            <v>2.3912268291701906E-2</v>
          </cell>
          <cell r="L113">
            <v>7.2459225574016874E-3</v>
          </cell>
          <cell r="M113">
            <v>2.9426423929599286E-3</v>
          </cell>
          <cell r="N113">
            <v>1.620007808681411E-3</v>
          </cell>
          <cell r="O113">
            <v>1.0625055560570377E-3</v>
          </cell>
          <cell r="P113">
            <v>3.9524810521082074E-2</v>
          </cell>
        </row>
        <row r="114">
          <cell r="D114">
            <v>4.9057031901393239E-2</v>
          </cell>
          <cell r="E114">
            <v>0.18108739524944084</v>
          </cell>
          <cell r="F114">
            <v>0.37174592387827188</v>
          </cell>
          <cell r="G114">
            <v>6.878436169972782E-2</v>
          </cell>
          <cell r="H114">
            <v>0.11675953376038831</v>
          </cell>
          <cell r="I114">
            <v>0.12287375152961375</v>
          </cell>
          <cell r="J114">
            <v>1.5189901942689637E-2</v>
          </cell>
          <cell r="K114">
            <v>2.3809587778025328E-2</v>
          </cell>
          <cell r="L114">
            <v>7.2288825245315665E-3</v>
          </cell>
          <cell r="M114">
            <v>2.9922310290259424E-3</v>
          </cell>
          <cell r="N114">
            <v>1.6333465569288981E-3</v>
          </cell>
          <cell r="O114">
            <v>1.2292412485888984E-3</v>
          </cell>
          <cell r="P114">
            <v>3.7608810901373746E-2</v>
          </cell>
        </row>
        <row r="115">
          <cell r="D115">
            <v>7.4427668357003499E-2</v>
          </cell>
          <cell r="E115">
            <v>0.22005902887907458</v>
          </cell>
          <cell r="F115">
            <v>0.36625190446052436</v>
          </cell>
          <cell r="G115">
            <v>7.1278664390528157E-2</v>
          </cell>
          <cell r="H115">
            <v>0.10787890867816018</v>
          </cell>
          <cell r="I115">
            <v>7.5723423441271351E-2</v>
          </cell>
          <cell r="J115">
            <v>1.4923244238486115E-2</v>
          </cell>
          <cell r="K115">
            <v>1.5387868355515106E-2</v>
          </cell>
          <cell r="L115">
            <v>8.6236372883817611E-3</v>
          </cell>
          <cell r="M115">
            <v>3.563486492665721E-3</v>
          </cell>
          <cell r="N115">
            <v>2.5503956761386598E-3</v>
          </cell>
          <cell r="O115">
            <v>6.5759107691904751E-3</v>
          </cell>
          <cell r="P115">
            <v>3.2755858973059902E-2</v>
          </cell>
        </row>
        <row r="116">
          <cell r="D116">
            <v>7.4427668357003499E-2</v>
          </cell>
          <cell r="E116">
            <v>0.22005902887907458</v>
          </cell>
          <cell r="F116">
            <v>0.36625190446052436</v>
          </cell>
          <cell r="G116">
            <v>7.1278664390528157E-2</v>
          </cell>
          <cell r="H116">
            <v>0.10787890867816018</v>
          </cell>
          <cell r="I116">
            <v>7.5723423441271351E-2</v>
          </cell>
          <cell r="J116">
            <v>1.4923244238486115E-2</v>
          </cell>
          <cell r="K116">
            <v>1.5387868355515106E-2</v>
          </cell>
          <cell r="L116">
            <v>8.6236372883817611E-3</v>
          </cell>
          <cell r="M116">
            <v>3.563486492665721E-3</v>
          </cell>
          <cell r="N116">
            <v>2.5503956761386598E-3</v>
          </cell>
          <cell r="O116">
            <v>6.5759107691904751E-3</v>
          </cell>
          <cell r="P116">
            <v>3.2755858973059902E-2</v>
          </cell>
        </row>
        <row r="117">
          <cell r="D117">
            <v>4.8172329336292716E-2</v>
          </cell>
          <cell r="E117">
            <v>0.20400070086625915</v>
          </cell>
          <cell r="F117">
            <v>0.48160539648528033</v>
          </cell>
          <cell r="G117">
            <v>7.0860580618765392E-2</v>
          </cell>
          <cell r="H117">
            <v>0.14582513172727501</v>
          </cell>
          <cell r="I117">
            <v>1.1575523437292744E-2</v>
          </cell>
          <cell r="J117">
            <v>1.7762159198007308E-2</v>
          </cell>
          <cell r="K117">
            <v>2.1861298842762054E-3</v>
          </cell>
          <cell r="L117">
            <v>1.1680003901993098E-2</v>
          </cell>
          <cell r="M117">
            <v>4.169984386596437E-3</v>
          </cell>
          <cell r="N117">
            <v>2.025647120119134E-3</v>
          </cell>
          <cell r="O117">
            <v>3.5584387208471331E-5</v>
          </cell>
          <cell r="P117">
            <v>1.0082865063378711E-4</v>
          </cell>
        </row>
        <row r="118">
          <cell r="D118">
            <v>7.4652419015615215E-2</v>
          </cell>
          <cell r="E118">
            <v>0.22132022180860572</v>
          </cell>
          <cell r="F118">
            <v>0.36953525249808727</v>
          </cell>
          <cell r="G118">
            <v>7.1842630413918002E-2</v>
          </cell>
          <cell r="H118">
            <v>0.10899821971233765</v>
          </cell>
          <cell r="I118">
            <v>7.4790344318598198E-2</v>
          </cell>
          <cell r="J118">
            <v>1.5062502805561116E-2</v>
          </cell>
          <cell r="K118">
            <v>1.4934031743976981E-2</v>
          </cell>
          <cell r="L118">
            <v>8.6758789166091754E-3</v>
          </cell>
          <cell r="M118">
            <v>3.5846803246935882E-3</v>
          </cell>
          <cell r="N118">
            <v>2.5571935169853865E-3</v>
          </cell>
          <cell r="O118">
            <v>3.0621765566434377E-3</v>
          </cell>
          <cell r="P118">
            <v>3.0984448368368438E-2</v>
          </cell>
        </row>
      </sheetData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/>
          <cell r="C1"/>
          <cell r="D1" t="str">
            <v>HONI DX</v>
          </cell>
          <cell r="E1"/>
          <cell r="F1"/>
        </row>
        <row r="2">
          <cell r="A2"/>
          <cell r="B2" t="str">
            <v>HONI DX</v>
          </cell>
          <cell r="C2" t="str">
            <v>USofA</v>
          </cell>
          <cell r="D2" t="str">
            <v>Balances as at Dec 31, 2020</v>
          </cell>
          <cell r="E2"/>
          <cell r="F2" t="str">
            <v>Total Claim</v>
          </cell>
        </row>
        <row r="3">
          <cell r="A3" t="str">
            <v>VA Rider Worksheet Join</v>
          </cell>
          <cell r="B3"/>
          <cell r="C3"/>
          <cell r="D3" t="str">
            <v>Principal</v>
          </cell>
          <cell r="E3" t="str">
            <v>Interest</v>
          </cell>
          <cell r="F3"/>
        </row>
        <row r="4">
          <cell r="A4" t="str">
            <v>RSVA - Power - Sub-Account -Power (1588)</v>
          </cell>
          <cell r="B4" t="str">
            <v>RSVA Power (1588)</v>
          </cell>
          <cell r="C4">
            <v>1588</v>
          </cell>
          <cell r="D4">
            <v>12004140.900996186</v>
          </cell>
          <cell r="E4">
            <v>1540691.3097957198</v>
          </cell>
          <cell r="F4">
            <v>13544832.210791906</v>
          </cell>
        </row>
        <row r="5">
          <cell r="A5" t="str">
            <v>RSVA - Power - Sub-Account -Global adjustment (1589)</v>
          </cell>
          <cell r="B5" t="str">
            <v>RSVA GA (1589)</v>
          </cell>
          <cell r="C5">
            <v>1589</v>
          </cell>
          <cell r="D5">
            <v>-29023141.026993603</v>
          </cell>
          <cell r="E5">
            <v>1584095.6553840849</v>
          </cell>
          <cell r="F5">
            <v>-27439045.371609516</v>
          </cell>
        </row>
        <row r="6">
          <cell r="A6" t="str">
            <v>RSVA - Wholesale Market Service Charge (1580)</v>
          </cell>
          <cell r="B6" t="str">
            <v>RSVA - Wholesale Market Service Charge5</v>
          </cell>
          <cell r="C6">
            <v>1580</v>
          </cell>
          <cell r="D6">
            <v>-64983232.268870354</v>
          </cell>
          <cell r="E6">
            <v>7143.6925785830244</v>
          </cell>
          <cell r="F6">
            <v>-64976088.57629177</v>
          </cell>
        </row>
        <row r="7">
          <cell r="A7" t="str">
            <v>Variance WMS – Sub-account CBR Class B (1580)</v>
          </cell>
          <cell r="B7" t="str">
            <v>Variance WMS – Sub-account CBR Class B5</v>
          </cell>
          <cell r="C7">
            <v>1580</v>
          </cell>
          <cell r="D7">
            <v>-930195.29760298459</v>
          </cell>
          <cell r="E7">
            <v>193823.20590125764</v>
          </cell>
          <cell r="F7">
            <v>-736372.09170172689</v>
          </cell>
        </row>
        <row r="8">
          <cell r="A8" t="str">
            <v>RSVA - Retail Transmission Network Charge (1584)</v>
          </cell>
          <cell r="B8" t="str">
            <v>RSVA Tx Network (1584)</v>
          </cell>
          <cell r="C8">
            <v>1584</v>
          </cell>
          <cell r="D8">
            <v>-45638605.713903233</v>
          </cell>
          <cell r="E8">
            <v>-4592989.7011130899</v>
          </cell>
          <cell r="F8">
            <v>-50231595.415016323</v>
          </cell>
        </row>
        <row r="9">
          <cell r="A9" t="str">
            <v>RSVA - Retail Transmission Connection Charge (1586)</v>
          </cell>
          <cell r="B9" t="str">
            <v>RSVA Tx Connection (1586)</v>
          </cell>
          <cell r="C9">
            <v>1586</v>
          </cell>
          <cell r="D9">
            <v>98356310.096327305</v>
          </cell>
          <cell r="E9">
            <v>5076879.6793645322</v>
          </cell>
          <cell r="F9">
            <v>103433189.77569184</v>
          </cell>
        </row>
        <row r="10">
          <cell r="A10" t="str">
            <v>LV Variance Account (1550)</v>
          </cell>
          <cell r="B10" t="str">
            <v>RSVA LV (1550)</v>
          </cell>
          <cell r="C10">
            <v>1550</v>
          </cell>
          <cell r="D10">
            <v>8673225.3994276859</v>
          </cell>
          <cell r="E10">
            <v>199259.36330637915</v>
          </cell>
          <cell r="F10">
            <v>8872484.7627340648</v>
          </cell>
        </row>
        <row r="11">
          <cell r="A11" t="str">
            <v>Smart Meter Entity Charge Variance Account (1551)</v>
          </cell>
          <cell r="B11" t="str">
            <v xml:space="preserve">Smart Metering Entity Charge variance </v>
          </cell>
          <cell r="C11">
            <v>1551</v>
          </cell>
          <cell r="D11">
            <v>-2044263.5712805744</v>
          </cell>
          <cell r="E11">
            <v>-129729.11567285699</v>
          </cell>
          <cell r="F11">
            <v>-2173992.6869534315</v>
          </cell>
        </row>
        <row r="12">
          <cell r="A12" t="str">
            <v>Disposition and Recovery/Refund of Regulatory Balances- 2015 (1595)</v>
          </cell>
          <cell r="B12" t="str">
            <v>Disposition and Recovery/Refund of Regulatory Balances (2015)</v>
          </cell>
          <cell r="C12">
            <v>1595</v>
          </cell>
          <cell r="D12">
            <v>-6553737.5400000028</v>
          </cell>
          <cell r="E12">
            <v>24878.108824999959</v>
          </cell>
          <cell r="F12">
            <v>-6528859.4311750028</v>
          </cell>
        </row>
        <row r="13">
          <cell r="B13" t="str">
            <v>Disposition and Recovery/Refund of Regulatory Balances (2016)</v>
          </cell>
          <cell r="C13">
            <v>1595</v>
          </cell>
          <cell r="D13"/>
          <cell r="E13"/>
          <cell r="F13">
            <v>0</v>
          </cell>
        </row>
        <row r="14">
          <cell r="B14" t="str">
            <v>Disposition and Recovery/Refund of Regulatory Balances (2017)</v>
          </cell>
          <cell r="C14">
            <v>1595</v>
          </cell>
          <cell r="D14"/>
          <cell r="E14"/>
          <cell r="F14">
            <v>0</v>
          </cell>
        </row>
        <row r="15">
          <cell r="B15" t="str">
            <v>Disposition and Recovery/Refund of Regulatory Balances (2018)</v>
          </cell>
          <cell r="C15">
            <v>1595</v>
          </cell>
          <cell r="D15"/>
          <cell r="E15"/>
          <cell r="F15">
            <v>0</v>
          </cell>
        </row>
        <row r="16">
          <cell r="A16" t="str">
            <v>Disposition and Recovery/Refund of Regulatory Balances (2019)</v>
          </cell>
          <cell r="B16" t="str">
            <v>Disposition and Recovery/Refund of Regulatory Balances (2019)</v>
          </cell>
          <cell r="C16">
            <v>1595</v>
          </cell>
          <cell r="D16">
            <v>0</v>
          </cell>
          <cell r="E16">
            <v>-219015.27367499983</v>
          </cell>
          <cell r="F16">
            <v>-219015.27367499983</v>
          </cell>
        </row>
        <row r="17">
          <cell r="B17" t="str">
            <v>Disposition and Recovery/Refund of Regulatory Balances (2020)</v>
          </cell>
          <cell r="C17">
            <v>1595</v>
          </cell>
          <cell r="D17"/>
          <cell r="E17"/>
          <cell r="F17">
            <v>0</v>
          </cell>
        </row>
        <row r="18">
          <cell r="A18" t="str">
            <v>Earrnings per Share mechanism</v>
          </cell>
          <cell r="B18" t="str">
            <v>Earnings per Share Mechanism</v>
          </cell>
          <cell r="C18">
            <v>2435</v>
          </cell>
          <cell r="D18">
            <v>-21420529.239999998</v>
          </cell>
          <cell r="E18">
            <v>-294532.27704999998</v>
          </cell>
          <cell r="F18">
            <v>-21715061.517049998</v>
          </cell>
        </row>
        <row r="19">
          <cell r="F19"/>
        </row>
        <row r="20">
          <cell r="F20"/>
        </row>
        <row r="21">
          <cell r="F21"/>
        </row>
        <row r="22">
          <cell r="F22"/>
        </row>
        <row r="23">
          <cell r="F23"/>
        </row>
        <row r="24">
          <cell r="F24"/>
        </row>
        <row r="25">
          <cell r="F25"/>
        </row>
        <row r="26">
          <cell r="F26"/>
        </row>
        <row r="27">
          <cell r="F27"/>
        </row>
        <row r="28">
          <cell r="F28"/>
        </row>
        <row r="29">
          <cell r="F29"/>
        </row>
        <row r="30">
          <cell r="F30"/>
        </row>
        <row r="31">
          <cell r="F31"/>
        </row>
        <row r="32">
          <cell r="F32"/>
        </row>
        <row r="33">
          <cell r="F33"/>
        </row>
        <row r="34">
          <cell r="F34"/>
        </row>
        <row r="35">
          <cell r="F35"/>
        </row>
        <row r="36">
          <cell r="F36"/>
        </row>
        <row r="37">
          <cell r="F37"/>
        </row>
        <row r="38">
          <cell r="F38"/>
        </row>
        <row r="39">
          <cell r="F39"/>
        </row>
        <row r="40">
          <cell r="F40"/>
        </row>
        <row r="41">
          <cell r="F41"/>
        </row>
        <row r="42">
          <cell r="F42"/>
        </row>
        <row r="43">
          <cell r="F43"/>
        </row>
        <row r="44">
          <cell r="F44"/>
        </row>
        <row r="45">
          <cell r="F45"/>
        </row>
        <row r="46">
          <cell r="F46"/>
        </row>
        <row r="47">
          <cell r="F47"/>
        </row>
        <row r="48">
          <cell r="F48"/>
        </row>
        <row r="49">
          <cell r="F49"/>
        </row>
        <row r="50">
          <cell r="F50"/>
        </row>
        <row r="51">
          <cell r="F51"/>
        </row>
        <row r="52">
          <cell r="F52"/>
        </row>
        <row r="53">
          <cell r="F53"/>
        </row>
        <row r="54">
          <cell r="F54"/>
        </row>
        <row r="55">
          <cell r="F55"/>
        </row>
        <row r="56">
          <cell r="F56"/>
        </row>
        <row r="57">
          <cell r="F57"/>
        </row>
        <row r="58">
          <cell r="F58"/>
        </row>
        <row r="59">
          <cell r="F59"/>
        </row>
        <row r="60">
          <cell r="F60"/>
        </row>
        <row r="61">
          <cell r="F61"/>
        </row>
        <row r="62">
          <cell r="F62"/>
        </row>
        <row r="63">
          <cell r="F63"/>
        </row>
        <row r="64">
          <cell r="F64"/>
        </row>
        <row r="65">
          <cell r="F65"/>
        </row>
        <row r="66">
          <cell r="F66"/>
        </row>
        <row r="67">
          <cell r="F67"/>
        </row>
        <row r="68">
          <cell r="F68"/>
        </row>
        <row r="69">
          <cell r="F69"/>
        </row>
        <row r="70">
          <cell r="F70"/>
        </row>
        <row r="71">
          <cell r="F71"/>
        </row>
        <row r="72">
          <cell r="F72"/>
        </row>
        <row r="73">
          <cell r="F73"/>
        </row>
        <row r="74">
          <cell r="F74"/>
        </row>
        <row r="75">
          <cell r="F75"/>
        </row>
        <row r="76">
          <cell r="F76"/>
        </row>
        <row r="77">
          <cell r="F77"/>
        </row>
        <row r="78">
          <cell r="F78"/>
        </row>
        <row r="79">
          <cell r="F79"/>
        </row>
        <row r="80">
          <cell r="F80"/>
        </row>
        <row r="81">
          <cell r="F81"/>
        </row>
        <row r="82">
          <cell r="F82"/>
        </row>
        <row r="83">
          <cell r="F83"/>
        </row>
        <row r="84">
          <cell r="F84"/>
        </row>
        <row r="85">
          <cell r="F85"/>
        </row>
        <row r="86">
          <cell r="F86"/>
        </row>
        <row r="87">
          <cell r="F87"/>
        </row>
        <row r="88">
          <cell r="F88"/>
        </row>
        <row r="89">
          <cell r="F89"/>
        </row>
        <row r="90">
          <cell r="F90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4.1"/>
      <sheetName val="Gar2021_Trans for Settlements"/>
      <sheetName val="SASresult_Gar2021_Trans PIVOT1"/>
      <sheetName val="SASresult_Gar2021_Transition"/>
      <sheetName val="SASresult_Exhibit2021_HONI"/>
      <sheetName val="Exhibit 7.1"/>
    </sheetNames>
    <sheetDataSet>
      <sheetData sheetId="0">
        <row r="10">
          <cell r="C10">
            <v>-3633777.6104829609</v>
          </cell>
        </row>
        <row r="11">
          <cell r="C11">
            <v>-23805267.761126556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27 Load Forecast Update"/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</sheetNames>
    <sheetDataSet>
      <sheetData sheetId="0"/>
      <sheetData sheetId="1"/>
      <sheetData sheetId="2"/>
      <sheetData sheetId="3">
        <row r="14">
          <cell r="C14">
            <v>28971974.436855964</v>
          </cell>
        </row>
        <row r="15">
          <cell r="C15">
            <v>10212102.590407928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105"/>
  <sheetViews>
    <sheetView tabSelected="1" zoomScale="90" zoomScaleNormal="90" zoomScaleSheetLayoutView="100" workbookViewId="0"/>
  </sheetViews>
  <sheetFormatPr defaultColWidth="9.140625" defaultRowHeight="12.75" x14ac:dyDescent="0.2"/>
  <cols>
    <col min="1" max="1" width="3.42578125" style="129" customWidth="1"/>
    <col min="2" max="2" width="65.140625" style="129" customWidth="1"/>
    <col min="3" max="3" width="34.85546875" style="129" bestFit="1" customWidth="1"/>
    <col min="4" max="4" width="18.42578125" style="129" customWidth="1"/>
    <col min="5" max="5" width="18.42578125" style="129" bestFit="1" customWidth="1"/>
    <col min="6" max="6" width="24.42578125" style="129" bestFit="1" customWidth="1"/>
    <col min="7" max="7" width="19.85546875" style="129" customWidth="1"/>
    <col min="8" max="8" width="17" style="129" bestFit="1" customWidth="1"/>
    <col min="9" max="10" width="16.42578125" style="129" bestFit="1" customWidth="1"/>
    <col min="11" max="11" width="19.42578125" style="129" bestFit="1" customWidth="1"/>
    <col min="12" max="13" width="16.42578125" style="129" bestFit="1" customWidth="1"/>
    <col min="14" max="17" width="15.85546875" style="129" bestFit="1" customWidth="1"/>
    <col min="18" max="18" width="16.42578125" style="129" bestFit="1" customWidth="1"/>
    <col min="19" max="19" width="14" style="129" bestFit="1" customWidth="1"/>
    <col min="20" max="20" width="17" style="129" customWidth="1"/>
    <col min="21" max="24" width="12.42578125" style="129" bestFit="1" customWidth="1"/>
    <col min="25" max="25" width="11.42578125" style="129" bestFit="1" customWidth="1"/>
    <col min="26" max="26" width="12.42578125" style="129" bestFit="1" customWidth="1"/>
    <col min="27" max="16384" width="9.140625" style="129"/>
  </cols>
  <sheetData>
    <row r="1" spans="2:25" s="1" customFormat="1" ht="13.5" thickBot="1" x14ac:dyDescent="0.25"/>
    <row r="2" spans="2:25" s="1" customFormat="1" ht="18.75" thickBot="1" x14ac:dyDescent="0.25">
      <c r="B2" s="155" t="s">
        <v>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7"/>
      <c r="R2" s="154"/>
    </row>
    <row r="3" spans="2:25" s="1" customFormat="1" x14ac:dyDescent="0.2">
      <c r="E3" s="2"/>
      <c r="F3" s="1" t="s">
        <v>1</v>
      </c>
      <c r="Q3" s="3"/>
    </row>
    <row r="4" spans="2:25" s="1" customFormat="1" ht="13.5" thickBot="1" x14ac:dyDescent="0.25">
      <c r="Q4" s="3"/>
    </row>
    <row r="5" spans="2:25" s="1" customFormat="1" x14ac:dyDescent="0.2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6" t="s">
        <v>17</v>
      </c>
    </row>
    <row r="6" spans="2:25" s="7" customFormat="1" hidden="1" x14ac:dyDescent="0.2">
      <c r="B6" s="8" t="s">
        <v>18</v>
      </c>
      <c r="C6" s="7" t="s">
        <v>19</v>
      </c>
      <c r="D6" s="9">
        <f>SUM(E6:Q6)</f>
        <v>1324956.9269202144</v>
      </c>
      <c r="E6" s="10">
        <f>VLOOKUP(E5,'[1]Rate Design'!$A:$F,3,FALSE)</f>
        <v>235237.81003627038</v>
      </c>
      <c r="F6" s="10">
        <f>VLOOKUP(F5,'[1]Rate Design'!$A:$F,3,FALSE)</f>
        <v>459104.35121199378</v>
      </c>
      <c r="G6" s="10">
        <f>VLOOKUP(G5,'[1]Rate Design'!$A:$F,3,FALSE)</f>
        <v>333606.98067436524</v>
      </c>
      <c r="H6" s="10">
        <f>VLOOKUP(H5,'[1]Rate Design'!$A:$F,3,FALSE)</f>
        <v>148656.48201608978</v>
      </c>
      <c r="I6" s="10">
        <f>VLOOKUP(I5,'[1]Rate Design'!$A:$F,3,FALSE)</f>
        <v>87424.499392747457</v>
      </c>
      <c r="J6" s="10">
        <f>VLOOKUP(J5,'[1]Rate Design'!$A:$F,3,FALSE)</f>
        <v>5364.6325546258431</v>
      </c>
      <c r="K6" s="10">
        <f>VLOOKUP(K5,'[1]Rate Design'!$A:$F,3,FALSE)</f>
        <v>18220.320924445055</v>
      </c>
      <c r="L6" s="10">
        <f>VLOOKUP(L5,'[1]Rate Design'!$A:$F,3,FALSE)</f>
        <v>1754.7744791356233</v>
      </c>
      <c r="M6" s="10">
        <f>VLOOKUP(M5,'[1]Rate Design'!$A:$F,3,FALSE)</f>
        <v>5579.0157766419379</v>
      </c>
      <c r="N6" s="10">
        <f>VLOOKUP(N5,'[1]Rate Design'!$A:$F,3,FALSE)</f>
        <v>22139.252262299073</v>
      </c>
      <c r="O6" s="10">
        <f>VLOOKUP(O5,'[1]Rate Design'!$A:$F,3,FALSE)</f>
        <v>5588.6592042735138</v>
      </c>
      <c r="P6" s="10">
        <f>VLOOKUP(P5,'[1]Rate Design'!$A:$F,3,FALSE)</f>
        <v>1464.5068376351069</v>
      </c>
      <c r="Q6" s="11">
        <f>VLOOKUP(Q5,'[1]Rate Design'!$A:$F,3,FALSE)</f>
        <v>815.64154969163042</v>
      </c>
    </row>
    <row r="7" spans="2:25" s="1" customFormat="1" x14ac:dyDescent="0.2">
      <c r="B7" s="12" t="s">
        <v>20</v>
      </c>
      <c r="C7" s="1" t="s">
        <v>19</v>
      </c>
      <c r="D7" s="13">
        <f t="shared" ref="D7:D15" si="0">SUM(E7:Q7)</f>
        <v>1282250.4442559117</v>
      </c>
      <c r="E7" s="14">
        <f>E6</f>
        <v>235237.81003627038</v>
      </c>
      <c r="F7" s="14">
        <f>F6</f>
        <v>459104.35121199378</v>
      </c>
      <c r="G7" s="14">
        <f t="shared" ref="G7:I7" si="1">G6</f>
        <v>333606.98067436524</v>
      </c>
      <c r="H7" s="14">
        <f t="shared" si="1"/>
        <v>148656.48201608978</v>
      </c>
      <c r="I7" s="14">
        <f t="shared" si="1"/>
        <v>87424.499392747457</v>
      </c>
      <c r="J7" s="15"/>
      <c r="K7" s="14">
        <f>K6</f>
        <v>18220.320924445055</v>
      </c>
      <c r="L7" s="15"/>
      <c r="M7" s="15"/>
      <c r="N7" s="15"/>
      <c r="O7" s="15"/>
      <c r="P7" s="15"/>
      <c r="Q7" s="16"/>
    </row>
    <row r="8" spans="2:25" s="1" customFormat="1" x14ac:dyDescent="0.2">
      <c r="B8" s="12" t="s">
        <v>21</v>
      </c>
      <c r="C8" s="1" t="s">
        <v>19</v>
      </c>
      <c r="D8" s="13">
        <f t="shared" si="0"/>
        <v>32617678385.44931</v>
      </c>
      <c r="E8" s="14">
        <f>VLOOKUP(E5,'[1]Rate Design'!$A:$F,4,FALSE)*10^6</f>
        <v>1919930037.8522115</v>
      </c>
      <c r="F8" s="14">
        <f>VLOOKUP(F5,'[1]Rate Design'!$A:$F,4,FALSE)*10^6</f>
        <v>4588968776.41924</v>
      </c>
      <c r="G8" s="14">
        <f>VLOOKUP(G5,'[1]Rate Design'!$A:$F,4,FALSE)*10^6</f>
        <v>4181173637.9573803</v>
      </c>
      <c r="H8" s="14">
        <f>VLOOKUP(H5,'[1]Rate Design'!$A:$F,4,FALSE)*10^6</f>
        <v>555477637.40921152</v>
      </c>
      <c r="I8" s="14">
        <f>VLOOKUP(I5,'[1]Rate Design'!$A:$F,4,FALSE)*10^6</f>
        <v>2096098357.1619508</v>
      </c>
      <c r="J8" s="14">
        <f>VLOOKUP(J5,'[1]Rate Design'!$A:$F,4,FALSE)*10^6</f>
        <v>2392395090.2156491</v>
      </c>
      <c r="K8" s="14">
        <f>VLOOKUP(K5,'[1]Rate Design'!$A:$F,4,FALSE)*10^6</f>
        <v>588972120.04674149</v>
      </c>
      <c r="L8" s="14">
        <f>VLOOKUP(L5,'[1]Rate Design'!$A:$F,4,FALSE)*10^6</f>
        <v>1014221954.2406397</v>
      </c>
      <c r="M8" s="14">
        <f>VLOOKUP(M5,'[1]Rate Design'!$A:$F,4,FALSE)*10^6</f>
        <v>99780342.052679271</v>
      </c>
      <c r="N8" s="14">
        <f>VLOOKUP(N5,'[1]Rate Design'!$A:$F,4,FALSE)*10^6</f>
        <v>13161718.207125986</v>
      </c>
      <c r="O8" s="14">
        <f>VLOOKUP(O5,'[1]Rate Design'!$A:$F,4,FALSE)*10^6</f>
        <v>29820725.929010678</v>
      </c>
      <c r="P8" s="14">
        <f>VLOOKUP(P5,'[1]Rate Design'!$A:$F,4,FALSE)*10^6</f>
        <v>29635586.620933183</v>
      </c>
      <c r="Q8" s="17">
        <f>VLOOKUP(Q5,'[1]Rate Design'!$A:$F,4,FALSE)*10^6</f>
        <v>15108042401.336531</v>
      </c>
      <c r="R8" s="18"/>
      <c r="S8" s="18"/>
      <c r="T8" s="18"/>
      <c r="U8" s="18"/>
      <c r="V8" s="18"/>
      <c r="W8" s="18"/>
      <c r="X8" s="18"/>
      <c r="Y8" s="18"/>
    </row>
    <row r="9" spans="2:25" s="1" customFormat="1" x14ac:dyDescent="0.2">
      <c r="B9" s="12" t="s">
        <v>22</v>
      </c>
      <c r="C9" s="1" t="s">
        <v>19</v>
      </c>
      <c r="D9" s="13">
        <f t="shared" si="0"/>
        <v>22533253979.472443</v>
      </c>
      <c r="E9" s="14">
        <f>VLOOKUP(E5,'[2]Version v39'!$A$15:$D$28,4,FALSE)*E8</f>
        <v>1919930037.8522115</v>
      </c>
      <c r="F9" s="14">
        <f>VLOOKUP(F5,'[2]Version v39'!$A$15:$D$28,4,FALSE)*F8</f>
        <v>4588968776.41924</v>
      </c>
      <c r="G9" s="14">
        <f>VLOOKUP(G5,'[2]Version v39'!$A$15:$D$28,4,FALSE)*G8</f>
        <v>4181173637.9573803</v>
      </c>
      <c r="H9" s="14">
        <f>VLOOKUP(H5,'[2]Version v39'!$A$15:$D$28,4,FALSE)*H8</f>
        <v>555477637.40921152</v>
      </c>
      <c r="I9" s="14">
        <f>VLOOKUP(I5,'[2]Version v39'!$A$15:$D$28,4,FALSE)*I8</f>
        <v>2096098357.1619508</v>
      </c>
      <c r="J9" s="14">
        <f>VLOOKUP(J5,'[2]Version v39'!$A$15:$D$28,4,FALSE)*J8</f>
        <v>2392395090.2156491</v>
      </c>
      <c r="K9" s="14">
        <f>VLOOKUP(K5,'[2]Version v39'!$A$15:$D$28,4,FALSE)*K8</f>
        <v>588972120.04674149</v>
      </c>
      <c r="L9" s="14">
        <f>VLOOKUP(L5,'[2]Version v39'!$A$15:$D$28,4,FALSE)*L8</f>
        <v>1014221954.2406397</v>
      </c>
      <c r="M9" s="14">
        <f>VLOOKUP(M5,'[2]Version v39'!$A$15:$D$28,4,FALSE)*M8</f>
        <v>99780342.052679271</v>
      </c>
      <c r="N9" s="14">
        <f>VLOOKUP(N5,'[2]Version v39'!$A$15:$D$28,4,FALSE)*N8</f>
        <v>13161718.207125986</v>
      </c>
      <c r="O9" s="14">
        <f>VLOOKUP(O5,'[2]Version v39'!$A$15:$D$28,4,FALSE)*O8</f>
        <v>29820725.929010678</v>
      </c>
      <c r="P9" s="14">
        <f>VLOOKUP(P5,'[2]Version v39'!$A$15:$D$28,4,FALSE)*P8</f>
        <v>29635586.620933183</v>
      </c>
      <c r="Q9" s="17">
        <f>VLOOKUP(Q5,'[2]Version v39'!$A$15:$D$28,4,FALSE)*Q8</f>
        <v>5023617995.359664</v>
      </c>
      <c r="R9" s="18"/>
      <c r="S9" s="18"/>
      <c r="T9" s="18"/>
      <c r="U9" s="18"/>
      <c r="V9" s="18"/>
      <c r="W9" s="18"/>
      <c r="X9" s="18"/>
      <c r="Y9" s="18"/>
    </row>
    <row r="10" spans="2:25" s="1" customFormat="1" x14ac:dyDescent="0.2">
      <c r="B10" s="20" t="s">
        <v>23</v>
      </c>
      <c r="C10" s="1" t="s">
        <v>19</v>
      </c>
      <c r="D10" s="13">
        <f t="shared" si="0"/>
        <v>6092638338.7919273</v>
      </c>
      <c r="E10" s="14">
        <f>VLOOKUP(E5,'[2]GA and CBRB Allocator'!$B$5:$J$18,9,FALSE)</f>
        <v>138262189.67770073</v>
      </c>
      <c r="F10" s="14">
        <f>VLOOKUP(F5,'[2]GA and CBRB Allocator'!$B$5:$J$18,9,FALSE)</f>
        <v>248042644.00654176</v>
      </c>
      <c r="G10" s="14">
        <f>VLOOKUP(G5,'[2]GA and CBRB Allocator'!$B$5:$J$18,9,FALSE)</f>
        <v>291647219.99143147</v>
      </c>
      <c r="H10" s="14">
        <f>VLOOKUP(H5,'[2]GA and CBRB Allocator'!$B$5:$J$18,9,FALSE)</f>
        <v>7531704.1910512606</v>
      </c>
      <c r="I10" s="14">
        <f>VLOOKUP(I5,'[2]GA and CBRB Allocator'!$B$5:$J$18,9,FALSE)</f>
        <v>439529801.38792044</v>
      </c>
      <c r="J10" s="14">
        <f>VLOOKUP(J5,'[2]GA and CBRB Allocator'!$B$5:$J$18,9,FALSE)</f>
        <v>2030216504.794436</v>
      </c>
      <c r="K10" s="14">
        <f>VLOOKUP(K5,'[2]GA and CBRB Allocator'!$B$5:$J$18,9,FALSE)</f>
        <v>133097020.03809099</v>
      </c>
      <c r="L10" s="14">
        <f>VLOOKUP(L5,'[2]GA and CBRB Allocator'!$B$5:$J$18,9,FALSE)</f>
        <v>527743713.71890002</v>
      </c>
      <c r="M10" s="14">
        <f>VLOOKUP(M5,'[2]GA and CBRB Allocator'!$B$5:$J$18,9,FALSE)</f>
        <v>54837347.6052128</v>
      </c>
      <c r="N10" s="14">
        <f>VLOOKUP(N5,'[2]GA and CBRB Allocator'!$B$5:$J$18,9,FALSE)</f>
        <v>1291594.6848821333</v>
      </c>
      <c r="O10" s="14">
        <f>VLOOKUP(O5,'[2]GA and CBRB Allocator'!$B$5:$J$18,9,FALSE)</f>
        <v>1955023.2734727825</v>
      </c>
      <c r="P10" s="14">
        <f>VLOOKUP(P5,'[2]GA and CBRB Allocator'!$B$5:$J$18,9,FALSE)</f>
        <v>31443357.404810105</v>
      </c>
      <c r="Q10" s="17">
        <f>VLOOKUP(Q5,'[2]GA and CBRB Allocator'!$B$5:$J$18,9,FALSE)</f>
        <v>2187040218.0174766</v>
      </c>
      <c r="R10" s="19"/>
      <c r="S10" s="19"/>
      <c r="T10" s="19"/>
      <c r="U10" s="19"/>
      <c r="V10" s="19"/>
      <c r="W10" s="19"/>
      <c r="X10" s="19"/>
      <c r="Y10" s="19"/>
    </row>
    <row r="11" spans="2:25" s="7" customFormat="1" ht="12.95" hidden="1" customHeight="1" x14ac:dyDescent="0.2">
      <c r="B11" s="8" t="s">
        <v>24</v>
      </c>
      <c r="C11" s="21" t="s">
        <v>25</v>
      </c>
      <c r="D11" s="22">
        <f t="shared" si="0"/>
        <v>1.0000000000000002</v>
      </c>
      <c r="E11" s="23">
        <f>HLOOKUP(E5,'[3]E2 Allocators'!$D$15:$P$118,104,0)</f>
        <v>7.4652419015615215E-2</v>
      </c>
      <c r="F11" s="23">
        <f>HLOOKUP(F5,'[3]E2 Allocators'!$D$15:$P$118,104,0)</f>
        <v>0.22132022180860572</v>
      </c>
      <c r="G11" s="23">
        <f>HLOOKUP(G5,'[3]E2 Allocators'!$D$15:$P$118,104,0)</f>
        <v>0.36953525249808727</v>
      </c>
      <c r="H11" s="23">
        <f>HLOOKUP(H5,'[3]E2 Allocators'!$D$15:$P$118,104,0)</f>
        <v>7.1842630413918002E-2</v>
      </c>
      <c r="I11" s="23">
        <f>HLOOKUP(I5,'[3]E2 Allocators'!$D$15:$P$118,104,0)</f>
        <v>0.10899821971233765</v>
      </c>
      <c r="J11" s="23">
        <f>HLOOKUP(J5,'[3]E2 Allocators'!$D$15:$P$118,104,0)</f>
        <v>7.4790344318598198E-2</v>
      </c>
      <c r="K11" s="23">
        <f>HLOOKUP(K5,'[3]E2 Allocators'!$D$15:$P$118,104,0)</f>
        <v>1.5062502805561116E-2</v>
      </c>
      <c r="L11" s="23">
        <f>HLOOKUP(L5,'[3]E2 Allocators'!$D$15:$P$118,104,0)</f>
        <v>1.4934031743976981E-2</v>
      </c>
      <c r="M11" s="23">
        <f>HLOOKUP(M5,'[3]E2 Allocators'!$D$15:$P$118,104,0)</f>
        <v>8.6758789166091754E-3</v>
      </c>
      <c r="N11" s="23">
        <f>HLOOKUP(N5,'[3]E2 Allocators'!$D$15:$P$118,104,0)</f>
        <v>3.5846803246935882E-3</v>
      </c>
      <c r="O11" s="23">
        <f>HLOOKUP(O5,'[3]E2 Allocators'!$D$15:$P$118,104,0)</f>
        <v>2.5571935169853865E-3</v>
      </c>
      <c r="P11" s="23">
        <f>HLOOKUP(P5,'[3]E2 Allocators'!$D$15:$P$118,104,0)</f>
        <v>3.0621765566434377E-3</v>
      </c>
      <c r="Q11" s="24">
        <f>HLOOKUP(Q5,'[3]E2 Allocators'!$D$15:$P$118,104,0)</f>
        <v>3.0984448368368438E-2</v>
      </c>
    </row>
    <row r="12" spans="2:25" s="7" customFormat="1" ht="12.95" hidden="1" customHeight="1" x14ac:dyDescent="0.2">
      <c r="B12" s="8" t="s">
        <v>26</v>
      </c>
      <c r="C12" s="21" t="s">
        <v>25</v>
      </c>
      <c r="D12" s="22">
        <f t="shared" si="0"/>
        <v>0.99999999999999989</v>
      </c>
      <c r="E12" s="23">
        <f>HLOOKUP(E5,'[3]E2 Allocators'!$D$15:$P$118,99,0)</f>
        <v>4.9015009576554386E-2</v>
      </c>
      <c r="F12" s="23">
        <f>HLOOKUP(F5,'[3]E2 Allocators'!$D$15:$P$118,99,0)</f>
        <v>0.17975075812461425</v>
      </c>
      <c r="G12" s="23">
        <f>HLOOKUP(G5,'[3]E2 Allocators'!$D$15:$P$118,99,0)</f>
        <v>0.36946251890968257</v>
      </c>
      <c r="H12" s="23">
        <f>HLOOKUP(H5,'[3]E2 Allocators'!$D$15:$P$118,99,0)</f>
        <v>6.6565719291392711E-2</v>
      </c>
      <c r="I12" s="23">
        <f>HLOOKUP(I5,'[3]E2 Allocators'!$D$15:$P$118,99,0)</f>
        <v>0.11962036154307644</v>
      </c>
      <c r="J12" s="23">
        <f>HLOOKUP(J5,'[3]E2 Allocators'!$D$15:$P$118,99,0)</f>
        <v>0.12361882896455298</v>
      </c>
      <c r="K12" s="23">
        <f>HLOOKUP(K5,'[3]E2 Allocators'!$D$15:$P$118,99,0)</f>
        <v>1.5658646462242617E-2</v>
      </c>
      <c r="L12" s="23">
        <f>HLOOKUP(L5,'[3]E2 Allocators'!$D$15:$P$118,99,0)</f>
        <v>2.3912268291701906E-2</v>
      </c>
      <c r="M12" s="23">
        <f>HLOOKUP(M5,'[3]E2 Allocators'!$D$15:$P$118,99,0)</f>
        <v>7.2459225574016874E-3</v>
      </c>
      <c r="N12" s="23">
        <f>HLOOKUP(N5,'[3]E2 Allocators'!$D$15:$P$118,99,0)</f>
        <v>2.9426423929599286E-3</v>
      </c>
      <c r="O12" s="23">
        <f>HLOOKUP(O5,'[3]E2 Allocators'!$D$15:$P$118,99,0)</f>
        <v>1.620007808681411E-3</v>
      </c>
      <c r="P12" s="23">
        <f>HLOOKUP(P5,'[3]E2 Allocators'!$D$15:$P$118,99,0)</f>
        <v>1.0625055560570377E-3</v>
      </c>
      <c r="Q12" s="24">
        <f>HLOOKUP(Q5,'[3]E2 Allocators'!$D$15:$P$118,99,0)</f>
        <v>3.9524810521082074E-2</v>
      </c>
    </row>
    <row r="13" spans="2:25" s="1" customFormat="1" x14ac:dyDescent="0.2">
      <c r="B13" s="12" t="s">
        <v>27</v>
      </c>
      <c r="C13" s="1" t="s">
        <v>19</v>
      </c>
      <c r="D13" s="25">
        <f t="shared" si="0"/>
        <v>1540612036.3178284</v>
      </c>
      <c r="E13" s="26">
        <f>VLOOKUP(E$5,'[1]Rate Design'!$A$8:$Y$20,17,0)-VLOOKUP(E5,'[1]Rate Design'!$A$8:$Y$20,11,0)</f>
        <v>100686772.53863907</v>
      </c>
      <c r="F13" s="26">
        <f>VLOOKUP(F$5,'[1]Rate Design'!$A$8:$Y$20,17,0)-VLOOKUP(F5,'[1]Rate Design'!$A$8:$Y$20,11,0)</f>
        <v>332697515.22702318</v>
      </c>
      <c r="G13" s="26">
        <f>VLOOKUP(G$5,'[1]Rate Design'!$A$8:$Y$20,17,0)-VLOOKUP(G5,'[1]Rate Design'!$A$8:$Y$20,11,0)</f>
        <v>546154349.94087231</v>
      </c>
      <c r="H13" s="26">
        <f>VLOOKUP(H$5,'[1]Rate Design'!$A$8:$Y$20,17,0)-VLOOKUP(H5,'[1]Rate Design'!$A$8:$Y$20,11,0)</f>
        <v>114156220.5621337</v>
      </c>
      <c r="I13" s="26">
        <f>VLOOKUP(I$5,'[1]Rate Design'!$A$8:$Y$20,17,0)-VLOOKUP(I5,'[1]Rate Design'!$A$8:$Y$20,11,0)</f>
        <v>167407218.45503652</v>
      </c>
      <c r="J13" s="26">
        <f>VLOOKUP(J$5,'[1]Rate Design'!$A$8:$Y$20,17,0)-VLOOKUP(J5,'[1]Rate Design'!$A$8:$Y$20,11,0)</f>
        <v>146425768.70218378</v>
      </c>
      <c r="K13" s="26">
        <f>VLOOKUP(K$5,'[1]Rate Design'!$A$8:$Y$20,17,0)-VLOOKUP(K5,'[1]Rate Design'!$A$8:$Y$20,11,0)</f>
        <v>23433438.742392473</v>
      </c>
      <c r="L13" s="26">
        <f>VLOOKUP(L$5,'[1]Rate Design'!$A$8:$Y$20,17,0)-VLOOKUP(L5,'[1]Rate Design'!$A$8:$Y$20,11,0)</f>
        <v>29003067.878888201</v>
      </c>
      <c r="M13" s="26">
        <f>VLOOKUP(M$5,'[1]Rate Design'!$A$8:$Y$20,17,0)-VLOOKUP(M5,'[1]Rate Design'!$A$8:$Y$20,11,0)</f>
        <v>10849568.046600685</v>
      </c>
      <c r="N13" s="26">
        <f>VLOOKUP(N$5,'[1]Rate Design'!$A$8:$Y$20,17,0)-VLOOKUP(N5,'[1]Rate Design'!$A$8:$Y$20,11,0)</f>
        <v>2768492.2271609036</v>
      </c>
      <c r="O13" s="26">
        <f>VLOOKUP(O$5,'[1]Rate Design'!$A$8:$Y$20,17,0)-VLOOKUP(O5,'[1]Rate Design'!$A$8:$Y$20,11,0)</f>
        <v>3247392.5611219229</v>
      </c>
      <c r="P13" s="26">
        <f>VLOOKUP(P$5,'[1]Rate Design'!$A$8:$Y$20,17,0)-VLOOKUP(P5,'[1]Rate Design'!$A$8:$Y$20,11,0)</f>
        <v>5504368.7853548666</v>
      </c>
      <c r="Q13" s="27">
        <f>VLOOKUP(Q$5,'[1]Rate Design'!$A$8:$Y$20,17,0)-VLOOKUP(Q5,'[1]Rate Design'!$A$8:$Y$20,11,0)</f>
        <v>58277862.650420837</v>
      </c>
    </row>
    <row r="14" spans="2:25" s="1" customFormat="1" x14ac:dyDescent="0.2">
      <c r="B14" s="12" t="s">
        <v>28</v>
      </c>
      <c r="C14" s="1" t="s">
        <v>19</v>
      </c>
      <c r="D14" s="25">
        <f t="shared" si="0"/>
        <v>976815520.10950172</v>
      </c>
      <c r="E14" s="26">
        <f>VLOOKUP(E$5,'[1]Rate Design'!$T$8:$Y$20,3,0)</f>
        <v>100686772.53863905</v>
      </c>
      <c r="F14" s="26">
        <f>VLOOKUP(F$5,'[1]Rate Design'!$T$8:$Y$20,3,0)</f>
        <v>268299556.84138036</v>
      </c>
      <c r="G14" s="26">
        <f>VLOOKUP(G$5,'[1]Rate Design'!$T$8:$Y$20,3,0)</f>
        <v>451765308.29232681</v>
      </c>
      <c r="H14" s="26">
        <f>VLOOKUP(H$5,'[1]Rate Design'!$T$8:$Y$20,3,0)</f>
        <v>89852371.488257661</v>
      </c>
      <c r="I14" s="26">
        <f>VLOOKUP(I$5,'[1]Rate Design'!$T$8:$Y$20,3,0)</f>
        <v>33835019.297639042</v>
      </c>
      <c r="J14" s="26">
        <f>VLOOKUP(J$5,'[1]Rate Design'!$T$8:$Y$20,3,0)</f>
        <v>6922569.4645754723</v>
      </c>
      <c r="K14" s="26">
        <f>VLOOKUP(K$5,'[1]Rate Design'!$T$8:$Y$20,3,0)</f>
        <v>5556285.6337557416</v>
      </c>
      <c r="L14" s="26">
        <f>VLOOKUP(L$5,'[1]Rate Design'!$T$8:$Y$20,3,0)</f>
        <v>2095317.2865203903</v>
      </c>
      <c r="M14" s="26">
        <f>VLOOKUP(M$5,'[1]Rate Design'!$T$8:$Y$20,3,0)</f>
        <v>232987.81675593369</v>
      </c>
      <c r="N14" s="26">
        <f>VLOOKUP(N$5,'[1]Rate Design'!$T$8:$Y$20,3,0)</f>
        <v>749677.20352147287</v>
      </c>
      <c r="O14" s="26">
        <f>VLOOKUP(O$5,'[1]Rate Design'!$T$8:$Y$20,3,0)</f>
        <v>2503026.668851024</v>
      </c>
      <c r="P14" s="26">
        <f>VLOOKUP(P$5,'[1]Rate Design'!$T$8:$Y$20,3,0)</f>
        <v>3412708.6469200179</v>
      </c>
      <c r="Q14" s="27">
        <f>VLOOKUP(Q$5,'[1]Rate Design'!$T$8:$Y$20,3,0)</f>
        <v>10903918.930358833</v>
      </c>
    </row>
    <row r="15" spans="2:25" s="1" customFormat="1" x14ac:dyDescent="0.2">
      <c r="B15" s="12" t="s">
        <v>29</v>
      </c>
      <c r="C15" s="1" t="s">
        <v>19</v>
      </c>
      <c r="D15" s="25">
        <f t="shared" si="0"/>
        <v>563796516.2083267</v>
      </c>
      <c r="E15" s="26">
        <f>VLOOKUP(E$5,'[1]Rate Design'!$T$8:$Y$20,4,0)</f>
        <v>0</v>
      </c>
      <c r="F15" s="26">
        <f>VLOOKUP(F$5,'[1]Rate Design'!$T$8:$Y$20,4,0)</f>
        <v>64397958.385642827</v>
      </c>
      <c r="G15" s="26">
        <f>VLOOKUP(G$5,'[1]Rate Design'!$T$8:$Y$20,4,0)</f>
        <v>94389041.648545519</v>
      </c>
      <c r="H15" s="26">
        <f>VLOOKUP(H$5,'[1]Rate Design'!$T$8:$Y$20,4,0)</f>
        <v>24303849.073876057</v>
      </c>
      <c r="I15" s="26">
        <f>VLOOKUP(I$5,'[1]Rate Design'!$T$8:$Y$20,4,0)</f>
        <v>133572199.15739749</v>
      </c>
      <c r="J15" s="26">
        <f>VLOOKUP(J$5,'[1]Rate Design'!$T$8:$Y$20,4,0)</f>
        <v>139503199.23760831</v>
      </c>
      <c r="K15" s="26">
        <f>VLOOKUP(K$5,'[1]Rate Design'!$T$8:$Y$20,4,0)</f>
        <v>17877153.108636733</v>
      </c>
      <c r="L15" s="26">
        <f>VLOOKUP(L$5,'[1]Rate Design'!$T$8:$Y$20,4,0)</f>
        <v>26907750.592367809</v>
      </c>
      <c r="M15" s="26">
        <f>VLOOKUP(M$5,'[1]Rate Design'!$T$8:$Y$20,4,0)</f>
        <v>10616580.229844751</v>
      </c>
      <c r="N15" s="26">
        <f>VLOOKUP(N$5,'[1]Rate Design'!$T$8:$Y$20,4,0)</f>
        <v>2018815.0236394303</v>
      </c>
      <c r="O15" s="26">
        <f>VLOOKUP(O$5,'[1]Rate Design'!$T$8:$Y$20,4,0)</f>
        <v>744365.89227089914</v>
      </c>
      <c r="P15" s="26">
        <f>VLOOKUP(P$5,'[1]Rate Design'!$T$8:$Y$20,4,0)</f>
        <v>2091660.138434849</v>
      </c>
      <c r="Q15" s="27">
        <f>VLOOKUP(Q$5,'[1]Rate Design'!$T$8:$Y$20,4,0)</f>
        <v>47373943.720062003</v>
      </c>
    </row>
    <row r="16" spans="2:25" s="1" customFormat="1" ht="13.5" thickBot="1" x14ac:dyDescent="0.25">
      <c r="B16" s="28" t="s">
        <v>30</v>
      </c>
      <c r="C16" s="29" t="s">
        <v>31</v>
      </c>
      <c r="D16" s="30">
        <f>SUM(E16:Q16)</f>
        <v>33282948.538782503</v>
      </c>
      <c r="E16" s="31">
        <f>VLOOKUP(E5,'[2]1595 Allocator'!$B$23:$G$36,5,FALSE)</f>
        <v>3018693.7770203752</v>
      </c>
      <c r="F16" s="31">
        <f>VLOOKUP(F5,'[2]1595 Allocator'!$B$23:$G$36,5,FALSE)</f>
        <v>9662541.0955470856</v>
      </c>
      <c r="G16" s="31">
        <f>VLOOKUP(G5,'[2]1595 Allocator'!$B$23:$G$36,5,FALSE)</f>
        <v>14434530.340382626</v>
      </c>
      <c r="H16" s="31">
        <f>VLOOKUP(H5,'[2]1595 Allocator'!$B$23:$G$36,5,FALSE)</f>
        <v>5351018.4696371676</v>
      </c>
      <c r="I16" s="31">
        <f>VLOOKUP(I5,'[2]1595 Allocator'!$B$23:$G$36,5,FALSE)</f>
        <v>2640030.6142797545</v>
      </c>
      <c r="J16" s="31">
        <f>VLOOKUP(J5,'[2]1595 Allocator'!$B$23:$G$36,5,FALSE)</f>
        <v>-5485350.0347541925</v>
      </c>
      <c r="K16" s="31">
        <f>VLOOKUP(K5,'[2]1595 Allocator'!$B$23:$G$36,5,FALSE)</f>
        <v>-280649.28768642782</v>
      </c>
      <c r="L16" s="31">
        <f>VLOOKUP(L5,'[2]1595 Allocator'!$B$23:$G$36,5,FALSE)</f>
        <v>-3527557.0225480995</v>
      </c>
      <c r="M16" s="31">
        <f>VLOOKUP(M5,'[2]1595 Allocator'!$B$23:$G$36,5,FALSE)</f>
        <v>251550.6625034498</v>
      </c>
      <c r="N16" s="31">
        <f>VLOOKUP(N5,'[2]1595 Allocator'!$B$23:$G$36,5,FALSE)</f>
        <v>112417.73709307121</v>
      </c>
      <c r="O16" s="31">
        <f>VLOOKUP(O5,'[2]1595 Allocator'!$B$23:$G$36,5,FALSE)</f>
        <v>-73435.181789496084</v>
      </c>
      <c r="P16" s="31">
        <f>VLOOKUP(P5,'[2]1595 Allocator'!$B$23:$G$36,5,FALSE)</f>
        <v>87374.015898987243</v>
      </c>
      <c r="Q16" s="32">
        <f>VLOOKUP(Q5,'[2]1595 Allocator'!$B$23:$G$36,5,FALSE)</f>
        <v>7091783.353198193</v>
      </c>
    </row>
    <row r="17" spans="2:25" s="1" customFormat="1" ht="13.5" thickBot="1" x14ac:dyDescent="0.25"/>
    <row r="18" spans="2:25" s="1" customFormat="1" x14ac:dyDescent="0.2">
      <c r="B18" s="4" t="s">
        <v>2</v>
      </c>
      <c r="C18" s="5" t="s">
        <v>3</v>
      </c>
      <c r="D18" s="5" t="s">
        <v>4</v>
      </c>
      <c r="E18" s="5" t="s">
        <v>5</v>
      </c>
      <c r="F18" s="5" t="s">
        <v>6</v>
      </c>
      <c r="G18" s="5" t="s">
        <v>7</v>
      </c>
      <c r="H18" s="5" t="s">
        <v>8</v>
      </c>
      <c r="I18" s="5" t="s">
        <v>9</v>
      </c>
      <c r="J18" s="5" t="s">
        <v>10</v>
      </c>
      <c r="K18" s="5" t="s">
        <v>11</v>
      </c>
      <c r="L18" s="5" t="s">
        <v>12</v>
      </c>
      <c r="M18" s="5" t="s">
        <v>13</v>
      </c>
      <c r="N18" s="5" t="s">
        <v>14</v>
      </c>
      <c r="O18" s="5" t="s">
        <v>15</v>
      </c>
      <c r="P18" s="5" t="s">
        <v>16</v>
      </c>
      <c r="Q18" s="6" t="s">
        <v>17</v>
      </c>
    </row>
    <row r="19" spans="2:25" s="7" customFormat="1" hidden="1" x14ac:dyDescent="0.2">
      <c r="B19" s="8" t="s">
        <v>18</v>
      </c>
      <c r="C19" s="7" t="s">
        <v>19</v>
      </c>
      <c r="D19" s="22">
        <f t="shared" ref="D19:D26" si="2">SUM(E19:Q19)</f>
        <v>0.99999999999999978</v>
      </c>
      <c r="E19" s="33">
        <f t="shared" ref="E19:Q19" si="3">E6/$D6</f>
        <v>0.17754374142793233</v>
      </c>
      <c r="F19" s="33">
        <f t="shared" si="3"/>
        <v>0.34650511415428065</v>
      </c>
      <c r="G19" s="33">
        <f t="shared" si="3"/>
        <v>0.25178703842834749</v>
      </c>
      <c r="H19" s="33">
        <f t="shared" si="3"/>
        <v>0.11219721863836975</v>
      </c>
      <c r="I19" s="33">
        <f t="shared" si="3"/>
        <v>6.5982899229758835E-2</v>
      </c>
      <c r="J19" s="33">
        <f t="shared" si="3"/>
        <v>4.0489109084441109E-3</v>
      </c>
      <c r="K19" s="33">
        <f t="shared" si="3"/>
        <v>1.3751632641218862E-2</v>
      </c>
      <c r="L19" s="33">
        <f t="shared" si="3"/>
        <v>1.3244011510732615E-3</v>
      </c>
      <c r="M19" s="33">
        <f t="shared" si="3"/>
        <v>4.2107148264887645E-3</v>
      </c>
      <c r="N19" s="33">
        <f t="shared" si="3"/>
        <v>1.6709412821260899E-2</v>
      </c>
      <c r="O19" s="33">
        <f t="shared" si="3"/>
        <v>4.2179931216813427E-3</v>
      </c>
      <c r="P19" s="33">
        <f t="shared" si="3"/>
        <v>1.1053241112065945E-3</v>
      </c>
      <c r="Q19" s="34">
        <f t="shared" si="3"/>
        <v>6.1559853993709967E-4</v>
      </c>
    </row>
    <row r="20" spans="2:25" s="1" customFormat="1" x14ac:dyDescent="0.2">
      <c r="B20" s="12" t="s">
        <v>20</v>
      </c>
      <c r="C20" s="1" t="s">
        <v>19</v>
      </c>
      <c r="D20" s="35">
        <f>SUM(E20:Q20)</f>
        <v>1</v>
      </c>
      <c r="E20" s="36">
        <f t="shared" ref="E20:I26" si="4">E7/$D7</f>
        <v>0.18345699242301966</v>
      </c>
      <c r="F20" s="36">
        <f t="shared" si="4"/>
        <v>0.35804577278069216</v>
      </c>
      <c r="G20" s="36">
        <f t="shared" si="4"/>
        <v>0.2601730279516159</v>
      </c>
      <c r="H20" s="36">
        <f t="shared" si="4"/>
        <v>0.11593404602199607</v>
      </c>
      <c r="I20" s="36">
        <f t="shared" si="4"/>
        <v>6.8180517920178832E-2</v>
      </c>
      <c r="J20" s="37"/>
      <c r="K20" s="36">
        <f t="shared" ref="K20:K26" si="5">K7/$D7</f>
        <v>1.4209642902497323E-2</v>
      </c>
      <c r="L20" s="37"/>
      <c r="M20" s="37"/>
      <c r="N20" s="37"/>
      <c r="O20" s="37"/>
      <c r="P20" s="37"/>
      <c r="Q20" s="38"/>
    </row>
    <row r="21" spans="2:25" s="1" customFormat="1" x14ac:dyDescent="0.2">
      <c r="B21" s="12" t="s">
        <v>21</v>
      </c>
      <c r="C21" s="1" t="s">
        <v>19</v>
      </c>
      <c r="D21" s="35">
        <f t="shared" si="2"/>
        <v>0.99999999999999978</v>
      </c>
      <c r="E21" s="36">
        <f t="shared" si="4"/>
        <v>5.886163984953291E-2</v>
      </c>
      <c r="F21" s="36">
        <f t="shared" si="4"/>
        <v>0.14068961997204471</v>
      </c>
      <c r="G21" s="36">
        <f t="shared" si="4"/>
        <v>0.12818734639993859</v>
      </c>
      <c r="H21" s="36">
        <f t="shared" si="4"/>
        <v>1.7029956296859224E-2</v>
      </c>
      <c r="I21" s="36">
        <f t="shared" si="4"/>
        <v>6.4262647156917721E-2</v>
      </c>
      <c r="J21" s="36">
        <f t="shared" ref="J21:J26" si="6">J8/$D8</f>
        <v>7.3346577949057606E-2</v>
      </c>
      <c r="K21" s="36">
        <f t="shared" si="5"/>
        <v>1.8056837555596259E-2</v>
      </c>
      <c r="L21" s="36">
        <f t="shared" ref="L21:Q26" si="7">L8/$D8</f>
        <v>3.1094241050984253E-2</v>
      </c>
      <c r="M21" s="36">
        <f t="shared" si="7"/>
        <v>3.0590878012087797E-3</v>
      </c>
      <c r="N21" s="36">
        <f t="shared" si="7"/>
        <v>4.0351486858112521E-4</v>
      </c>
      <c r="O21" s="36">
        <f t="shared" si="7"/>
        <v>9.1425041281643308E-4</v>
      </c>
      <c r="P21" s="36">
        <f t="shared" si="7"/>
        <v>9.0857437095074082E-4</v>
      </c>
      <c r="Q21" s="39">
        <f t="shared" si="7"/>
        <v>0.46318570631551148</v>
      </c>
      <c r="R21" s="40"/>
      <c r="S21" s="40"/>
      <c r="T21" s="40"/>
      <c r="U21" s="40"/>
      <c r="V21" s="40"/>
      <c r="W21" s="40"/>
      <c r="X21" s="40"/>
      <c r="Y21" s="40"/>
    </row>
    <row r="22" spans="2:25" s="1" customFormat="1" x14ac:dyDescent="0.2">
      <c r="B22" s="12" t="s">
        <v>22</v>
      </c>
      <c r="C22" s="1" t="s">
        <v>19</v>
      </c>
      <c r="D22" s="35">
        <f t="shared" si="2"/>
        <v>0.99999999999999978</v>
      </c>
      <c r="E22" s="36">
        <f t="shared" si="4"/>
        <v>8.5204295819913428E-2</v>
      </c>
      <c r="F22" s="36">
        <f t="shared" si="4"/>
        <v>0.20365317768129459</v>
      </c>
      <c r="G22" s="36">
        <f t="shared" si="4"/>
        <v>0.18555569656146359</v>
      </c>
      <c r="H22" s="36">
        <f t="shared" si="4"/>
        <v>2.4651461254341953E-2</v>
      </c>
      <c r="I22" s="36">
        <f t="shared" si="4"/>
        <v>9.302244403189501E-2</v>
      </c>
      <c r="J22" s="36">
        <f t="shared" si="6"/>
        <v>0.10617175363998009</v>
      </c>
      <c r="K22" s="36">
        <f t="shared" si="5"/>
        <v>2.6137908026212676E-2</v>
      </c>
      <c r="L22" s="36">
        <f t="shared" si="7"/>
        <v>4.5010008548458436E-2</v>
      </c>
      <c r="M22" s="36">
        <f t="shared" si="7"/>
        <v>4.4281372829498176E-3</v>
      </c>
      <c r="N22" s="36">
        <f t="shared" si="7"/>
        <v>5.8410197742040152E-4</v>
      </c>
      <c r="O22" s="36">
        <f t="shared" si="7"/>
        <v>1.3234096573968876E-3</v>
      </c>
      <c r="P22" s="36">
        <f t="shared" si="7"/>
        <v>1.3151933869795676E-3</v>
      </c>
      <c r="Q22" s="39">
        <f t="shared" si="7"/>
        <v>0.22294241213169333</v>
      </c>
      <c r="R22" s="40"/>
      <c r="S22" s="40"/>
      <c r="T22" s="40"/>
      <c r="U22" s="40"/>
      <c r="V22" s="40"/>
      <c r="W22" s="40"/>
      <c r="X22" s="40"/>
      <c r="Y22" s="40"/>
    </row>
    <row r="23" spans="2:25" s="1" customFormat="1" x14ac:dyDescent="0.2">
      <c r="B23" s="20" t="s">
        <v>23</v>
      </c>
      <c r="C23" s="1" t="s">
        <v>19</v>
      </c>
      <c r="D23" s="35">
        <f t="shared" si="2"/>
        <v>0.99999999999999978</v>
      </c>
      <c r="E23" s="36">
        <f t="shared" si="4"/>
        <v>2.2693319706404223E-2</v>
      </c>
      <c r="F23" s="36">
        <f t="shared" si="4"/>
        <v>4.0711860808682866E-2</v>
      </c>
      <c r="G23" s="36">
        <f t="shared" si="4"/>
        <v>4.7868789147471447E-2</v>
      </c>
      <c r="H23" s="36">
        <f t="shared" si="4"/>
        <v>1.2361974849379746E-3</v>
      </c>
      <c r="I23" s="36">
        <f t="shared" si="4"/>
        <v>7.214112785743855E-2</v>
      </c>
      <c r="J23" s="36">
        <f t="shared" si="6"/>
        <v>0.33322452308846473</v>
      </c>
      <c r="K23" s="36">
        <f t="shared" si="5"/>
        <v>2.1845547468435818E-2</v>
      </c>
      <c r="L23" s="36">
        <f t="shared" si="7"/>
        <v>8.6619898371243745E-2</v>
      </c>
      <c r="M23" s="36">
        <f t="shared" si="7"/>
        <v>9.0005912965590816E-3</v>
      </c>
      <c r="N23" s="36">
        <f t="shared" si="7"/>
        <v>2.1199267264208495E-4</v>
      </c>
      <c r="O23" s="36">
        <f t="shared" si="7"/>
        <v>3.2088286958133021E-4</v>
      </c>
      <c r="P23" s="36">
        <f t="shared" si="7"/>
        <v>5.1608770546266855E-3</v>
      </c>
      <c r="Q23" s="39">
        <f t="shared" si="7"/>
        <v>0.35896439217351145</v>
      </c>
      <c r="R23" s="41"/>
      <c r="S23" s="41"/>
      <c r="T23" s="41"/>
      <c r="U23" s="41"/>
      <c r="V23" s="41"/>
      <c r="W23" s="41"/>
      <c r="X23" s="41"/>
      <c r="Y23" s="41"/>
    </row>
    <row r="24" spans="2:25" s="7" customFormat="1" ht="12.95" hidden="1" customHeight="1" x14ac:dyDescent="0.2">
      <c r="B24" s="8" t="s">
        <v>24</v>
      </c>
      <c r="C24" s="21" t="s">
        <v>25</v>
      </c>
      <c r="D24" s="22">
        <f t="shared" si="2"/>
        <v>1</v>
      </c>
      <c r="E24" s="33">
        <f t="shared" si="4"/>
        <v>7.4652419015615201E-2</v>
      </c>
      <c r="F24" s="33">
        <f t="shared" si="4"/>
        <v>0.22132022180860567</v>
      </c>
      <c r="G24" s="33">
        <f t="shared" si="4"/>
        <v>0.36953525249808722</v>
      </c>
      <c r="H24" s="33">
        <f t="shared" si="4"/>
        <v>7.1842630413917988E-2</v>
      </c>
      <c r="I24" s="33">
        <f t="shared" si="4"/>
        <v>0.10899821971233763</v>
      </c>
      <c r="J24" s="33">
        <f t="shared" si="6"/>
        <v>7.4790344318598184E-2</v>
      </c>
      <c r="K24" s="33">
        <f t="shared" si="5"/>
        <v>1.5062502805561113E-2</v>
      </c>
      <c r="L24" s="33">
        <f t="shared" si="7"/>
        <v>1.4934031743976978E-2</v>
      </c>
      <c r="M24" s="33">
        <f t="shared" si="7"/>
        <v>8.6758789166091737E-3</v>
      </c>
      <c r="N24" s="33">
        <f t="shared" si="7"/>
        <v>3.5846803246935874E-3</v>
      </c>
      <c r="O24" s="33">
        <f t="shared" si="7"/>
        <v>2.5571935169853861E-3</v>
      </c>
      <c r="P24" s="33">
        <f t="shared" si="7"/>
        <v>3.0621765566434369E-3</v>
      </c>
      <c r="Q24" s="34">
        <f t="shared" si="7"/>
        <v>3.0984448368368431E-2</v>
      </c>
    </row>
    <row r="25" spans="2:25" s="7" customFormat="1" ht="12.95" hidden="1" customHeight="1" x14ac:dyDescent="0.2">
      <c r="B25" s="8" t="s">
        <v>26</v>
      </c>
      <c r="C25" s="21" t="s">
        <v>25</v>
      </c>
      <c r="D25" s="22">
        <f t="shared" si="2"/>
        <v>1</v>
      </c>
      <c r="E25" s="33">
        <f t="shared" si="4"/>
        <v>4.9015009576554393E-2</v>
      </c>
      <c r="F25" s="33">
        <f t="shared" si="4"/>
        <v>0.17975075812461427</v>
      </c>
      <c r="G25" s="33">
        <f t="shared" si="4"/>
        <v>0.36946251890968262</v>
      </c>
      <c r="H25" s="33">
        <f t="shared" si="4"/>
        <v>6.6565719291392725E-2</v>
      </c>
      <c r="I25" s="33">
        <f t="shared" si="4"/>
        <v>0.11962036154307645</v>
      </c>
      <c r="J25" s="33">
        <f t="shared" si="6"/>
        <v>0.12361882896455299</v>
      </c>
      <c r="K25" s="33">
        <f t="shared" si="5"/>
        <v>1.5658646462242621E-2</v>
      </c>
      <c r="L25" s="33">
        <f t="shared" si="7"/>
        <v>2.391226829170191E-2</v>
      </c>
      <c r="M25" s="33">
        <f t="shared" si="7"/>
        <v>7.2459225574016883E-3</v>
      </c>
      <c r="N25" s="33">
        <f t="shared" si="7"/>
        <v>2.942642392959929E-3</v>
      </c>
      <c r="O25" s="33">
        <f t="shared" si="7"/>
        <v>1.6200078086814112E-3</v>
      </c>
      <c r="P25" s="33">
        <f t="shared" si="7"/>
        <v>1.0625055560570379E-3</v>
      </c>
      <c r="Q25" s="34">
        <f t="shared" si="7"/>
        <v>3.9524810521082081E-2</v>
      </c>
    </row>
    <row r="26" spans="2:25" s="1" customFormat="1" x14ac:dyDescent="0.2">
      <c r="B26" s="12" t="s">
        <v>27</v>
      </c>
      <c r="C26" s="1" t="s">
        <v>19</v>
      </c>
      <c r="D26" s="35">
        <f t="shared" si="2"/>
        <v>1.0000000000000002</v>
      </c>
      <c r="E26" s="36">
        <f t="shared" si="4"/>
        <v>6.5355047322158771E-2</v>
      </c>
      <c r="F26" s="36">
        <f t="shared" si="4"/>
        <v>0.21595152276117077</v>
      </c>
      <c r="G26" s="36">
        <f t="shared" si="4"/>
        <v>0.35450479229424936</v>
      </c>
      <c r="H26" s="36">
        <f t="shared" si="4"/>
        <v>7.4097967477246979E-2</v>
      </c>
      <c r="I26" s="36">
        <f t="shared" si="4"/>
        <v>0.1086628005679818</v>
      </c>
      <c r="J26" s="36">
        <f t="shared" si="6"/>
        <v>9.5043895056247718E-2</v>
      </c>
      <c r="K26" s="36">
        <f t="shared" si="5"/>
        <v>1.5210473623456847E-2</v>
      </c>
      <c r="L26" s="36">
        <f t="shared" si="7"/>
        <v>1.8825679142561797E-2</v>
      </c>
      <c r="M26" s="36">
        <f t="shared" si="7"/>
        <v>7.0423752319447785E-3</v>
      </c>
      <c r="N26" s="36">
        <f t="shared" si="7"/>
        <v>1.7970080473847236E-3</v>
      </c>
      <c r="O26" s="36">
        <f t="shared" si="7"/>
        <v>2.1078587500091331E-3</v>
      </c>
      <c r="P26" s="36">
        <f t="shared" si="7"/>
        <v>3.5728455026943036E-3</v>
      </c>
      <c r="Q26" s="39">
        <f t="shared" si="7"/>
        <v>3.7827734222893032E-2</v>
      </c>
    </row>
    <row r="27" spans="2:25" s="1" customFormat="1" x14ac:dyDescent="0.2">
      <c r="B27" s="12" t="s">
        <v>28</v>
      </c>
      <c r="C27" s="1" t="s">
        <v>19</v>
      </c>
      <c r="D27" s="35">
        <f t="shared" ref="D27:Q27" si="8">D14/SUM(D$14:D$15)</f>
        <v>0.63404380667060078</v>
      </c>
      <c r="E27" s="42">
        <f t="shared" si="8"/>
        <v>1</v>
      </c>
      <c r="F27" s="42">
        <f t="shared" si="8"/>
        <v>0.80643691209506174</v>
      </c>
      <c r="G27" s="42">
        <f t="shared" si="8"/>
        <v>0.82717515358293081</v>
      </c>
      <c r="H27" s="42">
        <f t="shared" si="8"/>
        <v>0.78710009008534243</v>
      </c>
      <c r="I27" s="42">
        <f t="shared" si="8"/>
        <v>0.2021120690606702</v>
      </c>
      <c r="J27" s="42">
        <f t="shared" si="8"/>
        <v>4.7276989056860112E-2</v>
      </c>
      <c r="K27" s="42">
        <f t="shared" si="8"/>
        <v>0.23710927341210461</v>
      </c>
      <c r="L27" s="42">
        <f t="shared" si="8"/>
        <v>7.224467753790989E-2</v>
      </c>
      <c r="M27" s="42">
        <f t="shared" si="8"/>
        <v>2.1474386423055054E-2</v>
      </c>
      <c r="N27" s="42">
        <f t="shared" si="8"/>
        <v>0.2707889862093884</v>
      </c>
      <c r="O27" s="42">
        <f t="shared" si="8"/>
        <v>0.77078044053481098</v>
      </c>
      <c r="P27" s="42">
        <f t="shared" si="8"/>
        <v>0.62000000000000011</v>
      </c>
      <c r="Q27" s="43">
        <f t="shared" si="8"/>
        <v>0.18710224490842911</v>
      </c>
    </row>
    <row r="28" spans="2:25" s="1" customFormat="1" x14ac:dyDescent="0.2">
      <c r="B28" s="12" t="s">
        <v>29</v>
      </c>
      <c r="C28" s="1" t="s">
        <v>19</v>
      </c>
      <c r="D28" s="35">
        <f t="shared" ref="D28:Q28" si="9">D15/SUM(D$14:D$15)</f>
        <v>0.36595619332939927</v>
      </c>
      <c r="E28" s="42">
        <f t="shared" si="9"/>
        <v>0</v>
      </c>
      <c r="F28" s="42">
        <f t="shared" si="9"/>
        <v>0.19356308790493826</v>
      </c>
      <c r="G28" s="42">
        <f t="shared" si="9"/>
        <v>0.17282484641706919</v>
      </c>
      <c r="H28" s="42">
        <f t="shared" si="9"/>
        <v>0.21289990991465765</v>
      </c>
      <c r="I28" s="42">
        <f t="shared" si="9"/>
        <v>0.79788793093932986</v>
      </c>
      <c r="J28" s="42">
        <f t="shared" si="9"/>
        <v>0.95272301094313994</v>
      </c>
      <c r="K28" s="42">
        <f t="shared" si="9"/>
        <v>0.76289072658789547</v>
      </c>
      <c r="L28" s="42">
        <f t="shared" si="9"/>
        <v>0.92775532246209003</v>
      </c>
      <c r="M28" s="42">
        <f t="shared" si="9"/>
        <v>0.9785256135769449</v>
      </c>
      <c r="N28" s="42">
        <f t="shared" si="9"/>
        <v>0.7292110137906116</v>
      </c>
      <c r="O28" s="42">
        <f t="shared" si="9"/>
        <v>0.22921955946518904</v>
      </c>
      <c r="P28" s="42">
        <f t="shared" si="9"/>
        <v>0.37999999999999995</v>
      </c>
      <c r="Q28" s="43">
        <f t="shared" si="9"/>
        <v>0.81289775509157092</v>
      </c>
    </row>
    <row r="29" spans="2:25" s="1" customFormat="1" ht="13.5" thickBot="1" x14ac:dyDescent="0.25">
      <c r="B29" s="28" t="s">
        <v>30</v>
      </c>
      <c r="C29" s="29" t="s">
        <v>31</v>
      </c>
      <c r="D29" s="44">
        <f>SUM(E29:Q29)</f>
        <v>0.99999999999999967</v>
      </c>
      <c r="E29" s="45">
        <f t="shared" ref="E29:Q29" si="10">E16/$D16</f>
        <v>9.0697907173184586E-2</v>
      </c>
      <c r="F29" s="45">
        <f t="shared" si="10"/>
        <v>0.29031505680117076</v>
      </c>
      <c r="G29" s="45">
        <f t="shared" si="10"/>
        <v>0.43369145385550761</v>
      </c>
      <c r="H29" s="45">
        <f t="shared" si="10"/>
        <v>0.16077357038851189</v>
      </c>
      <c r="I29" s="45">
        <f t="shared" si="10"/>
        <v>7.9320815317894533E-2</v>
      </c>
      <c r="J29" s="45">
        <f t="shared" si="10"/>
        <v>-0.16480961800492114</v>
      </c>
      <c r="K29" s="45">
        <f t="shared" si="10"/>
        <v>-8.4322243072726885E-3</v>
      </c>
      <c r="L29" s="45">
        <f t="shared" si="10"/>
        <v>-0.10598691454387407</v>
      </c>
      <c r="M29" s="46">
        <f t="shared" si="10"/>
        <v>7.5579440388321905E-3</v>
      </c>
      <c r="N29" s="46">
        <f t="shared" si="10"/>
        <v>3.3776375600280116E-3</v>
      </c>
      <c r="O29" s="46">
        <f t="shared" si="10"/>
        <v>-2.2063905096607272E-3</v>
      </c>
      <c r="P29" s="46">
        <f t="shared" si="10"/>
        <v>2.6251885645641E-3</v>
      </c>
      <c r="Q29" s="47">
        <f t="shared" si="10"/>
        <v>0.21307557366603469</v>
      </c>
    </row>
    <row r="30" spans="2:25" s="1" customFormat="1" ht="13.5" thickBot="1" x14ac:dyDescent="0.25">
      <c r="D30" s="35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9"/>
    </row>
    <row r="31" spans="2:25" s="1" customFormat="1" x14ac:dyDescent="0.2">
      <c r="B31" s="50" t="s">
        <v>32</v>
      </c>
      <c r="C31" s="51"/>
      <c r="D31" s="52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3"/>
    </row>
    <row r="32" spans="2:25" s="1" customFormat="1" ht="51" x14ac:dyDescent="0.2">
      <c r="B32" s="12" t="s">
        <v>33</v>
      </c>
      <c r="C32" s="54" t="s">
        <v>34</v>
      </c>
      <c r="D32" s="55" t="s">
        <v>35</v>
      </c>
      <c r="E32" s="54" t="s">
        <v>5</v>
      </c>
      <c r="F32" s="54" t="s">
        <v>6</v>
      </c>
      <c r="G32" s="54" t="s">
        <v>7</v>
      </c>
      <c r="H32" s="54" t="s">
        <v>8</v>
      </c>
      <c r="I32" s="54" t="s">
        <v>9</v>
      </c>
      <c r="J32" s="54" t="s">
        <v>10</v>
      </c>
      <c r="K32" s="54" t="s">
        <v>11</v>
      </c>
      <c r="L32" s="54" t="s">
        <v>12</v>
      </c>
      <c r="M32" s="54" t="s">
        <v>13</v>
      </c>
      <c r="N32" s="54" t="s">
        <v>14</v>
      </c>
      <c r="O32" s="54" t="s">
        <v>15</v>
      </c>
      <c r="P32" s="54" t="s">
        <v>16</v>
      </c>
      <c r="Q32" s="56" t="s">
        <v>17</v>
      </c>
    </row>
    <row r="33" spans="2:25" s="1" customFormat="1" ht="25.5" x14ac:dyDescent="0.2">
      <c r="B33" s="152" t="s">
        <v>109</v>
      </c>
      <c r="C33" s="1" t="s">
        <v>22</v>
      </c>
      <c r="D33" s="57">
        <f>SUM([4]Sheet1!$F$6:$F$7)</f>
        <v>-65712460.667993493</v>
      </c>
      <c r="E33" s="58">
        <f t="shared" ref="E33:Q37" si="11">$D33*VLOOKUP($C33,$B$18:$Q$28,MATCH(E$32,$B$18:$Q$18,0),FALSE)</f>
        <v>-5598983.9378101435</v>
      </c>
      <c r="F33" s="58">
        <f t="shared" si="11"/>
        <v>-13382551.428293962</v>
      </c>
      <c r="G33" s="58">
        <f t="shared" si="11"/>
        <v>-12193321.412017312</v>
      </c>
      <c r="H33" s="58">
        <f t="shared" si="11"/>
        <v>-1619908.1780845111</v>
      </c>
      <c r="I33" s="58">
        <f t="shared" si="11"/>
        <v>-6112733.6946865274</v>
      </c>
      <c r="J33" s="58">
        <f t="shared" si="11"/>
        <v>-6976807.1851190869</v>
      </c>
      <c r="K33" s="58">
        <f t="shared" si="11"/>
        <v>-1717586.253116132</v>
      </c>
      <c r="L33" s="58">
        <f t="shared" si="11"/>
        <v>-2957718.4164066259</v>
      </c>
      <c r="M33" s="58">
        <f t="shared" si="11"/>
        <v>-290983.79703831545</v>
      </c>
      <c r="N33" s="58">
        <f t="shared" si="11"/>
        <v>-38382.778217335355</v>
      </c>
      <c r="O33" s="58">
        <f t="shared" si="11"/>
        <v>-86964.505059335715</v>
      </c>
      <c r="P33" s="58">
        <f t="shared" si="11"/>
        <v>-86424.593712699978</v>
      </c>
      <c r="Q33" s="59">
        <f t="shared" si="11"/>
        <v>-14650094.488431493</v>
      </c>
      <c r="R33" s="60"/>
      <c r="S33" s="61"/>
    </row>
    <row r="34" spans="2:25" s="1" customFormat="1" x14ac:dyDescent="0.2">
      <c r="B34" s="12" t="s">
        <v>37</v>
      </c>
      <c r="C34" s="1" t="s">
        <v>21</v>
      </c>
      <c r="D34" s="57">
        <f>IF(ISERROR(VLOOKUP(B34,[4]Sheet1!$A:$F,6,FALSE)),0,VLOOKUP(B34,[4]Sheet1!$A:$F,6,FALSE))</f>
        <v>-50231595.415016323</v>
      </c>
      <c r="E34" s="58">
        <f t="shared" si="11"/>
        <v>-2956714.0783861396</v>
      </c>
      <c r="F34" s="58">
        <f t="shared" si="11"/>
        <v>-7067064.0695281504</v>
      </c>
      <c r="G34" s="58">
        <f t="shared" si="11"/>
        <v>-6439054.9216862647</v>
      </c>
      <c r="H34" s="58">
        <f t="shared" si="11"/>
        <v>-855441.87463924219</v>
      </c>
      <c r="I34" s="58">
        <f t="shared" si="11"/>
        <v>-3228015.29228424</v>
      </c>
      <c r="J34" s="58">
        <f t="shared" si="11"/>
        <v>-3684315.6286130194</v>
      </c>
      <c r="K34" s="58">
        <f t="shared" si="11"/>
        <v>-907023.75856738363</v>
      </c>
      <c r="L34" s="58">
        <f t="shared" si="11"/>
        <v>-1561913.3362100329</v>
      </c>
      <c r="M34" s="58">
        <f t="shared" si="11"/>
        <v>-153662.86076933131</v>
      </c>
      <c r="N34" s="58">
        <f t="shared" si="11"/>
        <v>-20269.195622510564</v>
      </c>
      <c r="O34" s="58">
        <f t="shared" si="11"/>
        <v>-45924.256844606723</v>
      </c>
      <c r="P34" s="58">
        <f t="shared" si="11"/>
        <v>-45639.140206050572</v>
      </c>
      <c r="Q34" s="59">
        <f t="shared" si="11"/>
        <v>-23266557.001659345</v>
      </c>
      <c r="R34" s="60"/>
      <c r="S34" s="61"/>
    </row>
    <row r="35" spans="2:25" s="1" customFormat="1" x14ac:dyDescent="0.2">
      <c r="B35" s="12" t="s">
        <v>38</v>
      </c>
      <c r="C35" s="1" t="s">
        <v>21</v>
      </c>
      <c r="D35" s="57">
        <f>IF(ISERROR(VLOOKUP(B35,[4]Sheet1!$A:$F,6,FALSE)),0,VLOOKUP(B35,[4]Sheet1!$A:$F,6,FALSE))</f>
        <v>103433189.77569184</v>
      </c>
      <c r="E35" s="58">
        <f t="shared" si="11"/>
        <v>6088247.1650651628</v>
      </c>
      <c r="F35" s="58">
        <f t="shared" si="11"/>
        <v>14551976.162038464</v>
      </c>
      <c r="G35" s="58">
        <f t="shared" si="11"/>
        <v>13258826.127027197</v>
      </c>
      <c r="H35" s="58">
        <f t="shared" si="11"/>
        <v>1761462.7015247783</v>
      </c>
      <c r="I35" s="58">
        <f t="shared" si="11"/>
        <v>6646890.5788697945</v>
      </c>
      <c r="J35" s="58">
        <f t="shared" si="11"/>
        <v>7586470.5164024495</v>
      </c>
      <c r="K35" s="58">
        <f t="shared" si="11"/>
        <v>1867676.3056368274</v>
      </c>
      <c r="L35" s="58">
        <f t="shared" si="11"/>
        <v>3216176.535557562</v>
      </c>
      <c r="M35" s="58">
        <f t="shared" si="11"/>
        <v>316411.20908293157</v>
      </c>
      <c r="N35" s="58">
        <f t="shared" si="11"/>
        <v>41736.829979264876</v>
      </c>
      <c r="O35" s="58">
        <f t="shared" si="11"/>
        <v>94563.836451346724</v>
      </c>
      <c r="P35" s="58">
        <f t="shared" si="11"/>
        <v>93976.745335877815</v>
      </c>
      <c r="Q35" s="59">
        <f t="shared" si="11"/>
        <v>47908775.062720165</v>
      </c>
      <c r="R35" s="60"/>
      <c r="S35" s="61"/>
    </row>
    <row r="36" spans="2:25" s="1" customFormat="1" x14ac:dyDescent="0.2">
      <c r="B36" s="12" t="s">
        <v>39</v>
      </c>
      <c r="C36" s="1" t="s">
        <v>21</v>
      </c>
      <c r="D36" s="57">
        <f>IF(ISERROR(VLOOKUP(B36,[4]Sheet1!$A:$F,6,FALSE)),0,VLOOKUP(B36,[4]Sheet1!$A:$F,6,FALSE))</f>
        <v>8872484.7627340648</v>
      </c>
      <c r="E36" s="58">
        <f t="shared" si="11"/>
        <v>522249.00267452095</v>
      </c>
      <c r="F36" s="58">
        <f t="shared" si="11"/>
        <v>1248266.5094768128</v>
      </c>
      <c r="G36" s="58">
        <f t="shared" si="11"/>
        <v>1137340.2777087686</v>
      </c>
      <c r="H36" s="58">
        <f t="shared" si="11"/>
        <v>151098.02775391052</v>
      </c>
      <c r="I36" s="58">
        <f t="shared" si="11"/>
        <v>570169.35771270806</v>
      </c>
      <c r="J36" s="58">
        <f t="shared" si="11"/>
        <v>650766.39525169996</v>
      </c>
      <c r="K36" s="58">
        <f t="shared" si="11"/>
        <v>160209.01607519202</v>
      </c>
      <c r="L36" s="58">
        <f t="shared" si="11"/>
        <v>275883.17993363785</v>
      </c>
      <c r="M36" s="58">
        <f t="shared" si="11"/>
        <v>27141.709904090552</v>
      </c>
      <c r="N36" s="58">
        <f t="shared" si="11"/>
        <v>3580.1795230226721</v>
      </c>
      <c r="O36" s="58">
        <f t="shared" si="11"/>
        <v>8111.6728570371315</v>
      </c>
      <c r="P36" s="58">
        <f t="shared" si="11"/>
        <v>8061.3122620711356</v>
      </c>
      <c r="Q36" s="59">
        <f t="shared" si="11"/>
        <v>4109608.1216005911</v>
      </c>
      <c r="R36" s="60"/>
      <c r="S36" s="61"/>
    </row>
    <row r="37" spans="2:25" s="1" customFormat="1" ht="25.5" x14ac:dyDescent="0.2">
      <c r="B37" s="12" t="s">
        <v>40</v>
      </c>
      <c r="C37" s="62" t="s">
        <v>23</v>
      </c>
      <c r="D37" s="57">
        <f>'[5]Exhibit 4.1'!$C$11</f>
        <v>-23805267.761126556</v>
      </c>
      <c r="E37" s="58">
        <f t="shared" si="11"/>
        <v>-540220.55199980235</v>
      </c>
      <c r="F37" s="58">
        <f t="shared" si="11"/>
        <v>-969156.74760440993</v>
      </c>
      <c r="G37" s="58">
        <f t="shared" si="11"/>
        <v>-1139529.3430564667</v>
      </c>
      <c r="H37" s="58">
        <f t="shared" si="11"/>
        <v>-29428.012134579698</v>
      </c>
      <c r="I37" s="58">
        <f t="shared" si="11"/>
        <v>-1717338.8652359908</v>
      </c>
      <c r="J37" s="58">
        <f t="shared" si="11"/>
        <v>-7932498.9966946011</v>
      </c>
      <c r="K37" s="58">
        <f t="shared" si="11"/>
        <v>-520039.10687451501</v>
      </c>
      <c r="L37" s="58">
        <f t="shared" si="11"/>
        <v>-2062009.8741690274</v>
      </c>
      <c r="M37" s="58">
        <f t="shared" si="11"/>
        <v>-214261.48582305416</v>
      </c>
      <c r="N37" s="58">
        <f t="shared" si="11"/>
        <v>-5046.5423356416804</v>
      </c>
      <c r="O37" s="58">
        <f t="shared" si="11"/>
        <v>-7638.7026303422172</v>
      </c>
      <c r="P37" s="58">
        <f t="shared" si="11"/>
        <v>-122856.06016764241</v>
      </c>
      <c r="Q37" s="59">
        <f t="shared" si="11"/>
        <v>-8545243.4724004809</v>
      </c>
      <c r="R37" s="60"/>
      <c r="S37" s="61"/>
    </row>
    <row r="38" spans="2:25" s="1" customFormat="1" x14ac:dyDescent="0.2">
      <c r="B38" s="63" t="s">
        <v>41</v>
      </c>
      <c r="C38" s="64" t="s">
        <v>42</v>
      </c>
      <c r="D38" s="65">
        <f>'[5]Exhibit 4.1'!$C$10</f>
        <v>-3633777.6104829609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7"/>
      <c r="R38" s="60"/>
      <c r="S38" s="61"/>
    </row>
    <row r="39" spans="2:25" s="1" customFormat="1" x14ac:dyDescent="0.2">
      <c r="B39" s="12" t="s">
        <v>43</v>
      </c>
      <c r="C39" s="1" t="s">
        <v>22</v>
      </c>
      <c r="D39" s="57">
        <f>IF(ISERROR(VLOOKUP(B39,[4]Sheet1!$A:$F,6,FALSE)),0,VLOOKUP(B39,[4]Sheet1!$A:$F,6,FALSE))</f>
        <v>13544832.210791906</v>
      </c>
      <c r="E39" s="58">
        <f t="shared" ref="E39:Q39" si="12">$D39*VLOOKUP($C39,$B$18:$Q$28,MATCH(E$32,$B$18:$Q$18,0),FALSE)</f>
        <v>1154077.8905194055</v>
      </c>
      <c r="F39" s="58">
        <f t="shared" si="12"/>
        <v>2758448.1208877265</v>
      </c>
      <c r="G39" s="58">
        <f t="shared" si="12"/>
        <v>2513320.775681641</v>
      </c>
      <c r="H39" s="58">
        <f t="shared" si="12"/>
        <v>333899.90644089953</v>
      </c>
      <c r="I39" s="58">
        <f t="shared" si="12"/>
        <v>1259973.3962497988</v>
      </c>
      <c r="J39" s="58">
        <f t="shared" si="12"/>
        <v>1438078.5885790652</v>
      </c>
      <c r="K39" s="58">
        <f t="shared" si="12"/>
        <v>354033.57855616172</v>
      </c>
      <c r="L39" s="58">
        <f t="shared" si="12"/>
        <v>609653.01359517884</v>
      </c>
      <c r="M39" s="58">
        <f t="shared" si="12"/>
        <v>59978.376503907246</v>
      </c>
      <c r="N39" s="58">
        <f t="shared" si="12"/>
        <v>7911.5632781511013</v>
      </c>
      <c r="O39" s="58">
        <f t="shared" si="12"/>
        <v>17925.361755582446</v>
      </c>
      <c r="P39" s="58">
        <f t="shared" si="12"/>
        <v>17814.073751381351</v>
      </c>
      <c r="Q39" s="59">
        <f t="shared" si="12"/>
        <v>3019717.5649930038</v>
      </c>
      <c r="R39" s="60"/>
      <c r="S39" s="61"/>
    </row>
    <row r="40" spans="2:25" s="1" customFormat="1" ht="25.5" x14ac:dyDescent="0.2">
      <c r="B40" s="12" t="s">
        <v>44</v>
      </c>
      <c r="C40" s="62" t="s">
        <v>30</v>
      </c>
      <c r="D40" s="57">
        <f>IF(ISERROR(VLOOKUP(B40,[4]Sheet1!$A:$F,6,FALSE)),0,VLOOKUP(B40,[4]Sheet1!$A:$F,6,FALSE))</f>
        <v>-6528859.4311750028</v>
      </c>
      <c r="E40" s="58">
        <f t="shared" ref="E40:Q40" si="13">$D40*VLOOKUP($C40,$B$18:$Q$29,MATCH(E$32,$B$18:$Q$18,0),FALSE)</f>
        <v>-592153.88663548115</v>
      </c>
      <c r="F40" s="58">
        <f t="shared" si="13"/>
        <v>-1895426.1966084302</v>
      </c>
      <c r="G40" s="58">
        <f t="shared" si="13"/>
        <v>-2831510.5387245296</v>
      </c>
      <c r="H40" s="58">
        <f t="shared" si="13"/>
        <v>-1049668.0413147141</v>
      </c>
      <c r="I40" s="58">
        <f t="shared" si="13"/>
        <v>-517874.45317672635</v>
      </c>
      <c r="J40" s="58">
        <f t="shared" si="13"/>
        <v>1076018.8288597788</v>
      </c>
      <c r="K40" s="58">
        <f t="shared" si="13"/>
        <v>55052.807194320398</v>
      </c>
      <c r="L40" s="58">
        <f t="shared" si="13"/>
        <v>691973.6666009113</v>
      </c>
      <c r="M40" s="58">
        <f t="shared" si="13"/>
        <v>-49344.754218222442</v>
      </c>
      <c r="N40" s="58">
        <f t="shared" si="13"/>
        <v>-22052.120838879808</v>
      </c>
      <c r="O40" s="58">
        <f t="shared" si="13"/>
        <v>14405.21348785346</v>
      </c>
      <c r="P40" s="58">
        <f t="shared" si="13"/>
        <v>-17139.487118367091</v>
      </c>
      <c r="Q40" s="59">
        <f t="shared" si="13"/>
        <v>-1391140.4686825147</v>
      </c>
      <c r="R40" s="60"/>
      <c r="S40" s="61"/>
    </row>
    <row r="41" spans="2:25" s="7" customFormat="1" hidden="1" x14ac:dyDescent="0.2">
      <c r="B41" s="8" t="s">
        <v>45</v>
      </c>
      <c r="C41" s="7" t="s">
        <v>18</v>
      </c>
      <c r="D41" s="68">
        <f>IF(ISERROR(VLOOKUP(B41,[4]Sheet1!$A:$F,6,FALSE)),0,VLOOKUP(B41,[4]Sheet1!$A:$F,6,FALSE))</f>
        <v>0</v>
      </c>
      <c r="E41" s="69">
        <f t="shared" ref="E41:Q43" si="14">$D41*VLOOKUP($C41,$B$18:$Q$28,MATCH(E$32,$B$18:$Q$18,0),FALSE)</f>
        <v>0</v>
      </c>
      <c r="F41" s="69">
        <f t="shared" si="14"/>
        <v>0</v>
      </c>
      <c r="G41" s="69">
        <f t="shared" si="14"/>
        <v>0</v>
      </c>
      <c r="H41" s="69">
        <f t="shared" si="14"/>
        <v>0</v>
      </c>
      <c r="I41" s="69">
        <f t="shared" si="14"/>
        <v>0</v>
      </c>
      <c r="J41" s="69">
        <f t="shared" si="14"/>
        <v>0</v>
      </c>
      <c r="K41" s="69">
        <f t="shared" si="14"/>
        <v>0</v>
      </c>
      <c r="L41" s="69">
        <f t="shared" si="14"/>
        <v>0</v>
      </c>
      <c r="M41" s="69">
        <f t="shared" si="14"/>
        <v>0</v>
      </c>
      <c r="N41" s="69">
        <f t="shared" si="14"/>
        <v>0</v>
      </c>
      <c r="O41" s="69">
        <f t="shared" si="14"/>
        <v>0</v>
      </c>
      <c r="P41" s="69">
        <f t="shared" si="14"/>
        <v>0</v>
      </c>
      <c r="Q41" s="70">
        <f t="shared" si="14"/>
        <v>0</v>
      </c>
      <c r="R41" s="71"/>
      <c r="S41" s="72"/>
    </row>
    <row r="42" spans="2:25" s="7" customFormat="1" hidden="1" x14ac:dyDescent="0.2">
      <c r="B42" s="8" t="s">
        <v>46</v>
      </c>
      <c r="C42" s="7" t="s">
        <v>24</v>
      </c>
      <c r="D42" s="68">
        <f>IF(ISERROR(VLOOKUP(B42,[4]Sheet1!$A:$F,6,FALSE)),0,VLOOKUP(B42,[4]Sheet1!$A:$F,6,FALSE))</f>
        <v>0</v>
      </c>
      <c r="E42" s="69">
        <f t="shared" si="14"/>
        <v>0</v>
      </c>
      <c r="F42" s="69">
        <f t="shared" si="14"/>
        <v>0</v>
      </c>
      <c r="G42" s="69">
        <f t="shared" si="14"/>
        <v>0</v>
      </c>
      <c r="H42" s="69">
        <f t="shared" si="14"/>
        <v>0</v>
      </c>
      <c r="I42" s="69">
        <f t="shared" si="14"/>
        <v>0</v>
      </c>
      <c r="J42" s="69">
        <f t="shared" si="14"/>
        <v>0</v>
      </c>
      <c r="K42" s="69">
        <f t="shared" si="14"/>
        <v>0</v>
      </c>
      <c r="L42" s="69">
        <f t="shared" si="14"/>
        <v>0</v>
      </c>
      <c r="M42" s="69">
        <f t="shared" si="14"/>
        <v>0</v>
      </c>
      <c r="N42" s="69">
        <f t="shared" si="14"/>
        <v>0</v>
      </c>
      <c r="O42" s="69">
        <f t="shared" si="14"/>
        <v>0</v>
      </c>
      <c r="P42" s="69">
        <f t="shared" si="14"/>
        <v>0</v>
      </c>
      <c r="Q42" s="70">
        <f t="shared" si="14"/>
        <v>0</v>
      </c>
      <c r="R42" s="71"/>
      <c r="S42" s="72"/>
      <c r="T42" s="73"/>
      <c r="U42" s="73"/>
      <c r="V42" s="73"/>
      <c r="W42" s="73"/>
      <c r="X42" s="73"/>
      <c r="Y42" s="73"/>
    </row>
    <row r="43" spans="2:25" s="7" customFormat="1" hidden="1" x14ac:dyDescent="0.2">
      <c r="B43" s="8" t="s">
        <v>47</v>
      </c>
      <c r="C43" s="7" t="s">
        <v>27</v>
      </c>
      <c r="D43" s="68">
        <f>IF(ISERROR(VLOOKUP(B43,[4]Sheet1!$A:$F,6,FALSE)),0,VLOOKUP(B43,[4]Sheet1!$A:$F,6,FALSE))</f>
        <v>0</v>
      </c>
      <c r="E43" s="69">
        <f t="shared" si="14"/>
        <v>0</v>
      </c>
      <c r="F43" s="69">
        <f t="shared" si="14"/>
        <v>0</v>
      </c>
      <c r="G43" s="69">
        <f t="shared" si="14"/>
        <v>0</v>
      </c>
      <c r="H43" s="69">
        <f t="shared" si="14"/>
        <v>0</v>
      </c>
      <c r="I43" s="69">
        <f t="shared" si="14"/>
        <v>0</v>
      </c>
      <c r="J43" s="69">
        <f t="shared" si="14"/>
        <v>0</v>
      </c>
      <c r="K43" s="69">
        <f t="shared" si="14"/>
        <v>0</v>
      </c>
      <c r="L43" s="69">
        <f t="shared" si="14"/>
        <v>0</v>
      </c>
      <c r="M43" s="69">
        <f t="shared" si="14"/>
        <v>0</v>
      </c>
      <c r="N43" s="69">
        <f t="shared" si="14"/>
        <v>0</v>
      </c>
      <c r="O43" s="69">
        <f t="shared" si="14"/>
        <v>0</v>
      </c>
      <c r="P43" s="69">
        <f t="shared" si="14"/>
        <v>0</v>
      </c>
      <c r="Q43" s="70">
        <f t="shared" si="14"/>
        <v>0</v>
      </c>
      <c r="R43" s="71"/>
      <c r="S43" s="72"/>
      <c r="T43" s="73"/>
      <c r="U43" s="73"/>
      <c r="V43" s="73"/>
      <c r="W43" s="73"/>
      <c r="X43" s="73"/>
      <c r="Y43" s="73"/>
    </row>
    <row r="44" spans="2:25" s="7" customFormat="1" hidden="1" x14ac:dyDescent="0.2">
      <c r="B44" s="8" t="s">
        <v>48</v>
      </c>
      <c r="C44" s="7" t="s">
        <v>27</v>
      </c>
      <c r="D44" s="68">
        <f>IF(ISERROR(VLOOKUP(B44,[4]Sheet1!$A:$F,6,FALSE)),0,VLOOKUP(B44,[4]Sheet1!$A:$F,6,FALSE))</f>
        <v>0</v>
      </c>
      <c r="E44" s="69">
        <f t="shared" ref="E44:Q44" si="15">D44*E26</f>
        <v>0</v>
      </c>
      <c r="F44" s="69">
        <f t="shared" si="15"/>
        <v>0</v>
      </c>
      <c r="G44" s="69">
        <f t="shared" si="15"/>
        <v>0</v>
      </c>
      <c r="H44" s="69">
        <f t="shared" si="15"/>
        <v>0</v>
      </c>
      <c r="I44" s="69">
        <f t="shared" si="15"/>
        <v>0</v>
      </c>
      <c r="J44" s="69">
        <f t="shared" si="15"/>
        <v>0</v>
      </c>
      <c r="K44" s="69">
        <f t="shared" si="15"/>
        <v>0</v>
      </c>
      <c r="L44" s="69">
        <f t="shared" si="15"/>
        <v>0</v>
      </c>
      <c r="M44" s="69">
        <f t="shared" si="15"/>
        <v>0</v>
      </c>
      <c r="N44" s="69">
        <f t="shared" si="15"/>
        <v>0</v>
      </c>
      <c r="O44" s="69">
        <f t="shared" si="15"/>
        <v>0</v>
      </c>
      <c r="P44" s="69">
        <f t="shared" si="15"/>
        <v>0</v>
      </c>
      <c r="Q44" s="69">
        <f t="shared" si="15"/>
        <v>0</v>
      </c>
      <c r="R44" s="71"/>
      <c r="S44" s="72"/>
      <c r="T44" s="73"/>
      <c r="U44" s="73"/>
      <c r="V44" s="73"/>
      <c r="W44" s="73"/>
      <c r="X44" s="73"/>
      <c r="Y44" s="73"/>
    </row>
    <row r="45" spans="2:25" s="7" customFormat="1" hidden="1" x14ac:dyDescent="0.2">
      <c r="B45" s="8" t="s">
        <v>49</v>
      </c>
      <c r="C45" s="7" t="s">
        <v>26</v>
      </c>
      <c r="D45" s="68">
        <f>IF(ISERROR(VLOOKUP(B45,[4]Sheet1!$A:$F,6,FALSE)),0,VLOOKUP(B45,[4]Sheet1!$A:$F,6,FALSE))</f>
        <v>0</v>
      </c>
      <c r="E45" s="69">
        <f t="shared" ref="E45:Q52" si="16">$D45*VLOOKUP($C45,$B$18:$Q$28,MATCH(E$32,$B$18:$Q$18,0),FALSE)</f>
        <v>0</v>
      </c>
      <c r="F45" s="69">
        <f t="shared" si="16"/>
        <v>0</v>
      </c>
      <c r="G45" s="69">
        <f t="shared" si="16"/>
        <v>0</v>
      </c>
      <c r="H45" s="69">
        <f t="shared" si="16"/>
        <v>0</v>
      </c>
      <c r="I45" s="69">
        <f t="shared" si="16"/>
        <v>0</v>
      </c>
      <c r="J45" s="69">
        <f t="shared" si="16"/>
        <v>0</v>
      </c>
      <c r="K45" s="69">
        <f t="shared" si="16"/>
        <v>0</v>
      </c>
      <c r="L45" s="69">
        <f t="shared" si="16"/>
        <v>0</v>
      </c>
      <c r="M45" s="69">
        <f t="shared" si="16"/>
        <v>0</v>
      </c>
      <c r="N45" s="69">
        <f t="shared" si="16"/>
        <v>0</v>
      </c>
      <c r="O45" s="69">
        <f t="shared" si="16"/>
        <v>0</v>
      </c>
      <c r="P45" s="69">
        <f t="shared" si="16"/>
        <v>0</v>
      </c>
      <c r="Q45" s="70">
        <f t="shared" si="16"/>
        <v>0</v>
      </c>
      <c r="R45" s="71"/>
      <c r="S45" s="72"/>
      <c r="T45" s="73"/>
      <c r="U45" s="73"/>
      <c r="V45" s="73"/>
      <c r="W45" s="73"/>
      <c r="X45" s="73"/>
      <c r="Y45" s="73"/>
    </row>
    <row r="46" spans="2:25" s="7" customFormat="1" hidden="1" x14ac:dyDescent="0.2">
      <c r="B46" s="8" t="s">
        <v>50</v>
      </c>
      <c r="C46" s="7" t="s">
        <v>24</v>
      </c>
      <c r="D46" s="68">
        <f>IF(ISERROR(VLOOKUP(B46,[4]Sheet1!$A:$F,6,FALSE)),0,VLOOKUP(B46,[4]Sheet1!$A:$F,6,FALSE))</f>
        <v>0</v>
      </c>
      <c r="E46" s="69">
        <f t="shared" si="16"/>
        <v>0</v>
      </c>
      <c r="F46" s="69">
        <f t="shared" si="16"/>
        <v>0</v>
      </c>
      <c r="G46" s="69">
        <f t="shared" si="16"/>
        <v>0</v>
      </c>
      <c r="H46" s="69">
        <f t="shared" si="16"/>
        <v>0</v>
      </c>
      <c r="I46" s="69">
        <f t="shared" si="16"/>
        <v>0</v>
      </c>
      <c r="J46" s="69">
        <f t="shared" si="16"/>
        <v>0</v>
      </c>
      <c r="K46" s="69">
        <f t="shared" si="16"/>
        <v>0</v>
      </c>
      <c r="L46" s="69">
        <f t="shared" si="16"/>
        <v>0</v>
      </c>
      <c r="M46" s="69">
        <f t="shared" si="16"/>
        <v>0</v>
      </c>
      <c r="N46" s="69">
        <f t="shared" si="16"/>
        <v>0</v>
      </c>
      <c r="O46" s="69">
        <f t="shared" si="16"/>
        <v>0</v>
      </c>
      <c r="P46" s="69">
        <f t="shared" si="16"/>
        <v>0</v>
      </c>
      <c r="Q46" s="70">
        <f t="shared" si="16"/>
        <v>0</v>
      </c>
      <c r="R46" s="71"/>
      <c r="S46" s="72"/>
      <c r="T46" s="73"/>
      <c r="U46" s="73"/>
      <c r="V46" s="73"/>
      <c r="W46" s="73"/>
      <c r="X46" s="73"/>
      <c r="Y46" s="73"/>
    </row>
    <row r="47" spans="2:25" s="7" customFormat="1" hidden="1" x14ac:dyDescent="0.2">
      <c r="B47" s="8" t="s">
        <v>51</v>
      </c>
      <c r="C47" s="7" t="s">
        <v>27</v>
      </c>
      <c r="D47" s="68">
        <f>IF(ISERROR(VLOOKUP(B47,[4]Sheet1!$A:$F,6,FALSE)),0,VLOOKUP(B47,[4]Sheet1!$A:$F,6,FALSE))</f>
        <v>0</v>
      </c>
      <c r="E47" s="69">
        <f t="shared" si="16"/>
        <v>0</v>
      </c>
      <c r="F47" s="69">
        <f t="shared" si="16"/>
        <v>0</v>
      </c>
      <c r="G47" s="69">
        <f t="shared" si="16"/>
        <v>0</v>
      </c>
      <c r="H47" s="69">
        <f t="shared" si="16"/>
        <v>0</v>
      </c>
      <c r="I47" s="69">
        <f t="shared" si="16"/>
        <v>0</v>
      </c>
      <c r="J47" s="69">
        <f t="shared" si="16"/>
        <v>0</v>
      </c>
      <c r="K47" s="69">
        <f t="shared" si="16"/>
        <v>0</v>
      </c>
      <c r="L47" s="69">
        <f t="shared" si="16"/>
        <v>0</v>
      </c>
      <c r="M47" s="69">
        <f t="shared" si="16"/>
        <v>0</v>
      </c>
      <c r="N47" s="69">
        <f t="shared" si="16"/>
        <v>0</v>
      </c>
      <c r="O47" s="69">
        <f t="shared" si="16"/>
        <v>0</v>
      </c>
      <c r="P47" s="69">
        <f t="shared" si="16"/>
        <v>0</v>
      </c>
      <c r="Q47" s="70">
        <f t="shared" si="16"/>
        <v>0</v>
      </c>
      <c r="R47" s="71"/>
      <c r="S47" s="72"/>
      <c r="T47" s="73"/>
      <c r="U47" s="73"/>
      <c r="V47" s="73"/>
      <c r="W47" s="73"/>
      <c r="X47" s="73"/>
      <c r="Y47" s="73"/>
    </row>
    <row r="48" spans="2:25" s="7" customFormat="1" hidden="1" x14ac:dyDescent="0.2">
      <c r="B48" s="8" t="s">
        <v>52</v>
      </c>
      <c r="C48" s="7" t="s">
        <v>27</v>
      </c>
      <c r="D48" s="68">
        <f>IF(ISERROR(VLOOKUP(B48,[4]Sheet1!$A:$F,6,FALSE)),0,VLOOKUP(B48,[4]Sheet1!$A:$F,6,FALSE))</f>
        <v>0</v>
      </c>
      <c r="E48" s="69">
        <f t="shared" si="16"/>
        <v>0</v>
      </c>
      <c r="F48" s="69">
        <f t="shared" si="16"/>
        <v>0</v>
      </c>
      <c r="G48" s="69">
        <f t="shared" si="16"/>
        <v>0</v>
      </c>
      <c r="H48" s="69">
        <f t="shared" si="16"/>
        <v>0</v>
      </c>
      <c r="I48" s="69">
        <f t="shared" si="16"/>
        <v>0</v>
      </c>
      <c r="J48" s="69">
        <f t="shared" si="16"/>
        <v>0</v>
      </c>
      <c r="K48" s="69">
        <f t="shared" si="16"/>
        <v>0</v>
      </c>
      <c r="L48" s="69">
        <f t="shared" si="16"/>
        <v>0</v>
      </c>
      <c r="M48" s="69">
        <f t="shared" si="16"/>
        <v>0</v>
      </c>
      <c r="N48" s="69">
        <f t="shared" si="16"/>
        <v>0</v>
      </c>
      <c r="O48" s="69">
        <f t="shared" si="16"/>
        <v>0</v>
      </c>
      <c r="P48" s="69">
        <f t="shared" si="16"/>
        <v>0</v>
      </c>
      <c r="Q48" s="70">
        <f t="shared" si="16"/>
        <v>0</v>
      </c>
      <c r="R48" s="71"/>
      <c r="S48" s="72"/>
      <c r="T48" s="73"/>
      <c r="U48" s="73"/>
      <c r="V48" s="73"/>
      <c r="W48" s="73"/>
      <c r="X48" s="73"/>
      <c r="Y48" s="73"/>
    </row>
    <row r="49" spans="2:25" s="1" customFormat="1" x14ac:dyDescent="0.2">
      <c r="B49" s="12" t="s">
        <v>53</v>
      </c>
      <c r="C49" s="1" t="s">
        <v>20</v>
      </c>
      <c r="D49" s="57">
        <f>IF(ISERROR(VLOOKUP(B49,[4]Sheet1!$A:$F,6,FALSE)),0,VLOOKUP(B49,[4]Sheet1!$A:$F,6,FALSE))</f>
        <v>-2173992.6869534315</v>
      </c>
      <c r="E49" s="58">
        <f t="shared" si="16"/>
        <v>-398834.15989811585</v>
      </c>
      <c r="F49" s="58">
        <f t="shared" si="16"/>
        <v>-778388.89161981479</v>
      </c>
      <c r="G49" s="58">
        <f t="shared" si="16"/>
        <v>-565614.26010934368</v>
      </c>
      <c r="H49" s="58">
        <f t="shared" si="16"/>
        <v>-252039.76822074203</v>
      </c>
      <c r="I49" s="58">
        <f t="shared" si="16"/>
        <v>-148223.94735116616</v>
      </c>
      <c r="J49" s="58">
        <f t="shared" si="16"/>
        <v>0</v>
      </c>
      <c r="K49" s="58">
        <f t="shared" si="16"/>
        <v>-30891.659754248911</v>
      </c>
      <c r="L49" s="58">
        <f t="shared" si="16"/>
        <v>0</v>
      </c>
      <c r="M49" s="58">
        <f t="shared" si="16"/>
        <v>0</v>
      </c>
      <c r="N49" s="58">
        <f t="shared" si="16"/>
        <v>0</v>
      </c>
      <c r="O49" s="58">
        <f t="shared" si="16"/>
        <v>0</v>
      </c>
      <c r="P49" s="58">
        <f t="shared" si="16"/>
        <v>0</v>
      </c>
      <c r="Q49" s="59">
        <f t="shared" si="16"/>
        <v>0</v>
      </c>
      <c r="R49" s="60"/>
      <c r="S49" s="61"/>
      <c r="T49" s="74"/>
      <c r="U49" s="74"/>
      <c r="V49" s="74"/>
      <c r="W49" s="74"/>
      <c r="X49" s="74"/>
      <c r="Y49" s="74"/>
    </row>
    <row r="50" spans="2:25" s="7" customFormat="1" hidden="1" x14ac:dyDescent="0.2">
      <c r="B50" s="75" t="s">
        <v>54</v>
      </c>
      <c r="C50" s="7" t="s">
        <v>27</v>
      </c>
      <c r="D50" s="68">
        <f>IF(ISERROR(VLOOKUP(B50,[4]Sheet1!$A:$F,6,FALSE)),0,VLOOKUP(B50,[4]Sheet1!$A:$F,6,FALSE))</f>
        <v>0</v>
      </c>
      <c r="E50" s="69">
        <f t="shared" si="16"/>
        <v>0</v>
      </c>
      <c r="F50" s="69">
        <f t="shared" si="16"/>
        <v>0</v>
      </c>
      <c r="G50" s="69">
        <f t="shared" si="16"/>
        <v>0</v>
      </c>
      <c r="H50" s="69">
        <f t="shared" si="16"/>
        <v>0</v>
      </c>
      <c r="I50" s="69">
        <f t="shared" si="16"/>
        <v>0</v>
      </c>
      <c r="J50" s="69">
        <f t="shared" si="16"/>
        <v>0</v>
      </c>
      <c r="K50" s="69">
        <f t="shared" si="16"/>
        <v>0</v>
      </c>
      <c r="L50" s="69">
        <f t="shared" si="16"/>
        <v>0</v>
      </c>
      <c r="M50" s="69">
        <f t="shared" si="16"/>
        <v>0</v>
      </c>
      <c r="N50" s="69">
        <f t="shared" si="16"/>
        <v>0</v>
      </c>
      <c r="O50" s="69">
        <f t="shared" si="16"/>
        <v>0</v>
      </c>
      <c r="P50" s="69">
        <f t="shared" si="16"/>
        <v>0</v>
      </c>
      <c r="Q50" s="70">
        <f t="shared" si="16"/>
        <v>0</v>
      </c>
      <c r="R50" s="71"/>
      <c r="S50" s="72"/>
      <c r="T50" s="73"/>
      <c r="U50" s="73"/>
      <c r="V50" s="73"/>
      <c r="W50" s="73"/>
      <c r="X50" s="73"/>
      <c r="Y50" s="73"/>
    </row>
    <row r="51" spans="2:25" s="7" customFormat="1" hidden="1" x14ac:dyDescent="0.2">
      <c r="B51" s="8" t="s">
        <v>55</v>
      </c>
      <c r="C51" s="7" t="s">
        <v>27</v>
      </c>
      <c r="D51" s="68">
        <f>IF(ISERROR(VLOOKUP(B51,[4]Sheet1!$A:$F,6,FALSE)),0,VLOOKUP(B51,[4]Sheet1!$A:$F,6,FALSE))</f>
        <v>0</v>
      </c>
      <c r="E51" s="69">
        <f t="shared" si="16"/>
        <v>0</v>
      </c>
      <c r="F51" s="69">
        <f t="shared" si="16"/>
        <v>0</v>
      </c>
      <c r="G51" s="69">
        <f t="shared" si="16"/>
        <v>0</v>
      </c>
      <c r="H51" s="69">
        <f t="shared" si="16"/>
        <v>0</v>
      </c>
      <c r="I51" s="69">
        <f t="shared" si="16"/>
        <v>0</v>
      </c>
      <c r="J51" s="69">
        <f t="shared" si="16"/>
        <v>0</v>
      </c>
      <c r="K51" s="69">
        <f t="shared" si="16"/>
        <v>0</v>
      </c>
      <c r="L51" s="69">
        <f t="shared" si="16"/>
        <v>0</v>
      </c>
      <c r="M51" s="69">
        <f t="shared" si="16"/>
        <v>0</v>
      </c>
      <c r="N51" s="69">
        <f t="shared" si="16"/>
        <v>0</v>
      </c>
      <c r="O51" s="69">
        <f t="shared" si="16"/>
        <v>0</v>
      </c>
      <c r="P51" s="69">
        <f t="shared" si="16"/>
        <v>0</v>
      </c>
      <c r="Q51" s="70">
        <f t="shared" si="16"/>
        <v>0</v>
      </c>
      <c r="R51" s="71"/>
      <c r="S51" s="72"/>
      <c r="T51" s="73"/>
      <c r="U51" s="73"/>
      <c r="V51" s="73"/>
      <c r="W51" s="73"/>
      <c r="X51" s="73"/>
      <c r="Y51" s="73"/>
    </row>
    <row r="52" spans="2:25" s="7" customFormat="1" hidden="1" x14ac:dyDescent="0.2">
      <c r="B52" s="75" t="s">
        <v>56</v>
      </c>
      <c r="C52" s="7" t="s">
        <v>27</v>
      </c>
      <c r="D52" s="68">
        <f>IF(ISERROR(VLOOKUP(B52,[4]Sheet1!$A:$F,6,FALSE)),0,VLOOKUP(B52,[4]Sheet1!$A:$F,6,FALSE))</f>
        <v>0</v>
      </c>
      <c r="E52" s="69">
        <f t="shared" si="16"/>
        <v>0</v>
      </c>
      <c r="F52" s="69">
        <f t="shared" si="16"/>
        <v>0</v>
      </c>
      <c r="G52" s="69">
        <f t="shared" si="16"/>
        <v>0</v>
      </c>
      <c r="H52" s="69">
        <f t="shared" si="16"/>
        <v>0</v>
      </c>
      <c r="I52" s="69">
        <f t="shared" si="16"/>
        <v>0</v>
      </c>
      <c r="J52" s="69">
        <f t="shared" si="16"/>
        <v>0</v>
      </c>
      <c r="K52" s="69">
        <f t="shared" si="16"/>
        <v>0</v>
      </c>
      <c r="L52" s="69">
        <f t="shared" si="16"/>
        <v>0</v>
      </c>
      <c r="M52" s="69">
        <f t="shared" si="16"/>
        <v>0</v>
      </c>
      <c r="N52" s="69">
        <f t="shared" si="16"/>
        <v>0</v>
      </c>
      <c r="O52" s="69">
        <f t="shared" si="16"/>
        <v>0</v>
      </c>
      <c r="P52" s="69">
        <f t="shared" si="16"/>
        <v>0</v>
      </c>
      <c r="Q52" s="70">
        <f t="shared" si="16"/>
        <v>0</v>
      </c>
      <c r="R52" s="71"/>
      <c r="S52" s="72"/>
      <c r="T52" s="73"/>
      <c r="U52" s="73"/>
      <c r="V52" s="73"/>
      <c r="W52" s="73"/>
      <c r="X52" s="73"/>
      <c r="Y52" s="73"/>
    </row>
    <row r="53" spans="2:25" s="1" customFormat="1" x14ac:dyDescent="0.2">
      <c r="B53" s="76"/>
      <c r="D53" s="57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9"/>
      <c r="R53" s="60"/>
      <c r="S53" s="61"/>
      <c r="T53" s="74"/>
      <c r="U53" s="74"/>
      <c r="V53" s="74"/>
      <c r="W53" s="74"/>
      <c r="X53" s="74"/>
      <c r="Y53" s="74"/>
    </row>
    <row r="54" spans="2:25" s="1" customFormat="1" x14ac:dyDescent="0.2">
      <c r="B54" s="20" t="s">
        <v>57</v>
      </c>
      <c r="C54" s="77"/>
      <c r="D54" s="78">
        <f t="shared" ref="D54:Q54" si="17">SUM(D33:D52)</f>
        <v>-26235446.823529951</v>
      </c>
      <c r="E54" s="78">
        <f t="shared" si="17"/>
        <v>-2322332.5564705925</v>
      </c>
      <c r="F54" s="78">
        <f t="shared" si="17"/>
        <v>-5533896.5412517656</v>
      </c>
      <c r="G54" s="78">
        <f t="shared" si="17"/>
        <v>-6259543.2951763105</v>
      </c>
      <c r="H54" s="78">
        <f t="shared" si="17"/>
        <v>-1560025.2386742008</v>
      </c>
      <c r="I54" s="78">
        <f t="shared" si="17"/>
        <v>-3247152.9199023498</v>
      </c>
      <c r="J54" s="78">
        <f t="shared" si="17"/>
        <v>-7842287.4813337149</v>
      </c>
      <c r="K54" s="78">
        <f t="shared" si="17"/>
        <v>-738569.07084977825</v>
      </c>
      <c r="L54" s="78">
        <f t="shared" si="17"/>
        <v>-1787955.2310983962</v>
      </c>
      <c r="M54" s="78">
        <f t="shared" si="17"/>
        <v>-304721.60235799401</v>
      </c>
      <c r="N54" s="78">
        <f t="shared" si="17"/>
        <v>-32522.064233928755</v>
      </c>
      <c r="O54" s="78">
        <f t="shared" si="17"/>
        <v>-5521.3799824648995</v>
      </c>
      <c r="P54" s="78">
        <f t="shared" si="17"/>
        <v>-152207.14985542977</v>
      </c>
      <c r="Q54" s="79">
        <f t="shared" si="17"/>
        <v>7185065.3181399237</v>
      </c>
    </row>
    <row r="55" spans="2:25" s="1" customFormat="1" x14ac:dyDescent="0.2">
      <c r="B55" s="20"/>
      <c r="C55" s="77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9"/>
    </row>
    <row r="56" spans="2:25" s="1" customFormat="1" ht="25.5" x14ac:dyDescent="0.2">
      <c r="B56" s="80" t="s">
        <v>105</v>
      </c>
      <c r="C56" s="81"/>
      <c r="D56" s="82">
        <f t="shared" ref="D56:Q56" si="18">D54-D38</f>
        <v>-22601669.21304699</v>
      </c>
      <c r="E56" s="82">
        <f t="shared" si="18"/>
        <v>-2322332.5564705925</v>
      </c>
      <c r="F56" s="82">
        <f t="shared" si="18"/>
        <v>-5533896.5412517656</v>
      </c>
      <c r="G56" s="82">
        <f t="shared" si="18"/>
        <v>-6259543.2951763105</v>
      </c>
      <c r="H56" s="82">
        <f t="shared" si="18"/>
        <v>-1560025.2386742008</v>
      </c>
      <c r="I56" s="82">
        <f t="shared" si="18"/>
        <v>-3247152.9199023498</v>
      </c>
      <c r="J56" s="82">
        <f t="shared" si="18"/>
        <v>-7842287.4813337149</v>
      </c>
      <c r="K56" s="82">
        <f t="shared" si="18"/>
        <v>-738569.07084977825</v>
      </c>
      <c r="L56" s="82">
        <f t="shared" si="18"/>
        <v>-1787955.2310983962</v>
      </c>
      <c r="M56" s="82">
        <f t="shared" si="18"/>
        <v>-304721.60235799401</v>
      </c>
      <c r="N56" s="82">
        <f t="shared" si="18"/>
        <v>-32522.064233928755</v>
      </c>
      <c r="O56" s="82">
        <f t="shared" si="18"/>
        <v>-5521.3799824648995</v>
      </c>
      <c r="P56" s="82">
        <f t="shared" si="18"/>
        <v>-152207.14985542977</v>
      </c>
      <c r="Q56" s="83">
        <f t="shared" si="18"/>
        <v>7185065.3181399237</v>
      </c>
    </row>
    <row r="57" spans="2:25" s="1" customFormat="1" x14ac:dyDescent="0.2">
      <c r="B57" s="20"/>
      <c r="C57" s="77"/>
      <c r="D57" s="84"/>
      <c r="E57" s="74"/>
      <c r="Q57" s="3"/>
    </row>
    <row r="58" spans="2:25" s="1" customFormat="1" x14ac:dyDescent="0.2">
      <c r="B58" s="12" t="s">
        <v>58</v>
      </c>
      <c r="C58" s="1" t="s">
        <v>27</v>
      </c>
      <c r="D58" s="78">
        <f>IF(ISERROR(VLOOKUP(B58,[4]Sheet1!$A:$F,6,FALSE)),0,VLOOKUP(B58,[4]Sheet1!$A:$F,6,FALSE))</f>
        <v>-21715061.517049998</v>
      </c>
      <c r="E58" s="58">
        <f t="shared" ref="E58:Q58" si="19">$D58*VLOOKUP($C58,$B$18:$Q$28,MATCH(E$32,$B$18:$Q$18,0),FALSE)</f>
        <v>-1419188.8730503914</v>
      </c>
      <c r="F58" s="58">
        <f t="shared" si="19"/>
        <v>-4689400.6014594464</v>
      </c>
      <c r="G58" s="58">
        <f t="shared" si="19"/>
        <v>-7698093.3727586567</v>
      </c>
      <c r="H58" s="58">
        <f t="shared" si="19"/>
        <v>-1609041.9220567881</v>
      </c>
      <c r="I58" s="58">
        <f t="shared" si="19"/>
        <v>-2359619.3989486601</v>
      </c>
      <c r="J58" s="58">
        <f t="shared" si="19"/>
        <v>-2063884.0279664635</v>
      </c>
      <c r="K58" s="58">
        <f t="shared" si="19"/>
        <v>-330296.37043683184</v>
      </c>
      <c r="L58" s="58">
        <f t="shared" si="19"/>
        <v>-408800.78068097448</v>
      </c>
      <c r="M58" s="58">
        <f t="shared" si="19"/>
        <v>-152925.61138783011</v>
      </c>
      <c r="N58" s="58">
        <f t="shared" si="19"/>
        <v>-39022.14029559317</v>
      </c>
      <c r="O58" s="58">
        <f t="shared" si="19"/>
        <v>-45772.282425700439</v>
      </c>
      <c r="P58" s="58">
        <f t="shared" si="19"/>
        <v>-77584.559881922221</v>
      </c>
      <c r="Q58" s="59">
        <f t="shared" si="19"/>
        <v>-821431.57570073975</v>
      </c>
      <c r="R58" s="60"/>
      <c r="S58" s="61"/>
      <c r="T58" s="74"/>
      <c r="U58" s="74"/>
      <c r="V58" s="74"/>
      <c r="W58" s="74"/>
      <c r="X58" s="74"/>
      <c r="Y58" s="74"/>
    </row>
    <row r="59" spans="2:25" s="1" customFormat="1" ht="13.5" thickBot="1" x14ac:dyDescent="0.25">
      <c r="B59" s="28"/>
      <c r="C59" s="29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7"/>
      <c r="R59" s="60"/>
      <c r="S59" s="61"/>
      <c r="T59" s="74"/>
      <c r="U59" s="74"/>
      <c r="V59" s="74"/>
      <c r="W59" s="74"/>
      <c r="X59" s="74"/>
      <c r="Y59" s="74"/>
    </row>
    <row r="60" spans="2:25" s="1" customFormat="1" ht="13.5" thickBot="1" x14ac:dyDescent="0.25">
      <c r="D60" s="19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9"/>
      <c r="R60" s="60"/>
      <c r="S60" s="61"/>
      <c r="T60" s="74"/>
      <c r="U60" s="74"/>
      <c r="V60" s="74"/>
      <c r="W60" s="74"/>
      <c r="X60" s="74"/>
      <c r="Y60" s="74"/>
    </row>
    <row r="61" spans="2:25" s="1" customFormat="1" x14ac:dyDescent="0.2">
      <c r="B61" s="50" t="s">
        <v>59</v>
      </c>
      <c r="C61" s="88"/>
      <c r="D61" s="89"/>
      <c r="E61" s="90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3"/>
    </row>
    <row r="62" spans="2:25" s="1" customFormat="1" x14ac:dyDescent="0.2">
      <c r="B62" s="91"/>
      <c r="C62" s="77"/>
      <c r="D62" s="84"/>
      <c r="E62" s="74"/>
      <c r="Q62" s="3"/>
    </row>
    <row r="63" spans="2:25" s="1" customFormat="1" x14ac:dyDescent="0.2">
      <c r="B63" s="92" t="s">
        <v>60</v>
      </c>
      <c r="C63" s="93">
        <v>12</v>
      </c>
      <c r="D63" s="77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94"/>
    </row>
    <row r="64" spans="2:25" s="1" customFormat="1" x14ac:dyDescent="0.2">
      <c r="B64" s="95"/>
      <c r="C64" s="77"/>
      <c r="D64" s="93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94"/>
    </row>
    <row r="65" spans="2:17" s="1" customFormat="1" x14ac:dyDescent="0.2">
      <c r="B65" s="12"/>
      <c r="C65" s="96"/>
      <c r="D65" s="97" t="s">
        <v>36</v>
      </c>
      <c r="E65" s="97" t="s">
        <v>5</v>
      </c>
      <c r="F65" s="54" t="s">
        <v>6</v>
      </c>
      <c r="G65" s="54" t="s">
        <v>7</v>
      </c>
      <c r="H65" s="54" t="s">
        <v>8</v>
      </c>
      <c r="I65" s="54" t="s">
        <v>9</v>
      </c>
      <c r="J65" s="54" t="s">
        <v>10</v>
      </c>
      <c r="K65" s="54" t="s">
        <v>11</v>
      </c>
      <c r="L65" s="54" t="s">
        <v>12</v>
      </c>
      <c r="M65" s="54" t="s">
        <v>13</v>
      </c>
      <c r="N65" s="54" t="s">
        <v>14</v>
      </c>
      <c r="O65" s="54" t="s">
        <v>15</v>
      </c>
      <c r="P65" s="54" t="s">
        <v>16</v>
      </c>
      <c r="Q65" s="56" t="s">
        <v>17</v>
      </c>
    </row>
    <row r="66" spans="2:17" s="1" customFormat="1" ht="25.5" x14ac:dyDescent="0.2">
      <c r="B66" s="153" t="s">
        <v>107</v>
      </c>
      <c r="C66" s="98"/>
      <c r="D66" s="61">
        <f>SUM(E66:Q66)</f>
        <v>-22601669.213047005</v>
      </c>
      <c r="E66" s="61">
        <f t="shared" ref="E66:Q66" si="20">SUM(E33:E52)</f>
        <v>-2322332.5564705925</v>
      </c>
      <c r="F66" s="61">
        <f t="shared" si="20"/>
        <v>-5533896.5412517656</v>
      </c>
      <c r="G66" s="61">
        <f t="shared" si="20"/>
        <v>-6259543.2951763105</v>
      </c>
      <c r="H66" s="61">
        <f t="shared" si="20"/>
        <v>-1560025.2386742008</v>
      </c>
      <c r="I66" s="61">
        <f t="shared" si="20"/>
        <v>-3247152.9199023498</v>
      </c>
      <c r="J66" s="61">
        <f t="shared" si="20"/>
        <v>-7842287.4813337149</v>
      </c>
      <c r="K66" s="61">
        <f t="shared" si="20"/>
        <v>-738569.07084977825</v>
      </c>
      <c r="L66" s="61">
        <f t="shared" si="20"/>
        <v>-1787955.2310983962</v>
      </c>
      <c r="M66" s="61">
        <f t="shared" si="20"/>
        <v>-304721.60235799401</v>
      </c>
      <c r="N66" s="61">
        <f t="shared" si="20"/>
        <v>-32522.064233928755</v>
      </c>
      <c r="O66" s="61">
        <f t="shared" si="20"/>
        <v>-5521.3799824648995</v>
      </c>
      <c r="P66" s="61">
        <f t="shared" si="20"/>
        <v>-152207.14985542977</v>
      </c>
      <c r="Q66" s="94">
        <f t="shared" si="20"/>
        <v>7185065.3181399237</v>
      </c>
    </row>
    <row r="67" spans="2:17" s="1" customFormat="1" x14ac:dyDescent="0.2">
      <c r="B67" s="12"/>
      <c r="C67" s="96"/>
      <c r="D67" s="84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94"/>
    </row>
    <row r="68" spans="2:17" s="1" customFormat="1" x14ac:dyDescent="0.2">
      <c r="B68" s="99" t="s">
        <v>61</v>
      </c>
      <c r="C68" s="100" t="s">
        <v>62</v>
      </c>
      <c r="D68" s="61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9"/>
    </row>
    <row r="69" spans="2:17" s="1" customFormat="1" ht="38.25" hidden="1" x14ac:dyDescent="0.2">
      <c r="B69" s="101" t="s">
        <v>63</v>
      </c>
      <c r="C69" s="62" t="s">
        <v>64</v>
      </c>
      <c r="D69" s="61">
        <f>SUM(E69:Q69)</f>
        <v>0</v>
      </c>
      <c r="E69" s="78">
        <f t="shared" ref="E69:Q69" si="21">SUM(E42,E43,E44,E45,E46,E47,E48,E50,E51,E52)</f>
        <v>0</v>
      </c>
      <c r="F69" s="78">
        <f t="shared" si="21"/>
        <v>0</v>
      </c>
      <c r="G69" s="78">
        <f t="shared" si="21"/>
        <v>0</v>
      </c>
      <c r="H69" s="78">
        <f t="shared" si="21"/>
        <v>0</v>
      </c>
      <c r="I69" s="78">
        <f t="shared" si="21"/>
        <v>0</v>
      </c>
      <c r="J69" s="78">
        <f t="shared" si="21"/>
        <v>0</v>
      </c>
      <c r="K69" s="78">
        <f t="shared" si="21"/>
        <v>0</v>
      </c>
      <c r="L69" s="78">
        <f t="shared" si="21"/>
        <v>0</v>
      </c>
      <c r="M69" s="78">
        <f t="shared" si="21"/>
        <v>0</v>
      </c>
      <c r="N69" s="78">
        <f t="shared" si="21"/>
        <v>0</v>
      </c>
      <c r="O69" s="78">
        <f t="shared" si="21"/>
        <v>0</v>
      </c>
      <c r="P69" s="78">
        <f t="shared" si="21"/>
        <v>0</v>
      </c>
      <c r="Q69" s="79">
        <f t="shared" si="21"/>
        <v>0</v>
      </c>
    </row>
    <row r="70" spans="2:17" s="1" customFormat="1" ht="38.25" hidden="1" x14ac:dyDescent="0.2">
      <c r="B70" s="101" t="s">
        <v>65</v>
      </c>
      <c r="C70" s="62" t="s">
        <v>66</v>
      </c>
      <c r="D70" s="61">
        <f t="shared" ref="D70:D76" si="22">SUM(E70:Q70)</f>
        <v>0</v>
      </c>
      <c r="E70" s="78">
        <f t="shared" ref="E70:Q70" si="23">E$69*E27</f>
        <v>0</v>
      </c>
      <c r="F70" s="78">
        <f t="shared" si="23"/>
        <v>0</v>
      </c>
      <c r="G70" s="78">
        <f t="shared" si="23"/>
        <v>0</v>
      </c>
      <c r="H70" s="78">
        <f t="shared" si="23"/>
        <v>0</v>
      </c>
      <c r="I70" s="78">
        <f t="shared" si="23"/>
        <v>0</v>
      </c>
      <c r="J70" s="78">
        <f t="shared" si="23"/>
        <v>0</v>
      </c>
      <c r="K70" s="78">
        <f t="shared" si="23"/>
        <v>0</v>
      </c>
      <c r="L70" s="78">
        <f t="shared" si="23"/>
        <v>0</v>
      </c>
      <c r="M70" s="78">
        <f t="shared" si="23"/>
        <v>0</v>
      </c>
      <c r="N70" s="78">
        <f t="shared" si="23"/>
        <v>0</v>
      </c>
      <c r="O70" s="78">
        <f t="shared" si="23"/>
        <v>0</v>
      </c>
      <c r="P70" s="78">
        <f t="shared" si="23"/>
        <v>0</v>
      </c>
      <c r="Q70" s="79">
        <f t="shared" si="23"/>
        <v>0</v>
      </c>
    </row>
    <row r="71" spans="2:17" s="1" customFormat="1" ht="38.25" hidden="1" x14ac:dyDescent="0.2">
      <c r="B71" s="101" t="s">
        <v>67</v>
      </c>
      <c r="C71" s="62" t="s">
        <v>68</v>
      </c>
      <c r="D71" s="61">
        <f>SUM(E71:Q71)</f>
        <v>0</v>
      </c>
      <c r="E71" s="78">
        <f t="shared" ref="E71:Q71" si="24">E$69*E28</f>
        <v>0</v>
      </c>
      <c r="F71" s="78">
        <f t="shared" si="24"/>
        <v>0</v>
      </c>
      <c r="G71" s="78">
        <f t="shared" si="24"/>
        <v>0</v>
      </c>
      <c r="H71" s="78">
        <f t="shared" si="24"/>
        <v>0</v>
      </c>
      <c r="I71" s="78">
        <f t="shared" si="24"/>
        <v>0</v>
      </c>
      <c r="J71" s="78">
        <f t="shared" si="24"/>
        <v>0</v>
      </c>
      <c r="K71" s="78">
        <f t="shared" si="24"/>
        <v>0</v>
      </c>
      <c r="L71" s="78">
        <f t="shared" si="24"/>
        <v>0</v>
      </c>
      <c r="M71" s="78">
        <f t="shared" si="24"/>
        <v>0</v>
      </c>
      <c r="N71" s="78">
        <f t="shared" si="24"/>
        <v>0</v>
      </c>
      <c r="O71" s="78">
        <f t="shared" si="24"/>
        <v>0</v>
      </c>
      <c r="P71" s="78">
        <f t="shared" si="24"/>
        <v>0</v>
      </c>
      <c r="Q71" s="79">
        <f t="shared" si="24"/>
        <v>0</v>
      </c>
    </row>
    <row r="72" spans="2:17" s="1" customFormat="1" ht="25.5" x14ac:dyDescent="0.2">
      <c r="B72" s="150" t="s">
        <v>101</v>
      </c>
      <c r="C72" s="149" t="s">
        <v>100</v>
      </c>
      <c r="D72" s="61">
        <f>SUM(E72:Q72)</f>
        <v>-2173992.6869534315</v>
      </c>
      <c r="E72" s="78">
        <f>(E41+E49)</f>
        <v>-398834.15989811585</v>
      </c>
      <c r="F72" s="78">
        <f t="shared" ref="F72:Q72" si="25">(F41+F49)</f>
        <v>-778388.89161981479</v>
      </c>
      <c r="G72" s="78">
        <f t="shared" si="25"/>
        <v>-565614.26010934368</v>
      </c>
      <c r="H72" s="78">
        <f t="shared" si="25"/>
        <v>-252039.76822074203</v>
      </c>
      <c r="I72" s="78">
        <f t="shared" si="25"/>
        <v>-148223.94735116616</v>
      </c>
      <c r="J72" s="78">
        <f t="shared" si="25"/>
        <v>0</v>
      </c>
      <c r="K72" s="78">
        <f t="shared" si="25"/>
        <v>-30891.659754248911</v>
      </c>
      <c r="L72" s="78">
        <f t="shared" si="25"/>
        <v>0</v>
      </c>
      <c r="M72" s="78">
        <f t="shared" si="25"/>
        <v>0</v>
      </c>
      <c r="N72" s="78">
        <f t="shared" si="25"/>
        <v>0</v>
      </c>
      <c r="O72" s="78">
        <f t="shared" si="25"/>
        <v>0</v>
      </c>
      <c r="P72" s="78">
        <f t="shared" si="25"/>
        <v>0</v>
      </c>
      <c r="Q72" s="79">
        <f t="shared" si="25"/>
        <v>0</v>
      </c>
    </row>
    <row r="73" spans="2:17" s="1" customFormat="1" ht="25.5" x14ac:dyDescent="0.2">
      <c r="B73" s="150" t="s">
        <v>102</v>
      </c>
      <c r="C73" s="149" t="s">
        <v>106</v>
      </c>
      <c r="D73" s="61">
        <f>SUM(E73:Q73)</f>
        <v>3377591.2350329887</v>
      </c>
      <c r="E73" s="78">
        <f t="shared" ref="E73:Q73" si="26">(E33+E34+E35+E36+E39+E40)</f>
        <v>-1383277.8445726745</v>
      </c>
      <c r="F73" s="78">
        <f t="shared" si="26"/>
        <v>-3786350.9020275404</v>
      </c>
      <c r="G73" s="78">
        <f t="shared" si="26"/>
        <v>-4554399.6920105005</v>
      </c>
      <c r="H73" s="78">
        <f t="shared" si="26"/>
        <v>-1278557.4583188791</v>
      </c>
      <c r="I73" s="78">
        <f t="shared" si="26"/>
        <v>-1381590.1073151925</v>
      </c>
      <c r="J73" s="78">
        <f t="shared" si="26"/>
        <v>90211.51536088693</v>
      </c>
      <c r="K73" s="78">
        <f t="shared" si="26"/>
        <v>-187638.30422101423</v>
      </c>
      <c r="L73" s="78">
        <f t="shared" si="26"/>
        <v>274054.64307063119</v>
      </c>
      <c r="M73" s="78">
        <f t="shared" si="26"/>
        <v>-90460.116534939851</v>
      </c>
      <c r="N73" s="78">
        <f t="shared" si="26"/>
        <v>-27475.521898287072</v>
      </c>
      <c r="O73" s="78">
        <f t="shared" si="26"/>
        <v>2117.322647877314</v>
      </c>
      <c r="P73" s="78">
        <f t="shared" si="26"/>
        <v>-29351.089687787331</v>
      </c>
      <c r="Q73" s="79">
        <f t="shared" si="26"/>
        <v>15730308.790540406</v>
      </c>
    </row>
    <row r="74" spans="2:17" s="1" customFormat="1" x14ac:dyDescent="0.2">
      <c r="B74" s="101"/>
      <c r="C74" s="62"/>
      <c r="D74" s="61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9"/>
    </row>
    <row r="75" spans="2:17" s="2" customFormat="1" x14ac:dyDescent="0.2">
      <c r="B75" s="102" t="s">
        <v>69</v>
      </c>
      <c r="C75" s="149" t="s">
        <v>103</v>
      </c>
      <c r="D75" s="103">
        <f>SUM(E75:Q75)</f>
        <v>-2173992.6869534315</v>
      </c>
      <c r="E75" s="82">
        <f>E70+E72</f>
        <v>-398834.15989811585</v>
      </c>
      <c r="F75" s="82">
        <f t="shared" ref="F75:Q76" si="27">F70+F72</f>
        <v>-778388.89161981479</v>
      </c>
      <c r="G75" s="82">
        <f t="shared" si="27"/>
        <v>-565614.26010934368</v>
      </c>
      <c r="H75" s="82">
        <f t="shared" si="27"/>
        <v>-252039.76822074203</v>
      </c>
      <c r="I75" s="82">
        <f t="shared" si="27"/>
        <v>-148223.94735116616</v>
      </c>
      <c r="J75" s="82">
        <f t="shared" si="27"/>
        <v>0</v>
      </c>
      <c r="K75" s="82">
        <f t="shared" si="27"/>
        <v>-30891.659754248911</v>
      </c>
      <c r="L75" s="82">
        <f>L70+L72</f>
        <v>0</v>
      </c>
      <c r="M75" s="82">
        <f t="shared" si="27"/>
        <v>0</v>
      </c>
      <c r="N75" s="82">
        <f t="shared" si="27"/>
        <v>0</v>
      </c>
      <c r="O75" s="82">
        <f t="shared" si="27"/>
        <v>0</v>
      </c>
      <c r="P75" s="82">
        <f t="shared" si="27"/>
        <v>0</v>
      </c>
      <c r="Q75" s="83">
        <f t="shared" si="27"/>
        <v>0</v>
      </c>
    </row>
    <row r="76" spans="2:17" s="2" customFormat="1" x14ac:dyDescent="0.2">
      <c r="B76" s="102" t="s">
        <v>70</v>
      </c>
      <c r="C76" s="151" t="s">
        <v>104</v>
      </c>
      <c r="D76" s="103">
        <f t="shared" si="22"/>
        <v>3377591.2350329887</v>
      </c>
      <c r="E76" s="82">
        <f>E71+E73</f>
        <v>-1383277.8445726745</v>
      </c>
      <c r="F76" s="82">
        <f t="shared" si="27"/>
        <v>-3786350.9020275404</v>
      </c>
      <c r="G76" s="82">
        <f t="shared" si="27"/>
        <v>-4554399.6920105005</v>
      </c>
      <c r="H76" s="82">
        <f t="shared" si="27"/>
        <v>-1278557.4583188791</v>
      </c>
      <c r="I76" s="82">
        <f t="shared" si="27"/>
        <v>-1381590.1073151925</v>
      </c>
      <c r="J76" s="82">
        <f t="shared" si="27"/>
        <v>90211.51536088693</v>
      </c>
      <c r="K76" s="82">
        <f t="shared" si="27"/>
        <v>-187638.30422101423</v>
      </c>
      <c r="L76" s="82">
        <f t="shared" si="27"/>
        <v>274054.64307063119</v>
      </c>
      <c r="M76" s="82">
        <f t="shared" si="27"/>
        <v>-90460.116534939851</v>
      </c>
      <c r="N76" s="82">
        <f t="shared" si="27"/>
        <v>-27475.521898287072</v>
      </c>
      <c r="O76" s="82">
        <f t="shared" si="27"/>
        <v>2117.322647877314</v>
      </c>
      <c r="P76" s="82">
        <f t="shared" si="27"/>
        <v>-29351.089687787331</v>
      </c>
      <c r="Q76" s="83">
        <f t="shared" si="27"/>
        <v>15730308.790540406</v>
      </c>
    </row>
    <row r="77" spans="2:17" s="2" customFormat="1" x14ac:dyDescent="0.2">
      <c r="B77" s="104" t="s">
        <v>71</v>
      </c>
      <c r="C77" s="1" t="s">
        <v>72</v>
      </c>
      <c r="D77" s="103">
        <f>SUM(E77:Q77)</f>
        <v>-23805267.761126556</v>
      </c>
      <c r="E77" s="82">
        <f t="shared" ref="E77:Q77" si="28">E37</f>
        <v>-540220.55199980235</v>
      </c>
      <c r="F77" s="82">
        <f t="shared" si="28"/>
        <v>-969156.74760440993</v>
      </c>
      <c r="G77" s="82">
        <f t="shared" si="28"/>
        <v>-1139529.3430564667</v>
      </c>
      <c r="H77" s="82">
        <f t="shared" si="28"/>
        <v>-29428.012134579698</v>
      </c>
      <c r="I77" s="82">
        <f t="shared" si="28"/>
        <v>-1717338.8652359908</v>
      </c>
      <c r="J77" s="82">
        <f t="shared" si="28"/>
        <v>-7932498.9966946011</v>
      </c>
      <c r="K77" s="82">
        <f t="shared" si="28"/>
        <v>-520039.10687451501</v>
      </c>
      <c r="L77" s="82">
        <f t="shared" si="28"/>
        <v>-2062009.8741690274</v>
      </c>
      <c r="M77" s="82">
        <f t="shared" si="28"/>
        <v>-214261.48582305416</v>
      </c>
      <c r="N77" s="82">
        <f t="shared" si="28"/>
        <v>-5046.5423356416804</v>
      </c>
      <c r="O77" s="82">
        <f t="shared" si="28"/>
        <v>-7638.7026303422172</v>
      </c>
      <c r="P77" s="82">
        <f t="shared" si="28"/>
        <v>-122856.06016764241</v>
      </c>
      <c r="Q77" s="83">
        <f t="shared" si="28"/>
        <v>-8545243.4724004809</v>
      </c>
    </row>
    <row r="78" spans="2:17" s="2" customFormat="1" x14ac:dyDescent="0.2">
      <c r="B78" s="104" t="s">
        <v>73</v>
      </c>
      <c r="C78" s="1" t="s">
        <v>74</v>
      </c>
      <c r="D78" s="103">
        <f t="shared" ref="D78:D79" si="29">SUM(E78:Q78)</f>
        <v>-16348981.812304489</v>
      </c>
      <c r="E78" s="82">
        <f>E$58</f>
        <v>-1419188.8730503914</v>
      </c>
      <c r="F78" s="82">
        <f t="shared" ref="F78:H78" si="30">F$58</f>
        <v>-4689400.6014594464</v>
      </c>
      <c r="G78" s="82">
        <f t="shared" si="30"/>
        <v>-7698093.3727586567</v>
      </c>
      <c r="H78" s="82">
        <f t="shared" si="30"/>
        <v>-1609041.9220567881</v>
      </c>
      <c r="I78" s="82">
        <f t="shared" ref="I78:Q78" si="31">I$58*I27</f>
        <v>-476907.55891720869</v>
      </c>
      <c r="J78" s="82">
        <f t="shared" si="31"/>
        <v>-97574.222604798866</v>
      </c>
      <c r="K78" s="82">
        <f t="shared" si="31"/>
        <v>-78316.332404932546</v>
      </c>
      <c r="L78" s="82">
        <f t="shared" si="31"/>
        <v>-29533.680577542826</v>
      </c>
      <c r="M78" s="82">
        <f t="shared" si="31"/>
        <v>-3283.9836729242124</v>
      </c>
      <c r="N78" s="82">
        <f t="shared" si="31"/>
        <v>-10566.765810364199</v>
      </c>
      <c r="O78" s="82">
        <f t="shared" si="31"/>
        <v>-35280.380012365174</v>
      </c>
      <c r="P78" s="82">
        <f t="shared" si="31"/>
        <v>-48102.427126791787</v>
      </c>
      <c r="Q78" s="83">
        <f t="shared" si="31"/>
        <v>-153691.69185227662</v>
      </c>
    </row>
    <row r="79" spans="2:17" s="2" customFormat="1" x14ac:dyDescent="0.2">
      <c r="B79" s="104" t="s">
        <v>75</v>
      </c>
      <c r="C79" s="1" t="s">
        <v>76</v>
      </c>
      <c r="D79" s="103">
        <f t="shared" si="29"/>
        <v>-5366079.7047455115</v>
      </c>
      <c r="E79" s="105"/>
      <c r="F79" s="105"/>
      <c r="G79" s="105"/>
      <c r="H79" s="105"/>
      <c r="I79" s="82">
        <f t="shared" ref="I79:Q79" si="32">I$58*I28</f>
        <v>-1882711.8400314515</v>
      </c>
      <c r="J79" s="82">
        <f t="shared" si="32"/>
        <v>-1966309.8053616646</v>
      </c>
      <c r="K79" s="82">
        <f t="shared" si="32"/>
        <v>-251980.03803189931</v>
      </c>
      <c r="L79" s="82">
        <f t="shared" si="32"/>
        <v>-379267.10010343161</v>
      </c>
      <c r="M79" s="82">
        <f t="shared" si="32"/>
        <v>-149641.62771490589</v>
      </c>
      <c r="N79" s="82">
        <f t="shared" si="32"/>
        <v>-28455.374485228971</v>
      </c>
      <c r="O79" s="82">
        <f t="shared" si="32"/>
        <v>-10491.902413335269</v>
      </c>
      <c r="P79" s="82">
        <f t="shared" si="32"/>
        <v>-29482.132755130438</v>
      </c>
      <c r="Q79" s="83">
        <f t="shared" si="32"/>
        <v>-667739.88384846319</v>
      </c>
    </row>
    <row r="80" spans="2:17" s="1" customFormat="1" ht="13.5" thickBot="1" x14ac:dyDescent="0.25">
      <c r="B80" s="106"/>
      <c r="C80" s="29"/>
      <c r="D80" s="107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9"/>
    </row>
    <row r="81" spans="2:25" s="1" customFormat="1" ht="13.5" thickBot="1" x14ac:dyDescent="0.25">
      <c r="B81" s="110"/>
      <c r="D81" s="103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9"/>
    </row>
    <row r="82" spans="2:25" s="1" customFormat="1" x14ac:dyDescent="0.2">
      <c r="B82" s="50" t="s">
        <v>77</v>
      </c>
      <c r="C82" s="51"/>
      <c r="D82" s="52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3"/>
    </row>
    <row r="83" spans="2:25" s="1" customFormat="1" x14ac:dyDescent="0.2">
      <c r="B83" s="91"/>
      <c r="D83" s="13"/>
      <c r="Q83" s="3"/>
    </row>
    <row r="84" spans="2:25" s="1" customFormat="1" ht="25.5" x14ac:dyDescent="0.2">
      <c r="B84" s="91"/>
      <c r="C84" s="111" t="s">
        <v>78</v>
      </c>
      <c r="D84" s="54"/>
      <c r="E84" s="112" t="s">
        <v>5</v>
      </c>
      <c r="F84" s="112" t="s">
        <v>6</v>
      </c>
      <c r="G84" s="112" t="s">
        <v>7</v>
      </c>
      <c r="H84" s="112" t="s">
        <v>8</v>
      </c>
      <c r="I84" s="112" t="s">
        <v>9</v>
      </c>
      <c r="J84" s="112" t="s">
        <v>10</v>
      </c>
      <c r="K84" s="112" t="s">
        <v>11</v>
      </c>
      <c r="L84" s="112" t="s">
        <v>12</v>
      </c>
      <c r="M84" s="112" t="s">
        <v>13</v>
      </c>
      <c r="N84" s="112" t="s">
        <v>14</v>
      </c>
      <c r="O84" s="112" t="s">
        <v>15</v>
      </c>
      <c r="P84" s="112" t="s">
        <v>16</v>
      </c>
      <c r="Q84" s="113" t="s">
        <v>17</v>
      </c>
    </row>
    <row r="85" spans="2:25" s="1" customFormat="1" x14ac:dyDescent="0.2">
      <c r="B85" s="12"/>
      <c r="C85" s="1" t="s">
        <v>18</v>
      </c>
      <c r="D85" s="93" t="s">
        <v>79</v>
      </c>
      <c r="E85" s="114">
        <f t="shared" ref="E85:Q85" si="33">E6</f>
        <v>235237.81003627038</v>
      </c>
      <c r="F85" s="114">
        <f t="shared" si="33"/>
        <v>459104.35121199378</v>
      </c>
      <c r="G85" s="114">
        <f t="shared" si="33"/>
        <v>333606.98067436524</v>
      </c>
      <c r="H85" s="114">
        <f t="shared" si="33"/>
        <v>148656.48201608978</v>
      </c>
      <c r="I85" s="114">
        <f t="shared" si="33"/>
        <v>87424.499392747457</v>
      </c>
      <c r="J85" s="114">
        <f t="shared" si="33"/>
        <v>5364.6325546258431</v>
      </c>
      <c r="K85" s="114">
        <f t="shared" si="33"/>
        <v>18220.320924445055</v>
      </c>
      <c r="L85" s="114">
        <f t="shared" si="33"/>
        <v>1754.7744791356233</v>
      </c>
      <c r="M85" s="114">
        <f t="shared" si="33"/>
        <v>5579.0157766419379</v>
      </c>
      <c r="N85" s="114">
        <f t="shared" si="33"/>
        <v>22139.252262299073</v>
      </c>
      <c r="O85" s="114">
        <f t="shared" si="33"/>
        <v>5588.6592042735138</v>
      </c>
      <c r="P85" s="114">
        <f t="shared" si="33"/>
        <v>1464.5068376351069</v>
      </c>
      <c r="Q85" s="115">
        <f t="shared" si="33"/>
        <v>815.64154969163042</v>
      </c>
    </row>
    <row r="86" spans="2:25" s="1" customFormat="1" x14ac:dyDescent="0.2">
      <c r="B86" s="91"/>
      <c r="C86" s="1" t="s">
        <v>80</v>
      </c>
      <c r="D86" s="93" t="s">
        <v>21</v>
      </c>
      <c r="E86" s="114">
        <f t="shared" ref="E86:Q86" si="34">E8</f>
        <v>1919930037.8522115</v>
      </c>
      <c r="F86" s="114">
        <f t="shared" si="34"/>
        <v>4588968776.41924</v>
      </c>
      <c r="G86" s="114">
        <f t="shared" si="34"/>
        <v>4181173637.9573803</v>
      </c>
      <c r="H86" s="114">
        <f t="shared" si="34"/>
        <v>555477637.40921152</v>
      </c>
      <c r="I86" s="114">
        <f t="shared" si="34"/>
        <v>2096098357.1619508</v>
      </c>
      <c r="J86" s="114">
        <f t="shared" si="34"/>
        <v>2392395090.2156491</v>
      </c>
      <c r="K86" s="114">
        <f t="shared" si="34"/>
        <v>588972120.04674149</v>
      </c>
      <c r="L86" s="114">
        <f t="shared" si="34"/>
        <v>1014221954.2406397</v>
      </c>
      <c r="M86" s="114">
        <f t="shared" si="34"/>
        <v>99780342.052679271</v>
      </c>
      <c r="N86" s="114">
        <f t="shared" si="34"/>
        <v>13161718.207125986</v>
      </c>
      <c r="O86" s="114">
        <f t="shared" si="34"/>
        <v>29820725.929010678</v>
      </c>
      <c r="P86" s="114">
        <f t="shared" si="34"/>
        <v>29635586.620933183</v>
      </c>
      <c r="Q86" s="115">
        <f t="shared" si="34"/>
        <v>15108042401.336531</v>
      </c>
    </row>
    <row r="87" spans="2:25" s="1" customFormat="1" x14ac:dyDescent="0.2">
      <c r="B87" s="12"/>
      <c r="C87" s="1" t="s">
        <v>80</v>
      </c>
      <c r="D87" s="93" t="s">
        <v>81</v>
      </c>
      <c r="E87" s="15"/>
      <c r="F87" s="15"/>
      <c r="G87" s="15"/>
      <c r="H87" s="15"/>
      <c r="I87" s="15"/>
      <c r="J87" s="14">
        <f>VLOOKUP(J5,'[1]Rate Design'!$A:$F,5,FALSE)</f>
        <v>7694461.3831822984</v>
      </c>
      <c r="K87" s="15"/>
      <c r="L87" s="14">
        <f>VLOOKUP(L5,'[1]Rate Design'!$A:$F,5,FALSE)</f>
        <v>2581633.9861549716</v>
      </c>
      <c r="M87" s="15"/>
      <c r="N87" s="15"/>
      <c r="O87" s="15"/>
      <c r="P87" s="14">
        <f>VLOOKUP(P5,'[1]Rate Design'!$A:$F,5,FALSE)</f>
        <v>216000.74868619369</v>
      </c>
      <c r="Q87" s="17">
        <f>VLOOKUP(Q5,'[1]Rate Design'!$A:$F,5,FALSE)</f>
        <v>30486196.140494023</v>
      </c>
      <c r="R87" s="41"/>
      <c r="S87" s="41"/>
      <c r="T87" s="41"/>
      <c r="U87" s="41"/>
      <c r="V87" s="41"/>
      <c r="W87" s="41"/>
      <c r="X87" s="41"/>
      <c r="Y87" s="41"/>
    </row>
    <row r="88" spans="2:25" s="1" customFormat="1" ht="38.25" x14ac:dyDescent="0.2">
      <c r="B88" s="91"/>
      <c r="C88" s="62" t="s">
        <v>82</v>
      </c>
      <c r="D88" s="93" t="s">
        <v>21</v>
      </c>
      <c r="E88" s="114">
        <f t="shared" ref="E88:Q88" si="35">E10</f>
        <v>138262189.67770073</v>
      </c>
      <c r="F88" s="114">
        <f t="shared" si="35"/>
        <v>248042644.00654176</v>
      </c>
      <c r="G88" s="114">
        <f t="shared" si="35"/>
        <v>291647219.99143147</v>
      </c>
      <c r="H88" s="114">
        <f t="shared" si="35"/>
        <v>7531704.1910512606</v>
      </c>
      <c r="I88" s="114">
        <f t="shared" si="35"/>
        <v>439529801.38792044</v>
      </c>
      <c r="J88" s="114">
        <f t="shared" si="35"/>
        <v>2030216504.794436</v>
      </c>
      <c r="K88" s="114">
        <f t="shared" si="35"/>
        <v>133097020.03809099</v>
      </c>
      <c r="L88" s="114">
        <f t="shared" si="35"/>
        <v>527743713.71890002</v>
      </c>
      <c r="M88" s="114">
        <f t="shared" si="35"/>
        <v>54837347.6052128</v>
      </c>
      <c r="N88" s="114">
        <f t="shared" si="35"/>
        <v>1291594.6848821333</v>
      </c>
      <c r="O88" s="114">
        <f t="shared" si="35"/>
        <v>1955023.2734727825</v>
      </c>
      <c r="P88" s="114">
        <f t="shared" si="35"/>
        <v>31443357.404810105</v>
      </c>
      <c r="Q88" s="115">
        <f t="shared" si="35"/>
        <v>2187040218.0174766</v>
      </c>
    </row>
    <row r="89" spans="2:25" s="1" customFormat="1" x14ac:dyDescent="0.2">
      <c r="B89" s="91"/>
      <c r="C89" s="62"/>
      <c r="D89" s="54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3"/>
    </row>
    <row r="90" spans="2:25" s="1" customFormat="1" x14ac:dyDescent="0.2">
      <c r="B90" s="12"/>
      <c r="C90" s="116" t="s">
        <v>83</v>
      </c>
      <c r="D90" s="117" t="s">
        <v>84</v>
      </c>
      <c r="E90" s="112" t="s">
        <v>5</v>
      </c>
      <c r="F90" s="112" t="s">
        <v>6</v>
      </c>
      <c r="G90" s="112" t="s">
        <v>7</v>
      </c>
      <c r="H90" s="112" t="s">
        <v>8</v>
      </c>
      <c r="I90" s="112" t="s">
        <v>9</v>
      </c>
      <c r="J90" s="112" t="s">
        <v>10</v>
      </c>
      <c r="K90" s="112" t="s">
        <v>11</v>
      </c>
      <c r="L90" s="112" t="s">
        <v>12</v>
      </c>
      <c r="M90" s="112" t="s">
        <v>13</v>
      </c>
      <c r="N90" s="112" t="s">
        <v>14</v>
      </c>
      <c r="O90" s="112" t="s">
        <v>15</v>
      </c>
      <c r="P90" s="112" t="s">
        <v>16</v>
      </c>
      <c r="Q90" s="113" t="s">
        <v>17</v>
      </c>
    </row>
    <row r="91" spans="2:25" s="1" customFormat="1" x14ac:dyDescent="0.2">
      <c r="B91" s="12"/>
      <c r="C91" s="118" t="s">
        <v>85</v>
      </c>
      <c r="D91" s="117" t="s">
        <v>86</v>
      </c>
      <c r="E91" s="119">
        <f t="shared" ref="E91:Q91" si="36">ROUND(E75/E85/$C63,2)</f>
        <v>-0.14000000000000001</v>
      </c>
      <c r="F91" s="119">
        <f t="shared" si="36"/>
        <v>-0.14000000000000001</v>
      </c>
      <c r="G91" s="119">
        <f t="shared" si="36"/>
        <v>-0.14000000000000001</v>
      </c>
      <c r="H91" s="119">
        <f t="shared" si="36"/>
        <v>-0.14000000000000001</v>
      </c>
      <c r="I91" s="119">
        <f t="shared" si="36"/>
        <v>-0.14000000000000001</v>
      </c>
      <c r="J91" s="119">
        <f t="shared" si="36"/>
        <v>0</v>
      </c>
      <c r="K91" s="119">
        <f t="shared" si="36"/>
        <v>-0.14000000000000001</v>
      </c>
      <c r="L91" s="119">
        <f t="shared" si="36"/>
        <v>0</v>
      </c>
      <c r="M91" s="119">
        <f t="shared" si="36"/>
        <v>0</v>
      </c>
      <c r="N91" s="119">
        <f t="shared" si="36"/>
        <v>0</v>
      </c>
      <c r="O91" s="119">
        <f t="shared" si="36"/>
        <v>0</v>
      </c>
      <c r="P91" s="119">
        <f t="shared" si="36"/>
        <v>0</v>
      </c>
      <c r="Q91" s="120">
        <f t="shared" si="36"/>
        <v>0</v>
      </c>
    </row>
    <row r="92" spans="2:25" s="1" customFormat="1" ht="38.25" x14ac:dyDescent="0.2">
      <c r="B92" s="12"/>
      <c r="C92" s="118" t="s">
        <v>87</v>
      </c>
      <c r="D92" s="117" t="s">
        <v>88</v>
      </c>
      <c r="E92" s="121">
        <f>ROUND(E76/(E86*$C63/12),4)</f>
        <v>-6.9999999999999999E-4</v>
      </c>
      <c r="F92" s="121">
        <f>ROUND(F76/(F86*$C63/12),4)</f>
        <v>-8.0000000000000004E-4</v>
      </c>
      <c r="G92" s="121">
        <f>ROUND(G76/(G86*$C63/12),4)</f>
        <v>-1.1000000000000001E-3</v>
      </c>
      <c r="H92" s="121">
        <f>ROUND(H76/(H86*$C63/12),4)</f>
        <v>-2.3E-3</v>
      </c>
      <c r="I92" s="121">
        <f>ROUND(I76/(I86*$C63/12),4)</f>
        <v>-6.9999999999999999E-4</v>
      </c>
      <c r="J92" s="121">
        <f>ROUND(J76/(J87*$C63/12),4)</f>
        <v>1.17E-2</v>
      </c>
      <c r="K92" s="121">
        <f>ROUND(K76/(K86*$C63/12),4)</f>
        <v>-2.9999999999999997E-4</v>
      </c>
      <c r="L92" s="121">
        <f>ROUND(L76/(L87*$C63/12),4)</f>
        <v>0.1062</v>
      </c>
      <c r="M92" s="121">
        <f>ROUND(M76/(M86*$C63/12),4)</f>
        <v>-8.9999999999999998E-4</v>
      </c>
      <c r="N92" s="121">
        <f>ROUND(N76/(N86*$C63/12),4)</f>
        <v>-2.0999999999999999E-3</v>
      </c>
      <c r="O92" s="121">
        <f>ROUND(O76/(O86*$C63/12),4)</f>
        <v>1E-4</v>
      </c>
      <c r="P92" s="121">
        <f>ROUND(P76/(P87*$C63/12),4)</f>
        <v>-0.13589999999999999</v>
      </c>
      <c r="Q92" s="122" t="s">
        <v>89</v>
      </c>
    </row>
    <row r="93" spans="2:25" s="1" customFormat="1" x14ac:dyDescent="0.2">
      <c r="B93" s="12"/>
      <c r="C93" s="111" t="s">
        <v>90</v>
      </c>
      <c r="D93" s="117" t="s">
        <v>91</v>
      </c>
      <c r="E93" s="121">
        <f t="shared" ref="E93:Q93" si="37">ROUND(E77/(E10*($C63/12)),4)</f>
        <v>-3.8999999999999998E-3</v>
      </c>
      <c r="F93" s="121">
        <f t="shared" si="37"/>
        <v>-3.8999999999999998E-3</v>
      </c>
      <c r="G93" s="121">
        <f t="shared" si="37"/>
        <v>-3.8999999999999998E-3</v>
      </c>
      <c r="H93" s="121">
        <f t="shared" si="37"/>
        <v>-3.8999999999999998E-3</v>
      </c>
      <c r="I93" s="121">
        <f t="shared" si="37"/>
        <v>-3.8999999999999998E-3</v>
      </c>
      <c r="J93" s="121">
        <f t="shared" si="37"/>
        <v>-3.8999999999999998E-3</v>
      </c>
      <c r="K93" s="121">
        <f t="shared" si="37"/>
        <v>-3.8999999999999998E-3</v>
      </c>
      <c r="L93" s="121">
        <f t="shared" si="37"/>
        <v>-3.8999999999999998E-3</v>
      </c>
      <c r="M93" s="121">
        <f t="shared" si="37"/>
        <v>-3.8999999999999998E-3</v>
      </c>
      <c r="N93" s="121">
        <f t="shared" si="37"/>
        <v>-3.8999999999999998E-3</v>
      </c>
      <c r="O93" s="121">
        <f t="shared" si="37"/>
        <v>-3.8999999999999998E-3</v>
      </c>
      <c r="P93" s="121">
        <f t="shared" si="37"/>
        <v>-3.8999999999999998E-3</v>
      </c>
      <c r="Q93" s="123">
        <f t="shared" si="37"/>
        <v>-3.8999999999999998E-3</v>
      </c>
    </row>
    <row r="94" spans="2:25" s="1" customFormat="1" x14ac:dyDescent="0.2">
      <c r="B94" s="12"/>
      <c r="C94" s="118" t="s">
        <v>92</v>
      </c>
      <c r="D94" s="117" t="s">
        <v>86</v>
      </c>
      <c r="E94" s="119">
        <f t="shared" ref="E94:Q94" si="38">ROUND(E78/E85/$C63,2)</f>
        <v>-0.5</v>
      </c>
      <c r="F94" s="119">
        <f t="shared" si="38"/>
        <v>-0.85</v>
      </c>
      <c r="G94" s="119">
        <f t="shared" si="38"/>
        <v>-1.92</v>
      </c>
      <c r="H94" s="119">
        <f t="shared" si="38"/>
        <v>-0.9</v>
      </c>
      <c r="I94" s="119">
        <f t="shared" si="38"/>
        <v>-0.45</v>
      </c>
      <c r="J94" s="119">
        <f t="shared" si="38"/>
        <v>-1.52</v>
      </c>
      <c r="K94" s="119">
        <f t="shared" si="38"/>
        <v>-0.36</v>
      </c>
      <c r="L94" s="119">
        <f t="shared" si="38"/>
        <v>-1.4</v>
      </c>
      <c r="M94" s="119">
        <f t="shared" si="38"/>
        <v>-0.05</v>
      </c>
      <c r="N94" s="119">
        <f t="shared" si="38"/>
        <v>-0.04</v>
      </c>
      <c r="O94" s="119">
        <f t="shared" si="38"/>
        <v>-0.53</v>
      </c>
      <c r="P94" s="119">
        <f t="shared" si="38"/>
        <v>-2.74</v>
      </c>
      <c r="Q94" s="120">
        <f t="shared" si="38"/>
        <v>-15.7</v>
      </c>
    </row>
    <row r="95" spans="2:25" s="1" customFormat="1" ht="13.5" thickBot="1" x14ac:dyDescent="0.25">
      <c r="B95" s="28"/>
      <c r="C95" s="124" t="s">
        <v>93</v>
      </c>
      <c r="D95" s="125" t="s">
        <v>88</v>
      </c>
      <c r="E95" s="126"/>
      <c r="F95" s="126"/>
      <c r="G95" s="126"/>
      <c r="H95" s="126"/>
      <c r="I95" s="127">
        <f>ROUND(I79/(I86*$C63/12),4)</f>
        <v>-8.9999999999999998E-4</v>
      </c>
      <c r="J95" s="127">
        <f>ROUND(J79/(J87*$C63/12),4)</f>
        <v>-0.2555</v>
      </c>
      <c r="K95" s="127">
        <f>ROUND(K79/(K86*$C63/12),4)</f>
        <v>-4.0000000000000002E-4</v>
      </c>
      <c r="L95" s="127">
        <f>ROUND(L79/(L86*$C63/12),4)</f>
        <v>-4.0000000000000002E-4</v>
      </c>
      <c r="M95" s="127">
        <f>ROUND(M79/(M86*$C63/12),4)</f>
        <v>-1.5E-3</v>
      </c>
      <c r="N95" s="127">
        <f>ROUND(N79/(N86*$C63/12),4)</f>
        <v>-2.2000000000000001E-3</v>
      </c>
      <c r="O95" s="127">
        <f>ROUND(O79/(O86*$C63/12),4)</f>
        <v>-4.0000000000000002E-4</v>
      </c>
      <c r="P95" s="127">
        <f>ROUND(P79/(P87*$C63/12),4)</f>
        <v>-0.13650000000000001</v>
      </c>
      <c r="Q95" s="128">
        <f>ROUND(Q79/(Q87*$C63/12),4)</f>
        <v>-2.1899999999999999E-2</v>
      </c>
    </row>
    <row r="97" spans="2:15" ht="13.5" thickBot="1" x14ac:dyDescent="0.25">
      <c r="I97" s="130"/>
    </row>
    <row r="98" spans="2:15" ht="39" thickBot="1" x14ac:dyDescent="0.25">
      <c r="C98" s="131" t="s">
        <v>94</v>
      </c>
      <c r="D98" s="132" t="s">
        <v>95</v>
      </c>
      <c r="E98" s="132" t="s">
        <v>96</v>
      </c>
      <c r="F98" s="133" t="s">
        <v>97</v>
      </c>
      <c r="G98" s="134"/>
      <c r="H98" s="134"/>
      <c r="I98" s="134"/>
      <c r="J98" s="135"/>
      <c r="K98" s="135"/>
      <c r="L98" s="134"/>
      <c r="M98" s="134"/>
      <c r="N98" s="134"/>
      <c r="O98" s="134"/>
    </row>
    <row r="99" spans="2:15" x14ac:dyDescent="0.2">
      <c r="C99" s="136"/>
      <c r="D99" s="137"/>
      <c r="E99" s="137"/>
      <c r="F99" s="138"/>
      <c r="G99" s="135"/>
      <c r="H99" s="135"/>
      <c r="I99" s="139"/>
      <c r="J99" s="135"/>
      <c r="K99" s="135"/>
      <c r="L99" s="135"/>
      <c r="M99" s="135"/>
      <c r="N99" s="135"/>
      <c r="O99" s="135"/>
    </row>
    <row r="100" spans="2:15" ht="51" x14ac:dyDescent="0.2">
      <c r="C100" s="140" t="s">
        <v>98</v>
      </c>
      <c r="D100" s="141">
        <f>Q76-Q33-Q39</f>
        <v>27360685.713978894</v>
      </c>
      <c r="E100" s="141">
        <f>[6]Charge_dets_SUMMARY!$C$14</f>
        <v>28971974.436855964</v>
      </c>
      <c r="F100" s="142">
        <f>ROUND(D100/(E100*($C63/12)),4)</f>
        <v>0.94440000000000002</v>
      </c>
      <c r="G100" s="134"/>
      <c r="H100" s="143"/>
      <c r="I100" s="143"/>
    </row>
    <row r="101" spans="2:15" ht="39" thickBot="1" x14ac:dyDescent="0.25">
      <c r="C101" s="144" t="s">
        <v>99</v>
      </c>
      <c r="D101" s="145">
        <f>Q33+Q39</f>
        <v>-11630376.923438489</v>
      </c>
      <c r="E101" s="145">
        <f>[6]Charge_dets_SUMMARY!$C$15</f>
        <v>10212102.590407928</v>
      </c>
      <c r="F101" s="146">
        <f>ROUND(D101/(E101*($C63/12)),4)</f>
        <v>-1.1389</v>
      </c>
      <c r="G101" s="143"/>
      <c r="H101" s="143"/>
      <c r="I101" s="143"/>
      <c r="J101" s="143"/>
      <c r="K101" s="143"/>
      <c r="L101" s="143"/>
      <c r="M101" s="143"/>
      <c r="N101" s="143"/>
      <c r="O101" s="143"/>
    </row>
    <row r="102" spans="2:15" x14ac:dyDescent="0.2">
      <c r="D102" s="147">
        <f>SUM(D100:D101)</f>
        <v>15730308.790540405</v>
      </c>
      <c r="E102" s="130"/>
    </row>
    <row r="103" spans="2:15" x14ac:dyDescent="0.2"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</row>
    <row r="104" spans="2:15" x14ac:dyDescent="0.2">
      <c r="B104" t="s">
        <v>110</v>
      </c>
    </row>
    <row r="105" spans="2:15" x14ac:dyDescent="0.2">
      <c r="B105" t="s">
        <v>108</v>
      </c>
    </row>
  </sheetData>
  <mergeCells count="1">
    <mergeCell ref="B2:Q2"/>
  </mergeCells>
  <printOptions horizontalCentered="1"/>
  <pageMargins left="0.75" right="0.75" top="1" bottom="1" header="0.5" footer="0.5"/>
  <pageSetup paperSize="17" scale="47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7e651a3a-8d05-4ee0-9344-b668032e30e0">Hydro One Networks Inc. - HONI</Applicant>
    <Witness xmlns="7e651a3a-8d05-4ee0-9344-b668032e30e0">
      <UserInfo>
        <DisplayName/>
        <AccountId xsi:nil="true"/>
        <AccountType/>
      </UserInfo>
    </Witness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>Ready</DraftReady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 xsi:nil="true"/>
    <TaxCatchAll xmlns="1f5e108a-442b-424d-88d6-fdac133e65d6" xsi:nil="true"/>
    <Strategic xmlns="7e651a3a-8d05-4ee0-9344-b668032e30e0">false</Strategic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JeffSmithApproval xmlns="7e651a3a-8d05-4ee0-9344-b668032e30e0">No</JeffSmithApprova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7" ma:contentTypeDescription="Create a new document." ma:contentTypeScope="" ma:versionID="6dead2ce9ec8cb57e304b4ca46259d86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de18681cfe2e53236fe1d9f55758ed0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5F952-8F4A-479F-939C-DF418EE79114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1f5e108a-442b-424d-88d6-fdac133e65d6"/>
    <ds:schemaRef ds:uri="7e651a3a-8d05-4ee0-9344-b668032e30e0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BD3DAA-0463-440E-B77D-28E9DC97B3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EA9A6E-CDB9-4EC7-BF48-F60727B87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 Rider Allocators 2021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 Susan</dc:creator>
  <cp:lastModifiedBy>Muhammad Qureshi</cp:lastModifiedBy>
  <cp:lastPrinted>2020-08-26T21:41:50Z</cp:lastPrinted>
  <dcterms:created xsi:type="dcterms:W3CDTF">2020-08-14T12:56:19Z</dcterms:created>
  <dcterms:modified xsi:type="dcterms:W3CDTF">2025-08-27T13:15:08Z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