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ORPC Files\Management\Accounting\Rate Applications\2025 Deferral Account Request\5 - Interrogatories\"/>
    </mc:Choice>
  </mc:AlternateContent>
  <xr:revisionPtr revIDLastSave="0" documentId="13_ncr:1_{521ABCF1-5973-4E1B-AE90-A91792BC2A2A}" xr6:coauthVersionLast="47" xr6:coauthVersionMax="47" xr10:uidLastSave="{00000000-0000-0000-0000-000000000000}"/>
  <bookViews>
    <workbookView xWindow="-120" yWindow="-120" windowWidth="29040" windowHeight="15720" xr2:uid="{F4FA1454-AF54-4164-B6EA-09EA68BE1E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E72" i="1"/>
  <c r="E71" i="1"/>
  <c r="E70" i="1"/>
  <c r="E69" i="1"/>
  <c r="F72" i="1"/>
  <c r="F70" i="1"/>
  <c r="F69" i="1"/>
  <c r="D52" i="1"/>
  <c r="D60" i="1"/>
  <c r="F71" i="1"/>
  <c r="B52" i="1"/>
  <c r="B60" i="1"/>
  <c r="C60" i="1"/>
  <c r="B23" i="1"/>
  <c r="D29" i="1"/>
  <c r="F60" i="1" l="1"/>
  <c r="C61" i="1" l="1"/>
  <c r="B61" i="1"/>
  <c r="D61" i="1" s="1"/>
  <c r="E61" i="1"/>
  <c r="E62" i="1" s="1"/>
  <c r="E63" i="1" s="1"/>
  <c r="E64" i="1" s="1"/>
  <c r="C52" i="1"/>
  <c r="B53" i="1"/>
  <c r="D53" i="1" s="1"/>
  <c r="E60" i="1"/>
  <c r="E52" i="1"/>
  <c r="E53" i="1"/>
  <c r="E54" i="1" s="1"/>
  <c r="E55" i="1" s="1"/>
  <c r="E56" i="1" s="1"/>
  <c r="C11" i="1"/>
  <c r="B11" i="1"/>
  <c r="C56" i="1" l="1"/>
  <c r="B64" i="1"/>
  <c r="D64" i="1" s="1"/>
  <c r="C62" i="1"/>
  <c r="C63" i="1"/>
  <c r="C54" i="1"/>
  <c r="B62" i="1"/>
  <c r="D62" i="1" s="1"/>
  <c r="C64" i="1"/>
  <c r="B55" i="1"/>
  <c r="D55" i="1" s="1"/>
  <c r="C53" i="1"/>
  <c r="F53" i="1" s="1"/>
  <c r="B69" i="1" s="1"/>
  <c r="C55" i="1"/>
  <c r="B63" i="1"/>
  <c r="D63" i="1" s="1"/>
  <c r="B56" i="1"/>
  <c r="D56" i="1" s="1"/>
  <c r="B54" i="1"/>
  <c r="D54" i="1" s="1"/>
  <c r="F52" i="1"/>
  <c r="B68" i="1" s="1"/>
  <c r="F56" i="1"/>
  <c r="B72" i="1" s="1"/>
  <c r="D11" i="1"/>
  <c r="B13" i="1"/>
  <c r="D10" i="1"/>
  <c r="F55" i="1" l="1"/>
  <c r="B71" i="1" s="1"/>
  <c r="F54" i="1"/>
  <c r="B70" i="1" s="1"/>
  <c r="F61" i="1"/>
  <c r="D26" i="1"/>
  <c r="D24" i="1"/>
  <c r="D22" i="1"/>
  <c r="D20" i="1"/>
  <c r="C33" i="1"/>
  <c r="B33" i="1"/>
  <c r="D34" i="1"/>
  <c r="B32" i="1"/>
  <c r="D39" i="1"/>
  <c r="C32" i="1"/>
  <c r="D18" i="1"/>
  <c r="C69" i="1" l="1"/>
  <c r="D69" i="1" s="1"/>
  <c r="C68" i="1"/>
  <c r="D68" i="1" s="1"/>
  <c r="F68" i="1" s="1"/>
  <c r="F62" i="1"/>
  <c r="D33" i="1"/>
  <c r="D32" i="1"/>
  <c r="C70" i="1" l="1"/>
  <c r="D70" i="1" s="1"/>
  <c r="F64" i="1"/>
  <c r="F63" i="1"/>
  <c r="D16" i="1"/>
  <c r="D14" i="1"/>
  <c r="D12" i="1"/>
  <c r="C13" i="1"/>
  <c r="B15" i="1"/>
  <c r="B21" i="1" s="1"/>
  <c r="B36" i="1" s="1"/>
  <c r="C72" i="1" l="1"/>
  <c r="D72" i="1" s="1"/>
  <c r="C71" i="1"/>
  <c r="D71" i="1" s="1"/>
  <c r="D13" i="1"/>
  <c r="C15" i="1"/>
  <c r="B17" i="1"/>
  <c r="B19" i="1" s="1"/>
  <c r="B25" i="1" s="1"/>
  <c r="D9" i="1"/>
  <c r="B37" i="1" l="1"/>
  <c r="B27" i="1"/>
  <c r="B28" i="1" s="1"/>
  <c r="C17" i="1"/>
  <c r="C19" i="1" s="1"/>
  <c r="C21" i="1"/>
  <c r="D15" i="1"/>
  <c r="C25" i="1" l="1"/>
  <c r="C27" i="1" s="1"/>
  <c r="C37" i="1"/>
  <c r="D17" i="1"/>
  <c r="C28" i="1"/>
  <c r="C29" i="1" s="1"/>
  <c r="C35" i="1" s="1"/>
  <c r="D25" i="1"/>
  <c r="D27" i="1"/>
  <c r="D21" i="1"/>
  <c r="C23" i="1"/>
  <c r="D19" i="1"/>
  <c r="D28" i="1" l="1"/>
  <c r="B29" i="1"/>
  <c r="C36" i="1"/>
  <c r="D36" i="1" s="1"/>
  <c r="D23" i="1"/>
  <c r="D37" i="1"/>
  <c r="B35" i="1" l="1"/>
  <c r="C38" i="1"/>
  <c r="C40" i="1" s="1"/>
  <c r="C44" i="1" s="1"/>
  <c r="C45" i="1" s="1"/>
  <c r="C46" i="1" s="1"/>
  <c r="C47" i="1" s="1"/>
  <c r="C48" i="1" s="1"/>
  <c r="B38" i="1" l="1"/>
  <c r="B40" i="1" s="1"/>
  <c r="B44" i="1" s="1"/>
  <c r="B45" i="1" s="1"/>
  <c r="D35" i="1"/>
  <c r="D40" i="1" l="1"/>
  <c r="D38" i="1"/>
  <c r="D44" i="1" l="1"/>
  <c r="B46" i="1" l="1"/>
  <c r="D45" i="1"/>
  <c r="B47" i="1" l="1"/>
  <c r="D46" i="1"/>
  <c r="B48" i="1" l="1"/>
  <c r="D48" i="1" s="1"/>
  <c r="D47" i="1"/>
</calcChain>
</file>

<file path=xl/sharedStrings.xml><?xml version="1.0" encoding="utf-8"?>
<sst xmlns="http://schemas.openxmlformats.org/spreadsheetml/2006/main" count="58" uniqueCount="47">
  <si>
    <t>Ottawa River Power Corporation</t>
  </si>
  <si>
    <t>EB-2025-0209</t>
  </si>
  <si>
    <t>Appendix C</t>
  </si>
  <si>
    <t>Per Board Decision</t>
  </si>
  <si>
    <t>Difference</t>
  </si>
  <si>
    <t>Recalculated</t>
  </si>
  <si>
    <t>Net Fixed Assets (average)</t>
  </si>
  <si>
    <t>Working Capital Allowance</t>
  </si>
  <si>
    <t>Total Rate Base</t>
  </si>
  <si>
    <t>Common Equity (%)</t>
  </si>
  <si>
    <t>Common Equity ($)</t>
  </si>
  <si>
    <t>Deemed Return on Equity</t>
  </si>
  <si>
    <t>Deemed Return on Equity (%)</t>
  </si>
  <si>
    <t>Deemed Return on Equity ($)</t>
  </si>
  <si>
    <t>OM&amp;A Expenses</t>
  </si>
  <si>
    <t>Income Taxes (Grossed Up)</t>
  </si>
  <si>
    <t>Deemed Interest Expense</t>
  </si>
  <si>
    <t>Return on Deemed Equity</t>
  </si>
  <si>
    <t>Service Revenue Requirement</t>
  </si>
  <si>
    <t>Revenue Offsets</t>
  </si>
  <si>
    <t>Base Revenue Requirement</t>
  </si>
  <si>
    <t>Non-ICM Amortization/Depreciation</t>
  </si>
  <si>
    <t>ICM Amortization/Depreciation</t>
  </si>
  <si>
    <t>Deemed Total Debt (%)</t>
  </si>
  <si>
    <t>Deemed Total Debt ($)</t>
  </si>
  <si>
    <t>Deemed Interest (%)</t>
  </si>
  <si>
    <t>Deemed Interest ($)</t>
  </si>
  <si>
    <t>Adjustments required to arrive at taxable utility income</t>
  </si>
  <si>
    <t>Taxable Income</t>
  </si>
  <si>
    <t>Total Tax Rate (%)</t>
  </si>
  <si>
    <t>Income Taxes</t>
  </si>
  <si>
    <t>Gross-Up of Income Taxes</t>
  </si>
  <si>
    <t>Income Taxes (Grossed-Up)</t>
  </si>
  <si>
    <t xml:space="preserve">
Difference</t>
  </si>
  <si>
    <t>Base Revenue Requirement Year</t>
  </si>
  <si>
    <t>Total</t>
  </si>
  <si>
    <t>Non-ICM Gross Fixed Assets (average)</t>
  </si>
  <si>
    <t>ICM Gross Fixed Assets (average)</t>
  </si>
  <si>
    <t>Non-ICM Accumulated Depreciation (average)</t>
  </si>
  <si>
    <t>ICM Accumulated Depreciation (average)</t>
  </si>
  <si>
    <t>Amortization / Depreciation</t>
  </si>
  <si>
    <t>ICM Revenue Requirement Year, per Board Decision - Revenues (Expenses)</t>
  </si>
  <si>
    <t>ICM Revenue Requirement Year, recalculated - Revenues (Expenses)</t>
  </si>
  <si>
    <t>ICM Revenue Requirement Year - Summary</t>
  </si>
  <si>
    <t>Incremental Income Tax Liability</t>
  </si>
  <si>
    <t>Total Revenue Requirement Impact</t>
  </si>
  <si>
    <t>ICM Revenue Requirement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</si>
</sst>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left" vertical="center" wrapText="1"/>
    </xf>
    <xf numFmtId="164" fontId="0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wrapText="1"/>
    </xf>
    <xf numFmtId="164" fontId="0" fillId="0" borderId="2" xfId="1" applyNumberFormat="1" applyFon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164" fontId="0" fillId="0" borderId="5" xfId="1" applyNumberFormat="1" applyFont="1" applyBorder="1" applyAlignment="1">
      <alignment vertical="center"/>
    </xf>
    <xf numFmtId="10" fontId="0" fillId="0" borderId="2" xfId="2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10" fontId="0" fillId="0" borderId="6" xfId="2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164" fontId="2" fillId="0" borderId="3" xfId="1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164" fontId="0" fillId="0" borderId="2" xfId="2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2" xfId="1" applyNumberFormat="1" applyFont="1" applyFill="1" applyBorder="1" applyAlignment="1">
      <alignment vertical="center"/>
    </xf>
    <xf numFmtId="0" fontId="2" fillId="0" borderId="1" xfId="0" applyFont="1" applyBorder="1"/>
    <xf numFmtId="164" fontId="0" fillId="0" borderId="0" xfId="0" applyNumberForma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164" fontId="0" fillId="0" borderId="0" xfId="0" applyNumberForma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0" fontId="0" fillId="0" borderId="0" xfId="2" applyNumberFormat="1" applyFont="1" applyBorder="1" applyAlignment="1">
      <alignment horizontal="center" vertical="center"/>
    </xf>
    <xf numFmtId="164" fontId="0" fillId="0" borderId="0" xfId="2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F4D7E-BB04-4F0B-9ABB-44D6717EDB15}">
  <dimension ref="A1:H72"/>
  <sheetViews>
    <sheetView tabSelected="1" zoomScale="145" zoomScaleNormal="145" workbookViewId="0">
      <selection activeCell="F71" sqref="F71"/>
    </sheetView>
  </sheetViews>
  <sheetFormatPr defaultRowHeight="15" x14ac:dyDescent="0.25"/>
  <cols>
    <col min="1" max="1" width="50" bestFit="1" customWidth="1"/>
    <col min="2" max="7" width="15.7109375" customWidth="1"/>
    <col min="8" max="8" width="11.7109375" bestFit="1" customWidth="1"/>
  </cols>
  <sheetData>
    <row r="1" spans="1:6" x14ac:dyDescent="0.25">
      <c r="A1" s="36" t="s">
        <v>0</v>
      </c>
      <c r="B1" s="36"/>
      <c r="C1" s="36"/>
      <c r="D1" s="36"/>
      <c r="E1" s="33"/>
    </row>
    <row r="2" spans="1:6" x14ac:dyDescent="0.25">
      <c r="A2" s="36" t="s">
        <v>1</v>
      </c>
      <c r="B2" s="36"/>
      <c r="C2" s="36"/>
      <c r="D2" s="36"/>
      <c r="E2" s="33"/>
    </row>
    <row r="3" spans="1:6" x14ac:dyDescent="0.25">
      <c r="A3" s="36" t="s">
        <v>2</v>
      </c>
      <c r="B3" s="36"/>
      <c r="C3" s="36"/>
      <c r="D3" s="36"/>
      <c r="E3" s="33"/>
    </row>
    <row r="5" spans="1:6" ht="30.75" thickBot="1" x14ac:dyDescent="0.3">
      <c r="B5" s="6" t="s">
        <v>3</v>
      </c>
      <c r="C5" s="6" t="s">
        <v>5</v>
      </c>
      <c r="D5" s="6" t="s">
        <v>33</v>
      </c>
      <c r="E5" s="37"/>
    </row>
    <row r="9" spans="1:6" x14ac:dyDescent="0.25">
      <c r="A9" s="2" t="s">
        <v>36</v>
      </c>
      <c r="B9" s="3">
        <v>18926105.98</v>
      </c>
      <c r="C9" s="3">
        <v>18926105.98</v>
      </c>
      <c r="D9" s="5">
        <f t="shared" ref="D9:D29" si="0">C9-B9</f>
        <v>0</v>
      </c>
      <c r="E9" s="5"/>
      <c r="F9" s="4"/>
    </row>
    <row r="10" spans="1:6" x14ac:dyDescent="0.25">
      <c r="A10" s="2" t="s">
        <v>37</v>
      </c>
      <c r="B10" s="3">
        <v>0</v>
      </c>
      <c r="C10" s="3">
        <v>2059753.5450000055</v>
      </c>
      <c r="D10" s="5">
        <f t="shared" si="0"/>
        <v>2059753.5450000055</v>
      </c>
      <c r="E10" s="5"/>
      <c r="F10" s="4"/>
    </row>
    <row r="11" spans="1:6" x14ac:dyDescent="0.25">
      <c r="A11" s="2" t="s">
        <v>38</v>
      </c>
      <c r="B11" s="3">
        <f>-7675477.345-B12</f>
        <v>-7572300.5449999999</v>
      </c>
      <c r="C11" s="3">
        <f>-7675477.345-C12</f>
        <v>-7572300.5449999999</v>
      </c>
      <c r="D11" s="5">
        <f t="shared" si="0"/>
        <v>0</v>
      </c>
      <c r="E11" s="5"/>
      <c r="F11" s="4"/>
    </row>
    <row r="12" spans="1:6" x14ac:dyDescent="0.25">
      <c r="A12" s="8" t="s">
        <v>39</v>
      </c>
      <c r="B12" s="29">
        <v>-103176.8</v>
      </c>
      <c r="C12" s="29">
        <v>-103176.8</v>
      </c>
      <c r="D12" s="11">
        <f t="shared" si="0"/>
        <v>0</v>
      </c>
      <c r="E12" s="38"/>
      <c r="F12" s="4"/>
    </row>
    <row r="13" spans="1:6" x14ac:dyDescent="0.25">
      <c r="A13" s="2" t="s">
        <v>6</v>
      </c>
      <c r="B13" s="3">
        <f>SUM(B9:B12)</f>
        <v>11250628.635</v>
      </c>
      <c r="C13" s="3">
        <f>SUM(C9:C12)</f>
        <v>13310382.180000005</v>
      </c>
      <c r="D13" s="5">
        <f t="shared" si="0"/>
        <v>2059753.5450000055</v>
      </c>
      <c r="E13" s="5"/>
      <c r="F13" s="4"/>
    </row>
    <row r="14" spans="1:6" x14ac:dyDescent="0.25">
      <c r="A14" s="8" t="s">
        <v>7</v>
      </c>
      <c r="B14" s="7">
        <v>1784286</v>
      </c>
      <c r="C14" s="7">
        <v>1784286</v>
      </c>
      <c r="D14" s="11">
        <f t="shared" si="0"/>
        <v>0</v>
      </c>
      <c r="E14" s="38"/>
      <c r="F14" s="4"/>
    </row>
    <row r="15" spans="1:6" x14ac:dyDescent="0.25">
      <c r="A15" s="2" t="s">
        <v>8</v>
      </c>
      <c r="B15" s="9">
        <f>B13+B14</f>
        <v>13034914.635</v>
      </c>
      <c r="C15" s="9">
        <f>C13+C14</f>
        <v>15094668.180000005</v>
      </c>
      <c r="D15" s="5">
        <f t="shared" si="0"/>
        <v>2059753.5450000055</v>
      </c>
      <c r="E15" s="5"/>
      <c r="F15" s="4"/>
    </row>
    <row r="16" spans="1:6" x14ac:dyDescent="0.25">
      <c r="A16" s="8" t="s">
        <v>9</v>
      </c>
      <c r="B16" s="10">
        <v>0.4</v>
      </c>
      <c r="C16" s="10">
        <v>0.4</v>
      </c>
      <c r="D16" s="11">
        <f t="shared" si="0"/>
        <v>0</v>
      </c>
      <c r="E16" s="38"/>
      <c r="F16" s="4"/>
    </row>
    <row r="17" spans="1:6" x14ac:dyDescent="0.25">
      <c r="A17" s="2" t="s">
        <v>10</v>
      </c>
      <c r="B17" s="3">
        <f>ROUND(B15*B16,2)</f>
        <v>5213965.8499999996</v>
      </c>
      <c r="C17" s="3">
        <f>ROUND(C15*C16,2)</f>
        <v>6037867.2699999996</v>
      </c>
      <c r="D17" s="5">
        <f t="shared" si="0"/>
        <v>823901.41999999993</v>
      </c>
      <c r="E17" s="5"/>
      <c r="F17" s="4"/>
    </row>
    <row r="18" spans="1:6" x14ac:dyDescent="0.25">
      <c r="A18" s="8" t="s">
        <v>12</v>
      </c>
      <c r="B18" s="10">
        <v>8.6599999999999996E-2</v>
      </c>
      <c r="C18" s="10">
        <v>8.6599999999999996E-2</v>
      </c>
      <c r="D18" s="11">
        <f t="shared" si="0"/>
        <v>0</v>
      </c>
      <c r="E18" s="38"/>
      <c r="F18" s="4"/>
    </row>
    <row r="19" spans="1:6" ht="15.75" thickBot="1" x14ac:dyDescent="0.3">
      <c r="A19" s="16" t="s">
        <v>13</v>
      </c>
      <c r="B19" s="17">
        <f>ROUND(B17*B18,2)</f>
        <v>451529.44</v>
      </c>
      <c r="C19" s="17">
        <f>ROUND(C17*C18,2)</f>
        <v>522879.31</v>
      </c>
      <c r="D19" s="18">
        <f t="shared" si="0"/>
        <v>71349.87</v>
      </c>
      <c r="E19" s="39"/>
      <c r="F19" s="4"/>
    </row>
    <row r="20" spans="1:6" ht="15.75" thickTop="1" x14ac:dyDescent="0.25">
      <c r="A20" s="13" t="s">
        <v>23</v>
      </c>
      <c r="B20" s="14">
        <v>0.6</v>
      </c>
      <c r="C20" s="14">
        <v>0.6</v>
      </c>
      <c r="D20" s="15">
        <f t="shared" si="0"/>
        <v>0</v>
      </c>
      <c r="E20" s="38"/>
      <c r="F20" s="4"/>
    </row>
    <row r="21" spans="1:6" x14ac:dyDescent="0.25">
      <c r="A21" s="2" t="s">
        <v>24</v>
      </c>
      <c r="B21" s="12">
        <f>ROUND(B15*B20,2)</f>
        <v>7820948.7800000003</v>
      </c>
      <c r="C21" s="12">
        <f>ROUND(C15*C20,2)</f>
        <v>9056800.9100000001</v>
      </c>
      <c r="D21" s="5">
        <f t="shared" si="0"/>
        <v>1235852.1299999999</v>
      </c>
      <c r="E21" s="5"/>
      <c r="F21" s="4"/>
    </row>
    <row r="22" spans="1:6" x14ac:dyDescent="0.25">
      <c r="A22" s="8" t="s">
        <v>25</v>
      </c>
      <c r="B22" s="10">
        <v>3.3353333333333332E-2</v>
      </c>
      <c r="C22" s="10">
        <v>3.3353333333333332E-2</v>
      </c>
      <c r="D22" s="11">
        <f t="shared" si="0"/>
        <v>0</v>
      </c>
      <c r="E22" s="38"/>
      <c r="F22" s="4"/>
    </row>
    <row r="23" spans="1:6" ht="15.75" thickBot="1" x14ac:dyDescent="0.3">
      <c r="A23" s="16" t="s">
        <v>26</v>
      </c>
      <c r="B23" s="17">
        <f>ROUND(B21*B22,2)</f>
        <v>260854.71</v>
      </c>
      <c r="C23" s="17">
        <f>ROUND(C21*C22,2)</f>
        <v>302074.5</v>
      </c>
      <c r="D23" s="18">
        <f t="shared" si="0"/>
        <v>41219.790000000008</v>
      </c>
      <c r="E23" s="39"/>
      <c r="F23" s="4"/>
    </row>
    <row r="24" spans="1:6" ht="15.75" thickTop="1" x14ac:dyDescent="0.25">
      <c r="A24" s="22" t="s">
        <v>27</v>
      </c>
      <c r="B24" s="21">
        <v>-390128</v>
      </c>
      <c r="C24" s="21">
        <v>-389674</v>
      </c>
      <c r="D24" s="15">
        <f t="shared" si="0"/>
        <v>454</v>
      </c>
      <c r="E24" s="38"/>
      <c r="F24" s="4"/>
    </row>
    <row r="25" spans="1:6" x14ac:dyDescent="0.25">
      <c r="A25" s="2" t="s">
        <v>28</v>
      </c>
      <c r="B25" s="3">
        <f>B19+B24</f>
        <v>61401.440000000002</v>
      </c>
      <c r="C25" s="3">
        <f>C19+C24</f>
        <v>133205.31</v>
      </c>
      <c r="D25" s="5">
        <f t="shared" si="0"/>
        <v>71803.87</v>
      </c>
      <c r="E25" s="5"/>
      <c r="F25" s="4"/>
    </row>
    <row r="26" spans="1:6" x14ac:dyDescent="0.25">
      <c r="A26" s="8" t="s">
        <v>29</v>
      </c>
      <c r="B26" s="10">
        <v>0.20880000000000001</v>
      </c>
      <c r="C26" s="10">
        <v>0.26500000000000001</v>
      </c>
      <c r="D26" s="10">
        <f t="shared" si="0"/>
        <v>5.62E-2</v>
      </c>
      <c r="E26" s="40"/>
      <c r="F26" s="4"/>
    </row>
    <row r="27" spans="1:6" x14ac:dyDescent="0.25">
      <c r="A27" s="2" t="s">
        <v>30</v>
      </c>
      <c r="B27" s="23">
        <f>ROUND(B25*B26,2)</f>
        <v>12820.62</v>
      </c>
      <c r="C27" s="23">
        <f>ROUND(C25*C26,2)</f>
        <v>35299.410000000003</v>
      </c>
      <c r="D27" s="24">
        <f t="shared" si="0"/>
        <v>22478.79</v>
      </c>
      <c r="E27" s="24"/>
      <c r="F27" s="4"/>
    </row>
    <row r="28" spans="1:6" x14ac:dyDescent="0.25">
      <c r="A28" s="8" t="s">
        <v>31</v>
      </c>
      <c r="B28" s="26">
        <f>ROUND((B27/(1-B26)-B27),2)</f>
        <v>3383.4</v>
      </c>
      <c r="C28" s="26">
        <f>ROUND((C27/(1-C26)-C27),2)</f>
        <v>12727</v>
      </c>
      <c r="D28" s="25">
        <f t="shared" si="0"/>
        <v>9343.6</v>
      </c>
      <c r="E28" s="41"/>
      <c r="F28" s="4"/>
    </row>
    <row r="29" spans="1:6" ht="15.75" thickBot="1" x14ac:dyDescent="0.3">
      <c r="A29" s="16" t="s">
        <v>32</v>
      </c>
      <c r="B29" s="17">
        <f>B27+B28</f>
        <v>16204.02</v>
      </c>
      <c r="C29" s="17">
        <f>C27+C28</f>
        <v>48026.41</v>
      </c>
      <c r="D29" s="18">
        <f>C29-B29</f>
        <v>31822.390000000003</v>
      </c>
      <c r="E29" s="39"/>
      <c r="F29" s="4"/>
    </row>
    <row r="30" spans="1:6" ht="15.75" thickTop="1" x14ac:dyDescent="0.25">
      <c r="A30" s="2"/>
      <c r="B30" s="3"/>
      <c r="C30" s="3"/>
      <c r="D30" s="5"/>
      <c r="E30" s="5"/>
      <c r="F30" s="4"/>
    </row>
    <row r="31" spans="1:6" x14ac:dyDescent="0.25">
      <c r="A31" s="2"/>
      <c r="B31" s="3"/>
      <c r="C31" s="3"/>
      <c r="D31" s="5"/>
      <c r="E31" s="5"/>
      <c r="F31" s="4"/>
    </row>
    <row r="32" spans="1:6" x14ac:dyDescent="0.25">
      <c r="A32" s="2" t="s">
        <v>14</v>
      </c>
      <c r="B32" s="3">
        <f>3623394</f>
        <v>3623394</v>
      </c>
      <c r="C32" s="3">
        <f>3623394</f>
        <v>3623394</v>
      </c>
      <c r="D32" s="5">
        <f t="shared" ref="D32:D40" si="1">C32-B32</f>
        <v>0</v>
      </c>
      <c r="E32" s="5"/>
      <c r="F32" s="4"/>
    </row>
    <row r="33" spans="1:6" x14ac:dyDescent="0.25">
      <c r="A33" s="2" t="s">
        <v>21</v>
      </c>
      <c r="B33" s="3">
        <f>950237-B34</f>
        <v>898648.6</v>
      </c>
      <c r="C33" s="3">
        <f>950237-C34</f>
        <v>898648.6</v>
      </c>
      <c r="D33" s="5">
        <f t="shared" si="1"/>
        <v>0</v>
      </c>
      <c r="E33" s="5"/>
      <c r="F33" s="4"/>
    </row>
    <row r="34" spans="1:6" x14ac:dyDescent="0.25">
      <c r="A34" s="2" t="s">
        <v>22</v>
      </c>
      <c r="B34" s="3">
        <v>51588.4</v>
      </c>
      <c r="C34" s="3">
        <v>51588.4</v>
      </c>
      <c r="D34" s="5">
        <f t="shared" si="1"/>
        <v>0</v>
      </c>
      <c r="E34" s="5"/>
      <c r="F34" s="4"/>
    </row>
    <row r="35" spans="1:6" x14ac:dyDescent="0.25">
      <c r="A35" s="2" t="s">
        <v>15</v>
      </c>
      <c r="B35" s="3">
        <f>B29</f>
        <v>16204.02</v>
      </c>
      <c r="C35" s="3">
        <f>C29</f>
        <v>48026.41</v>
      </c>
      <c r="D35" s="5">
        <f t="shared" si="1"/>
        <v>31822.390000000003</v>
      </c>
      <c r="E35" s="5"/>
      <c r="F35" s="4"/>
    </row>
    <row r="36" spans="1:6" x14ac:dyDescent="0.25">
      <c r="A36" s="2" t="s">
        <v>16</v>
      </c>
      <c r="B36" s="3">
        <f>B23</f>
        <v>260854.71</v>
      </c>
      <c r="C36" s="3">
        <f>C23</f>
        <v>302074.5</v>
      </c>
      <c r="D36" s="5">
        <f t="shared" si="1"/>
        <v>41219.790000000008</v>
      </c>
      <c r="E36" s="5"/>
      <c r="F36" s="4"/>
    </row>
    <row r="37" spans="1:6" x14ac:dyDescent="0.25">
      <c r="A37" s="8" t="s">
        <v>17</v>
      </c>
      <c r="B37" s="7">
        <f>B19</f>
        <v>451529.44</v>
      </c>
      <c r="C37" s="7">
        <f>C19</f>
        <v>522879.31</v>
      </c>
      <c r="D37" s="11">
        <f t="shared" si="1"/>
        <v>71349.87</v>
      </c>
      <c r="E37" s="38"/>
      <c r="F37" s="4"/>
    </row>
    <row r="38" spans="1:6" x14ac:dyDescent="0.25">
      <c r="A38" s="2" t="s">
        <v>18</v>
      </c>
      <c r="B38" s="3">
        <f>SUM(B32:B37)</f>
        <v>5302219.17</v>
      </c>
      <c r="C38" s="3">
        <f>SUM(C32:C37)</f>
        <v>5446611.2199999997</v>
      </c>
      <c r="D38" s="5">
        <f t="shared" si="1"/>
        <v>144392.04999999981</v>
      </c>
      <c r="E38" s="5"/>
      <c r="F38" s="4"/>
    </row>
    <row r="39" spans="1:6" x14ac:dyDescent="0.25">
      <c r="A39" s="8" t="s">
        <v>19</v>
      </c>
      <c r="B39" s="7">
        <v>339757</v>
      </c>
      <c r="C39" s="7">
        <v>339757</v>
      </c>
      <c r="D39" s="11">
        <f t="shared" si="1"/>
        <v>0</v>
      </c>
      <c r="E39" s="38"/>
      <c r="F39" s="4"/>
    </row>
    <row r="40" spans="1:6" ht="15.75" thickBot="1" x14ac:dyDescent="0.3">
      <c r="A40" s="19" t="s">
        <v>20</v>
      </c>
      <c r="B40" s="17">
        <f>B38-B39</f>
        <v>4962462.17</v>
      </c>
      <c r="C40" s="17">
        <f>C38-C39</f>
        <v>5106854.22</v>
      </c>
      <c r="D40" s="20">
        <f t="shared" si="1"/>
        <v>144392.04999999981</v>
      </c>
      <c r="E40" s="39"/>
      <c r="F40" s="4"/>
    </row>
    <row r="41" spans="1:6" ht="15.75" thickTop="1" x14ac:dyDescent="0.25">
      <c r="A41" s="2"/>
      <c r="B41" s="3"/>
      <c r="C41" s="3"/>
      <c r="D41" s="5"/>
      <c r="E41" s="5"/>
      <c r="F41" s="4"/>
    </row>
    <row r="42" spans="1:6" ht="30.75" thickBot="1" x14ac:dyDescent="0.3">
      <c r="A42" s="27" t="s">
        <v>34</v>
      </c>
      <c r="B42" s="6" t="s">
        <v>3</v>
      </c>
      <c r="C42" s="6" t="s">
        <v>5</v>
      </c>
      <c r="D42" s="28" t="s">
        <v>4</v>
      </c>
      <c r="E42" s="42"/>
      <c r="F42" s="34"/>
    </row>
    <row r="43" spans="1:6" x14ac:dyDescent="0.25">
      <c r="A43" s="2"/>
      <c r="B43" s="3"/>
      <c r="C43" s="3"/>
      <c r="D43" s="5"/>
      <c r="E43" s="5"/>
      <c r="F43" s="4"/>
    </row>
    <row r="44" spans="1:6" x14ac:dyDescent="0.25">
      <c r="A44" s="2">
        <v>2022</v>
      </c>
      <c r="B44" s="3">
        <f>B40</f>
        <v>4962462.17</v>
      </c>
      <c r="C44" s="3">
        <f>C40</f>
        <v>5106854.22</v>
      </c>
      <c r="D44" s="5">
        <f>C44-B44</f>
        <v>144392.04999999981</v>
      </c>
      <c r="E44" s="5"/>
      <c r="F44" s="4"/>
    </row>
    <row r="45" spans="1:6" x14ac:dyDescent="0.25">
      <c r="A45" s="2">
        <v>2023</v>
      </c>
      <c r="B45" s="1">
        <f>ROUND(B44*(1+$F45),2)</f>
        <v>4962462.17</v>
      </c>
      <c r="C45" s="1">
        <f>ROUND(C44*(1+$F45),2)</f>
        <v>5106854.22</v>
      </c>
      <c r="D45" s="5">
        <f t="shared" ref="D45:D48" si="2">C45-B45</f>
        <v>144392.04999999981</v>
      </c>
      <c r="E45" s="5"/>
      <c r="F45" s="35"/>
    </row>
    <row r="46" spans="1:6" x14ac:dyDescent="0.25">
      <c r="A46" s="2">
        <v>2024</v>
      </c>
      <c r="B46" s="1">
        <f>ROUND(B45*(1+$F46),2)</f>
        <v>4962462.17</v>
      </c>
      <c r="C46" s="1">
        <f>ROUND(C45*(1+$F46),2)</f>
        <v>5106854.22</v>
      </c>
      <c r="D46" s="5">
        <f t="shared" si="2"/>
        <v>144392.04999999981</v>
      </c>
      <c r="E46" s="5"/>
      <c r="F46" s="35"/>
    </row>
    <row r="47" spans="1:6" x14ac:dyDescent="0.25">
      <c r="A47" s="2">
        <v>2025</v>
      </c>
      <c r="B47" s="1">
        <f>ROUND(B46*(1+$F47),2)</f>
        <v>4962462.17</v>
      </c>
      <c r="C47" s="1">
        <f>ROUND(C46*(1+$F47),2)</f>
        <v>5106854.22</v>
      </c>
      <c r="D47" s="5">
        <f t="shared" si="2"/>
        <v>144392.04999999981</v>
      </c>
      <c r="E47" s="5"/>
      <c r="F47" s="35"/>
    </row>
    <row r="48" spans="1:6" x14ac:dyDescent="0.25">
      <c r="A48" s="2">
        <v>2026</v>
      </c>
      <c r="B48" s="1">
        <f>ROUND(B47*(1+$F48),2)</f>
        <v>4962462.17</v>
      </c>
      <c r="C48" s="1">
        <f>ROUND(C47*(1+$F48),2)</f>
        <v>5106854.22</v>
      </c>
      <c r="D48" s="5">
        <f t="shared" si="2"/>
        <v>144392.04999999981</v>
      </c>
      <c r="E48" s="5"/>
      <c r="F48" s="35"/>
    </row>
    <row r="50" spans="1:8" ht="30.75" thickBot="1" x14ac:dyDescent="0.3">
      <c r="A50" s="32" t="s">
        <v>41</v>
      </c>
      <c r="B50" s="6" t="s">
        <v>11</v>
      </c>
      <c r="C50" s="6" t="s">
        <v>26</v>
      </c>
      <c r="D50" s="6" t="s">
        <v>32</v>
      </c>
      <c r="E50" s="6" t="s">
        <v>40</v>
      </c>
      <c r="F50" s="6" t="s">
        <v>35</v>
      </c>
    </row>
    <row r="52" spans="1:8" x14ac:dyDescent="0.25">
      <c r="A52" s="2">
        <v>2022</v>
      </c>
      <c r="B52" s="1">
        <f>ROUND(B$12*B$16*B$18,2)</f>
        <v>-3574.04</v>
      </c>
      <c r="C52" s="1">
        <f>ROUND(B$12*B$20*B$22,2)</f>
        <v>-2064.77</v>
      </c>
      <c r="D52" s="1">
        <f>ROUND((((B52)*B$26)/(1-B$26)),2)</f>
        <v>-943.2</v>
      </c>
      <c r="E52" s="31">
        <f>B34</f>
        <v>51588.4</v>
      </c>
      <c r="F52" s="1">
        <f>SUM(B52:E52)</f>
        <v>45006.39</v>
      </c>
      <c r="G52" s="43"/>
      <c r="H52" s="43"/>
    </row>
    <row r="53" spans="1:8" x14ac:dyDescent="0.25">
      <c r="A53" s="2">
        <v>2023</v>
      </c>
      <c r="B53" s="1">
        <f>ROUND((B$12-SUM($E$52:$E52))*B$16*B$18,2)</f>
        <v>-5361.07</v>
      </c>
      <c r="C53" s="1">
        <f>ROUND((B$12-SUM($E$52:$E52))*B$20*B$22,2)</f>
        <v>-3097.16</v>
      </c>
      <c r="D53" s="1">
        <f>ROUND((((B53)*B$26)/(1-B$26)),2)</f>
        <v>-1414.8</v>
      </c>
      <c r="E53" s="1">
        <f>ROUND(E52*(1+$F45),2)</f>
        <v>51588.4</v>
      </c>
      <c r="F53" s="1">
        <f>SUM(B53:E53)</f>
        <v>41715.370000000003</v>
      </c>
    </row>
    <row r="54" spans="1:8" x14ac:dyDescent="0.25">
      <c r="A54" s="2">
        <v>2024</v>
      </c>
      <c r="B54" s="1">
        <f>ROUND((B$12-SUM($E$52:$E53))*B$16*B$18,2)</f>
        <v>-7148.09</v>
      </c>
      <c r="C54" s="1">
        <f>ROUND((B$12-SUM($E$52:$E53))*B$20*B$22,2)</f>
        <v>-4129.55</v>
      </c>
      <c r="D54" s="1">
        <f>ROUND((((B54)*B$26)/(1-B$26)),2)</f>
        <v>-1886.4</v>
      </c>
      <c r="E54" s="1">
        <f>ROUND(E53*(1+$F46),2)</f>
        <v>51588.4</v>
      </c>
      <c r="F54" s="1">
        <f>SUM(B54:E54)</f>
        <v>38424.36</v>
      </c>
      <c r="H54" s="43"/>
    </row>
    <row r="55" spans="1:8" x14ac:dyDescent="0.25">
      <c r="A55" s="2">
        <v>2025</v>
      </c>
      <c r="B55" s="1">
        <f>ROUND((B$12-SUM($E$52:$E54))*B$16*B$18,2)</f>
        <v>-8935.11</v>
      </c>
      <c r="C55" s="1">
        <f>ROUND((B$12-SUM($E$52:$E54))*B$20*B$22,2)</f>
        <v>-5161.9399999999996</v>
      </c>
      <c r="D55" s="1">
        <f>ROUND((((B55)*B$26)/(1-B$26)),2)</f>
        <v>-2358</v>
      </c>
      <c r="E55" s="1">
        <f>ROUND(E54*(1+$F47),2)</f>
        <v>51588.4</v>
      </c>
      <c r="F55" s="1">
        <f>SUM(B55:E55)</f>
        <v>35133.350000000006</v>
      </c>
    </row>
    <row r="56" spans="1:8" x14ac:dyDescent="0.25">
      <c r="A56" s="2">
        <v>2026</v>
      </c>
      <c r="B56" s="1">
        <f>ROUND((B$12-SUM($E$52:$E55))*B$16*B$18,2)</f>
        <v>-10722.13</v>
      </c>
      <c r="C56" s="1">
        <f>ROUND((B$12-SUM($E$52:$E55))*B$20*B$22,2)</f>
        <v>-6194.32</v>
      </c>
      <c r="D56" s="1">
        <f>ROUND((((B56)*B$26)/(1-B$26)),2)</f>
        <v>-2829.6</v>
      </c>
      <c r="E56" s="1">
        <f>ROUND(E55*(1+$F48),2)</f>
        <v>51588.4</v>
      </c>
      <c r="F56" s="1">
        <f>SUM(B56:E56)</f>
        <v>31842.350000000006</v>
      </c>
    </row>
    <row r="58" spans="1:8" ht="30.75" thickBot="1" x14ac:dyDescent="0.3">
      <c r="A58" s="32" t="s">
        <v>42</v>
      </c>
      <c r="B58" s="6" t="s">
        <v>11</v>
      </c>
      <c r="C58" s="6" t="s">
        <v>26</v>
      </c>
      <c r="D58" s="6" t="s">
        <v>32</v>
      </c>
      <c r="E58" s="6" t="s">
        <v>40</v>
      </c>
      <c r="F58" s="6" t="s">
        <v>35</v>
      </c>
    </row>
    <row r="60" spans="1:8" x14ac:dyDescent="0.25">
      <c r="A60" s="2">
        <v>2022</v>
      </c>
      <c r="B60" s="1">
        <f>ROUND((C$10+C$12)*C$16*C$18,2)</f>
        <v>67775.820000000007</v>
      </c>
      <c r="C60" s="1">
        <f>ROUND((C$10+C$12)*C$20*C$22,2)</f>
        <v>39155.01</v>
      </c>
      <c r="D60" s="1">
        <f>ROUND((((B60)*C$26)/(1-C$26)),2)</f>
        <v>24436.18</v>
      </c>
      <c r="E60" s="31">
        <f>C34</f>
        <v>51588.4</v>
      </c>
      <c r="F60" s="1">
        <f>SUM(B60:E60)</f>
        <v>182955.41</v>
      </c>
      <c r="G60" s="43"/>
      <c r="H60" s="43"/>
    </row>
    <row r="61" spans="1:8" x14ac:dyDescent="0.25">
      <c r="A61" s="2">
        <v>2023</v>
      </c>
      <c r="B61" s="1">
        <f>ROUND((C$10+C$12-SUM($E$60:$E60))*C$16*C$18,2)</f>
        <v>65988.800000000003</v>
      </c>
      <c r="C61" s="1">
        <f>ROUND((C$10+C$12-SUM($E$60:$E60))*C$20*C$22,2)</f>
        <v>38122.629999999997</v>
      </c>
      <c r="D61" s="1">
        <f>ROUND((((B61)*C$26)/(1-C$26)),2)</f>
        <v>23791.88</v>
      </c>
      <c r="E61" s="1">
        <f>E60</f>
        <v>51588.4</v>
      </c>
      <c r="F61" s="1">
        <f>SUM(B61:E61)</f>
        <v>179491.71</v>
      </c>
      <c r="H61" s="31"/>
    </row>
    <row r="62" spans="1:8" x14ac:dyDescent="0.25">
      <c r="A62" s="2">
        <v>2024</v>
      </c>
      <c r="B62" s="1">
        <f>ROUND((C$10+C$12-SUM($E$60:$E61))*C$16*C$18,2)</f>
        <v>64201.77</v>
      </c>
      <c r="C62" s="1">
        <f>ROUND((C$10+C$12-SUM($E$60:$E61))*C$20*C$22,2)</f>
        <v>37090.239999999998</v>
      </c>
      <c r="D62" s="1">
        <f>ROUND((((B62)*C$26)/(1-C$26)),2)</f>
        <v>23147.58</v>
      </c>
      <c r="E62" s="1">
        <f>E61</f>
        <v>51588.4</v>
      </c>
      <c r="F62" s="1">
        <f>SUM(B62:E62)</f>
        <v>176027.99</v>
      </c>
      <c r="H62" s="31"/>
    </row>
    <row r="63" spans="1:8" x14ac:dyDescent="0.25">
      <c r="A63" s="2">
        <v>2025</v>
      </c>
      <c r="B63" s="1">
        <f>ROUND((C$10+C$12-SUM($E$60:$E62))*C$16*C$18,2)</f>
        <v>62414.75</v>
      </c>
      <c r="C63" s="1">
        <f>ROUND((C$10+C$12-SUM($E$60:$E62))*C$20*C$22,2)</f>
        <v>36057.85</v>
      </c>
      <c r="D63" s="1">
        <f>ROUND((((B63)*C$26)/(1-C$26)),2)</f>
        <v>22503.279999999999</v>
      </c>
      <c r="E63" s="1">
        <f>E62</f>
        <v>51588.4</v>
      </c>
      <c r="F63" s="1">
        <f>SUM(B63:E63)</f>
        <v>172564.28</v>
      </c>
      <c r="H63" s="31"/>
    </row>
    <row r="64" spans="1:8" x14ac:dyDescent="0.25">
      <c r="A64" s="2">
        <v>2026</v>
      </c>
      <c r="B64" s="1">
        <f>ROUND((C$10+C$12-SUM($E$60:$E63))*C$16*C$18,2)</f>
        <v>60627.73</v>
      </c>
      <c r="C64" s="1">
        <f>ROUND((C$10+C$12-SUM($E$60:$E63))*C$20*C$22,2)</f>
        <v>35025.47</v>
      </c>
      <c r="D64" s="1">
        <f>ROUND((((B64)*C$26)/(1-C$26)),2)</f>
        <v>21858.98</v>
      </c>
      <c r="E64" s="1">
        <f>E63</f>
        <v>51588.4</v>
      </c>
      <c r="F64" s="1">
        <f>SUM(B64:E64)</f>
        <v>169100.58000000002</v>
      </c>
      <c r="H64" s="31"/>
    </row>
    <row r="65" spans="1:7" x14ac:dyDescent="0.25">
      <c r="B65" s="31"/>
      <c r="C65" s="31"/>
      <c r="D65" s="31"/>
      <c r="E65" s="31"/>
    </row>
    <row r="66" spans="1:7" ht="45.75" thickBot="1" x14ac:dyDescent="0.3">
      <c r="A66" s="30" t="s">
        <v>43</v>
      </c>
      <c r="B66" s="6" t="s">
        <v>3</v>
      </c>
      <c r="C66" s="6" t="s">
        <v>5</v>
      </c>
      <c r="D66" s="6" t="s">
        <v>46</v>
      </c>
      <c r="E66" s="6" t="s">
        <v>44</v>
      </c>
      <c r="F66" s="6" t="s">
        <v>45</v>
      </c>
      <c r="G66" s="31"/>
    </row>
    <row r="68" spans="1:7" x14ac:dyDescent="0.25">
      <c r="A68" s="2">
        <v>2022</v>
      </c>
      <c r="B68" s="31">
        <f>F52</f>
        <v>45006.39</v>
      </c>
      <c r="C68" s="31">
        <f>F60</f>
        <v>182955.41</v>
      </c>
      <c r="D68" s="31">
        <f>C68-B68</f>
        <v>137949.02000000002</v>
      </c>
      <c r="E68" s="31">
        <f>(($B60-$B52)*$C$26)/(1-$C$26)-(($B60-$B52)*$B$26)/(1-$B$26)-$D$24</f>
        <v>6441.342185812653</v>
      </c>
      <c r="F68" s="31">
        <f>D68+E68</f>
        <v>144390.36218581267</v>
      </c>
      <c r="G68" s="31"/>
    </row>
    <row r="69" spans="1:7" x14ac:dyDescent="0.25">
      <c r="A69" s="2">
        <v>2023</v>
      </c>
      <c r="B69" s="31">
        <f>F53</f>
        <v>41715.370000000003</v>
      </c>
      <c r="C69" s="31">
        <f>F61</f>
        <v>179491.71</v>
      </c>
      <c r="D69" s="31">
        <f t="shared" ref="D69:D72" si="3">C69-B69</f>
        <v>137776.34</v>
      </c>
      <c r="E69" s="31">
        <f>(($B61-$B53)*$C$26)/(1-$C$26)-(($B61-$B53)*$B$26)/(1-$B$26)-$D$24</f>
        <v>6441.3431522255014</v>
      </c>
      <c r="F69" s="31">
        <f t="shared" ref="F69:F72" si="4">D69+E69</f>
        <v>144217.68315222551</v>
      </c>
      <c r="G69" s="43"/>
    </row>
    <row r="70" spans="1:7" x14ac:dyDescent="0.25">
      <c r="A70" s="2">
        <v>2024</v>
      </c>
      <c r="B70" s="31">
        <f>F54</f>
        <v>38424.36</v>
      </c>
      <c r="C70" s="31">
        <f>F62</f>
        <v>176027.99</v>
      </c>
      <c r="D70" s="31">
        <f t="shared" si="3"/>
        <v>137603.63</v>
      </c>
      <c r="E70" s="31">
        <f>(($B62-$B54)*$C$26)/(1-$C$26)-(($B62-$B54)*$B$26)/(1-$B$26)-$D$24</f>
        <v>6441.342185812653</v>
      </c>
      <c r="F70" s="31">
        <f t="shared" si="4"/>
        <v>144044.97218581266</v>
      </c>
    </row>
    <row r="71" spans="1:7" x14ac:dyDescent="0.25">
      <c r="A71" s="2">
        <v>2025</v>
      </c>
      <c r="B71" s="31">
        <f>F55</f>
        <v>35133.350000000006</v>
      </c>
      <c r="C71" s="31">
        <f>F63</f>
        <v>172564.28</v>
      </c>
      <c r="D71" s="31">
        <f t="shared" si="3"/>
        <v>137430.93</v>
      </c>
      <c r="E71" s="31">
        <f>(($B63-$B55)*$C$26)/(1-$C$26)-(($B63-$B55)*$B$26)/(1-$B$26)-$D$24</f>
        <v>6441.342185812653</v>
      </c>
      <c r="F71" s="31">
        <f t="shared" si="4"/>
        <v>143872.27218581265</v>
      </c>
    </row>
    <row r="72" spans="1:7" x14ac:dyDescent="0.25">
      <c r="A72" s="2">
        <v>2026</v>
      </c>
      <c r="B72" s="31">
        <f>F56</f>
        <v>31842.350000000006</v>
      </c>
      <c r="C72" s="31">
        <f>F64</f>
        <v>169100.58000000002</v>
      </c>
      <c r="D72" s="31">
        <f t="shared" si="3"/>
        <v>137258.23000000001</v>
      </c>
      <c r="E72" s="31">
        <f>(($B64-$B56)*$C$26)/(1-$C$26)-(($B64-$B56)*$B$26)/(1-$B$26)-$D$24</f>
        <v>6441.342185812653</v>
      </c>
      <c r="F72" s="31">
        <f t="shared" si="4"/>
        <v>143699.57218581266</v>
      </c>
    </row>
  </sheetData>
  <mergeCells count="3">
    <mergeCell ref="A1:D1"/>
    <mergeCell ref="A2:D2"/>
    <mergeCell ref="A3:D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Ottawa River Power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Roy</dc:creator>
  <cp:lastModifiedBy>Jeffrey Roy</cp:lastModifiedBy>
  <dcterms:created xsi:type="dcterms:W3CDTF">2025-08-26T18:47:22Z</dcterms:created>
  <dcterms:modified xsi:type="dcterms:W3CDTF">2025-08-29T15:17:07Z</dcterms:modified>
</cp:coreProperties>
</file>