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C-27 UPDATED" sheetId="1" r:id="rId4"/>
  </sheets>
  <definedNames/>
  <calcPr/>
</workbook>
</file>

<file path=xl/sharedStrings.xml><?xml version="1.0" encoding="utf-8"?>
<sst xmlns="http://schemas.openxmlformats.org/spreadsheetml/2006/main" count="195" uniqueCount="122">
  <si>
    <t>Supporting Calculations for Productivity Benefits</t>
  </si>
  <si>
    <t>Initiative</t>
  </si>
  <si>
    <t>2021-2025</t>
  </si>
  <si>
    <t>2026-2030</t>
  </si>
  <si>
    <t>3.2.1 Net Metering Automation</t>
  </si>
  <si>
    <t>[Methodology]</t>
  </si>
  <si>
    <t>Volume of Automated Tiered Bills</t>
  </si>
  <si>
    <t>A</t>
  </si>
  <si>
    <t>Volume of Automated TOU*/ULO** Bills</t>
  </si>
  <si>
    <t>B</t>
  </si>
  <si>
    <t>Internal labor rate ($ per hour)</t>
  </si>
  <si>
    <t>C</t>
  </si>
  <si>
    <t>Monthly Savings ($)</t>
  </si>
  <si>
    <t>D = (A x C x 20 minutes) + (B x C x 1 hour)</t>
  </si>
  <si>
    <t>Less Depreciation Costs ($)</t>
  </si>
  <si>
    <t>E</t>
  </si>
  <si>
    <t>3.2.1 Net Metering Automation ($'000's)</t>
  </si>
  <si>
    <t>OM&amp;A = D - E</t>
  </si>
  <si>
    <t>n/a</t>
  </si>
  <si>
    <t>3.2.2 Online Billing Enhancements</t>
  </si>
  <si>
    <t>Total # Customers</t>
  </si>
  <si>
    <t>E-billing rate</t>
  </si>
  <si>
    <t># of Customers opting for paperless billing</t>
  </si>
  <si>
    <t>Cost Saved by paperless billing per customer, per year</t>
  </si>
  <si>
    <t>Total Paperless Billing Savings per year ($'000's)</t>
  </si>
  <si>
    <t>C = A x B</t>
  </si>
  <si>
    <t>Incremental Savings as compared to base year savings ($'000's)
for 2021-2025, base year is 2020, the final year of the previous rate application period ($2.149) ($'000's)
for 2026-2030 , base year of 2025, the final year of the current rate application period ($5.001) ($'000's)</t>
  </si>
  <si>
    <t>D = C - base year savings</t>
  </si>
  <si>
    <t>Less Campaign costs ($'000's)</t>
  </si>
  <si>
    <t>Net Paperless Billing Savings ($'000's)</t>
  </si>
  <si>
    <t>F = D - E</t>
  </si>
  <si>
    <t># of paperless Account Overdue Notices (AON)  issued</t>
  </si>
  <si>
    <t>G</t>
  </si>
  <si>
    <t>Cost Saved by per paperless AON ($)</t>
  </si>
  <si>
    <t>H</t>
  </si>
  <si>
    <t>Total AON savings per year ($'000's)</t>
  </si>
  <si>
    <t>I = G x H</t>
  </si>
  <si>
    <t>3.2.2 Online Billing Enhancements ($'000's)***</t>
  </si>
  <si>
    <t>OM&amp;A = I + F</t>
  </si>
  <si>
    <t>3.2.3 Remote Disconnection Technology</t>
  </si>
  <si>
    <t>Total Remote / Disconnect Activity</t>
  </si>
  <si>
    <t>Labor &amp; Fleet Cost per activity ($)</t>
  </si>
  <si>
    <t>3.2.3 Remote Disconnection Technology ($'000's)</t>
  </si>
  <si>
    <t>OM&amp;A = A x B</t>
  </si>
  <si>
    <t>3.2.4 Customer Relationship Management (CRM) Platform Implementation</t>
  </si>
  <si>
    <t>Savings by year ($)</t>
  </si>
  <si>
    <t>Assumption: 60% to capital expenditures</t>
  </si>
  <si>
    <t>Estimated useful life (years)</t>
  </si>
  <si>
    <t>3.2.4 Customer Relationship Management (CRM) Platform Implementation ($'000's)</t>
  </si>
  <si>
    <t>Capital Expense (A x B) = D</t>
  </si>
  <si>
    <t>Full Year Depreciation = D/C = E</t>
  </si>
  <si>
    <t>2021 depn carried forward</t>
  </si>
  <si>
    <t>2022 depn carried forward</t>
  </si>
  <si>
    <t>2023 depn carried forward</t>
  </si>
  <si>
    <t>2024 depn carried forward</t>
  </si>
  <si>
    <t>2025 depn carried forward</t>
  </si>
  <si>
    <t>2026 depn carried forward</t>
  </si>
  <si>
    <t>2027 depn carried forward</t>
  </si>
  <si>
    <t>2028 depn carried forward</t>
  </si>
  <si>
    <t>2029 depn carried forward</t>
  </si>
  <si>
    <t>2030 depn carried forward</t>
  </si>
  <si>
    <t>Total AccDepn</t>
  </si>
  <si>
    <t>Services to Third Parties = A - D = F</t>
  </si>
  <si>
    <t>3.2.5 Disconnection Notification Automation</t>
  </si>
  <si>
    <t>Labour cost (salary + benefits) for 3 positions eliminated from this function ($'000's)</t>
  </si>
  <si>
    <t>Labor Cost increase (%)</t>
  </si>
  <si>
    <t>3.2.5 Disconnection Notification Automation ($'000's)</t>
  </si>
  <si>
    <t>OM&amp;A = A x (1+B)</t>
  </si>
  <si>
    <t>3.2.6 Satellite Imaging for Vegetation Management</t>
  </si>
  <si>
    <t>Reactive tree triming spend Spend ($'000's)</t>
  </si>
  <si>
    <t>Expected unplanned savings (%)</t>
  </si>
  <si>
    <t>Expected unplanned savings ($'000's)</t>
  </si>
  <si>
    <t>Less: Overstory subscription ($'000's)</t>
  </si>
  <si>
    <t>D</t>
  </si>
  <si>
    <t>3.2.6 Satellite Imaging for Vegetation Management ($'000's)</t>
  </si>
  <si>
    <t>OM&amp;A = C - D</t>
  </si>
  <si>
    <t>3.2.7 Blue Beam for Plant Inspectors</t>
  </si>
  <si>
    <t>Hours per year</t>
  </si>
  <si>
    <t>Hourly rate ($)</t>
  </si>
  <si>
    <t>Useful life (years)</t>
  </si>
  <si>
    <t>3.2.7 Blue Beam for Plant Inspectors ($'000's)</t>
  </si>
  <si>
    <t>Capital Expense = A x B = D</t>
  </si>
  <si>
    <t>Full Year Depreciation  = D/C = E</t>
  </si>
  <si>
    <t>3.2.8 Move-In Move-Out Automation</t>
  </si>
  <si>
    <t>volume of fully automated Moves</t>
  </si>
  <si>
    <t>External labour cost (per hour)</t>
  </si>
  <si>
    <t>Savings for fully automated moves ($'000's)</t>
  </si>
  <si>
    <t>C = A x B x 10 minutes savings</t>
  </si>
  <si>
    <t>Volume of Semi Automated Moves</t>
  </si>
  <si>
    <t>E = D x B x 7 minutes savings</t>
  </si>
  <si>
    <t>Less estimated depreciation Costs ($'000's)</t>
  </si>
  <si>
    <t>F</t>
  </si>
  <si>
    <t>3.2.8 Move-In Move-Out Automation ($'000's)</t>
  </si>
  <si>
    <t>OM&amp;A = C + E - F</t>
  </si>
  <si>
    <t>3.2.9 Salesforce Field Service for Reliability Operations</t>
  </si>
  <si>
    <t>Yearly field tech and crew hours</t>
  </si>
  <si>
    <t>Hourly labour rate ($)</t>
  </si>
  <si>
    <t>Total labour costs ($)</t>
  </si>
  <si>
    <t>Less: Salesforce licenses</t>
  </si>
  <si>
    <t>3.2.9 Salesforce Field Service for Reliability Operations ($'000's)</t>
  </si>
  <si>
    <t>3.2.10 Damage to Plant Process Automation</t>
  </si>
  <si>
    <t>Damage to plant cases per year</t>
  </si>
  <si>
    <t>Time saved per case (20 minutes per case = 0.33 of a hour)</t>
  </si>
  <si>
    <t>Total labour hours saved</t>
  </si>
  <si>
    <t>3.2.10 Damage to Plant Process Automation ($'000's)</t>
  </si>
  <si>
    <t>Capital Expense (C x D) = F</t>
  </si>
  <si>
    <t>Full Year Depreciation (F/E)</t>
  </si>
  <si>
    <t>3.2.11 Customer Information System Reduced Fees</t>
  </si>
  <si>
    <t>2021 &amp; 2022 Contract Fees</t>
  </si>
  <si>
    <t>Jan to Jun</t>
  </si>
  <si>
    <t>Pre-savings Monthly amount: Jan to Jun</t>
  </si>
  <si>
    <t>Monthly savings (pre-savings amount x 12%)</t>
  </si>
  <si>
    <t>B = A x 12%</t>
  </si>
  <si>
    <t>Savings over 6 months</t>
  </si>
  <si>
    <t>C = B x 6 months</t>
  </si>
  <si>
    <t>Jul to onwards (2021 = December (6 months); 2022 = Jul to October (4 months))</t>
  </si>
  <si>
    <t>Pre-savings Monthly amount: Jul onwards</t>
  </si>
  <si>
    <t>E = D x 12%</t>
  </si>
  <si>
    <t>Savings over: 2021 (6 months); 2022 (4 months)</t>
  </si>
  <si>
    <t>F = E x # months</t>
  </si>
  <si>
    <t>3.2.11 Customer Information System Reduced Fees ($'000's)</t>
  </si>
  <si>
    <t>OM&amp;A: C + 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</si>
</sst>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"/>
    <numFmt numFmtId="165" formatCode="&quot;$&quot;#,##0.00"/>
    <numFmt numFmtId="166" formatCode="_(* #,##0_);_(* \(#,##0\);_(* &quot;-&quot;_);_(@_)"/>
    <numFmt numFmtId="167" formatCode="&quot;$&quot;#,##0.000"/>
    <numFmt numFmtId="168" formatCode="#,##0;\(#,##0\)"/>
    <numFmt numFmtId="169" formatCode="#,##0.00;\(#,##0.00\)"/>
  </numFmts>
  <fonts count="6">
    <font>
      <sz val="10.0"/>
      <color rgb="FF000000"/>
      <name val="Arial"/>
      <scheme val="minor"/>
    </font>
    <font>
      <b/>
      <color theme="1"/>
      <name val="Arial"/>
    </font>
    <font>
      <b/>
      <color rgb="FFFFFFFF"/>
      <name val="Arial"/>
    </font>
    <font>
      <color theme="1"/>
      <name val="Arial"/>
    </font>
    <font>
      <i/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1" fillId="2" fontId="2" numFmtId="0" xfId="0" applyAlignment="1" applyBorder="1" applyFill="1" applyFont="1">
      <alignment shrinkToFit="0" vertical="bottom" wrapText="1"/>
    </xf>
    <xf borderId="1" fillId="2" fontId="3" numFmtId="0" xfId="0" applyAlignment="1" applyBorder="1" applyFont="1">
      <alignment vertical="bottom"/>
    </xf>
    <xf borderId="2" fillId="2" fontId="3" numFmtId="0" xfId="0" applyAlignment="1" applyBorder="1" applyFont="1">
      <alignment vertical="bottom"/>
    </xf>
    <xf borderId="3" fillId="2" fontId="3" numFmtId="0" xfId="0" applyAlignment="1" applyBorder="1" applyFont="1">
      <alignment vertical="bottom"/>
    </xf>
    <xf borderId="4" fillId="2" fontId="3" numFmtId="0" xfId="0" applyAlignment="1" applyBorder="1" applyFont="1">
      <alignment vertical="bottom"/>
    </xf>
    <xf borderId="3" fillId="2" fontId="2" numFmtId="0" xfId="0" applyAlignment="1" applyBorder="1" applyFont="1">
      <alignment horizontal="center" shrinkToFit="0" vertical="bottom" wrapText="1"/>
    </xf>
    <xf borderId="3" fillId="3" fontId="1" numFmtId="0" xfId="0" applyAlignment="1" applyBorder="1" applyFill="1" applyFont="1">
      <alignment horizontal="center" shrinkToFit="0" vertical="bottom" wrapText="1"/>
    </xf>
    <xf borderId="3" fillId="3" fontId="1" numFmtId="164" xfId="0" applyAlignment="1" applyBorder="1" applyFont="1" applyNumberFormat="1">
      <alignment shrinkToFit="0" vertical="top" wrapText="1"/>
    </xf>
    <xf borderId="3" fillId="3" fontId="1" numFmtId="164" xfId="0" applyAlignment="1" applyBorder="1" applyFont="1" applyNumberFormat="1">
      <alignment horizontal="center" shrinkToFit="0" vertical="top" wrapText="1"/>
    </xf>
    <xf borderId="3" fillId="3" fontId="3" numFmtId="164" xfId="0" applyAlignment="1" applyBorder="1" applyFont="1" applyNumberFormat="1">
      <alignment vertical="top"/>
    </xf>
    <xf borderId="5" fillId="0" fontId="3" numFmtId="0" xfId="0" applyAlignment="1" applyBorder="1" applyFont="1">
      <alignment shrinkToFit="0" vertical="top" wrapText="1"/>
    </xf>
    <xf borderId="6" fillId="0" fontId="3" numFmtId="164" xfId="0" applyAlignment="1" applyBorder="1" applyFont="1" applyNumberFormat="1">
      <alignment vertical="top"/>
    </xf>
    <xf borderId="6" fillId="0" fontId="3" numFmtId="3" xfId="0" applyAlignment="1" applyBorder="1" applyFont="1" applyNumberFormat="1">
      <alignment horizontal="right" shrinkToFit="0" vertical="top" wrapText="1"/>
    </xf>
    <xf borderId="3" fillId="3" fontId="3" numFmtId="3" xfId="0" applyAlignment="1" applyBorder="1" applyFont="1" applyNumberFormat="1">
      <alignment vertical="top"/>
    </xf>
    <xf borderId="6" fillId="0" fontId="3" numFmtId="164" xfId="0" applyAlignment="1" applyBorder="1" applyFont="1" applyNumberFormat="1">
      <alignment horizontal="right" shrinkToFit="0" vertical="top" wrapText="1"/>
    </xf>
    <xf borderId="3" fillId="3" fontId="3" numFmtId="165" xfId="0" applyAlignment="1" applyBorder="1" applyFont="1" applyNumberFormat="1">
      <alignment vertical="top"/>
    </xf>
    <xf borderId="7" fillId="0" fontId="3" numFmtId="0" xfId="0" applyAlignment="1" applyBorder="1" applyFont="1">
      <alignment shrinkToFit="0" vertical="top" wrapText="1"/>
    </xf>
    <xf borderId="6" fillId="0" fontId="3" numFmtId="165" xfId="0" applyAlignment="1" applyBorder="1" applyFont="1" applyNumberFormat="1">
      <alignment vertical="top"/>
    </xf>
    <xf borderId="6" fillId="0" fontId="3" numFmtId="166" xfId="0" applyAlignment="1" applyBorder="1" applyFont="1" applyNumberFormat="1">
      <alignment horizontal="right" shrinkToFit="0" vertical="top" wrapText="1"/>
    </xf>
    <xf borderId="8" fillId="4" fontId="3" numFmtId="0" xfId="0" applyAlignment="1" applyBorder="1" applyFill="1" applyFont="1">
      <alignment shrinkToFit="0" vertical="top" wrapText="1"/>
    </xf>
    <xf borderId="3" fillId="4" fontId="3" numFmtId="164" xfId="0" applyAlignment="1" applyBorder="1" applyFont="1" applyNumberFormat="1">
      <alignment vertical="top"/>
    </xf>
    <xf borderId="5" fillId="3" fontId="3" numFmtId="164" xfId="0" applyAlignment="1" applyBorder="1" applyFont="1" applyNumberFormat="1">
      <alignment horizontal="right" shrinkToFit="0" vertical="top" wrapText="1"/>
    </xf>
    <xf borderId="3" fillId="4" fontId="3" numFmtId="164" xfId="0" applyAlignment="1" applyBorder="1" applyFont="1" applyNumberFormat="1">
      <alignment horizontal="right" shrinkToFit="0" vertical="top" wrapText="1"/>
    </xf>
    <xf borderId="3" fillId="3" fontId="3" numFmtId="164" xfId="0" applyAlignment="1" applyBorder="1" applyFont="1" applyNumberFormat="1">
      <alignment horizontal="right" shrinkToFit="0" vertical="top" wrapText="1"/>
    </xf>
    <xf borderId="9" fillId="0" fontId="3" numFmtId="0" xfId="0" applyAlignment="1" applyBorder="1" applyFont="1">
      <alignment vertical="top"/>
    </xf>
    <xf borderId="5" fillId="0" fontId="3" numFmtId="0" xfId="0" applyAlignment="1" applyBorder="1" applyFont="1">
      <alignment readingOrder="0" shrinkToFit="0" vertical="top" wrapText="1"/>
    </xf>
    <xf borderId="5" fillId="0" fontId="3" numFmtId="3" xfId="0" applyAlignment="1" applyBorder="1" applyFont="1" applyNumberFormat="1">
      <alignment horizontal="right" shrinkToFit="0" vertical="top" wrapText="1"/>
    </xf>
    <xf borderId="5" fillId="0" fontId="3" numFmtId="9" xfId="0" applyAlignment="1" applyBorder="1" applyFont="1" applyNumberFormat="1">
      <alignment horizontal="right" shrinkToFit="0" vertical="top" wrapText="1"/>
    </xf>
    <xf borderId="6" fillId="0" fontId="3" numFmtId="9" xfId="0" applyAlignment="1" applyBorder="1" applyFont="1" applyNumberFormat="1">
      <alignment horizontal="right" shrinkToFit="0" vertical="top" wrapText="1"/>
    </xf>
    <xf borderId="3" fillId="3" fontId="3" numFmtId="9" xfId="0" applyAlignment="1" applyBorder="1" applyFont="1" applyNumberFormat="1">
      <alignment vertical="top"/>
    </xf>
    <xf borderId="5" fillId="0" fontId="3" numFmtId="165" xfId="0" applyAlignment="1" applyBorder="1" applyFont="1" applyNumberFormat="1">
      <alignment horizontal="right" shrinkToFit="0" vertical="top" wrapText="1"/>
    </xf>
    <xf borderId="6" fillId="0" fontId="3" numFmtId="165" xfId="0" applyAlignment="1" applyBorder="1" applyFont="1" applyNumberFormat="1">
      <alignment horizontal="right" shrinkToFit="0" vertical="top" wrapText="1"/>
    </xf>
    <xf borderId="5" fillId="0" fontId="3" numFmtId="164" xfId="0" applyAlignment="1" applyBorder="1" applyFont="1" applyNumberFormat="1">
      <alignment horizontal="right" shrinkToFit="0" vertical="top" wrapText="1"/>
    </xf>
    <xf borderId="7" fillId="0" fontId="1" numFmtId="0" xfId="0" applyAlignment="1" applyBorder="1" applyFont="1">
      <alignment shrinkToFit="0" vertical="top" wrapText="1"/>
    </xf>
    <xf borderId="3" fillId="3" fontId="3" numFmtId="3" xfId="0" applyAlignment="1" applyBorder="1" applyFont="1" applyNumberFormat="1">
      <alignment horizontal="right" shrinkToFit="0" vertical="top" wrapText="1"/>
    </xf>
    <xf borderId="5" fillId="0" fontId="3" numFmtId="167" xfId="0" applyAlignment="1" applyBorder="1" applyFont="1" applyNumberFormat="1">
      <alignment horizontal="right" shrinkToFit="0" vertical="top" wrapText="1"/>
    </xf>
    <xf borderId="6" fillId="0" fontId="3" numFmtId="167" xfId="0" applyAlignment="1" applyBorder="1" applyFont="1" applyNumberFormat="1">
      <alignment horizontal="right" shrinkToFit="0" vertical="top" wrapText="1"/>
    </xf>
    <xf borderId="5" fillId="0" fontId="3" numFmtId="164" xfId="0" applyAlignment="1" applyBorder="1" applyFont="1" applyNumberFormat="1">
      <alignment horizontal="right" vertical="bottom"/>
    </xf>
    <xf borderId="5" fillId="3" fontId="3" numFmtId="164" xfId="0" applyAlignment="1" applyBorder="1" applyFont="1" applyNumberFormat="1">
      <alignment vertical="top"/>
    </xf>
    <xf borderId="5" fillId="0" fontId="3" numFmtId="3" xfId="0" applyAlignment="1" applyBorder="1" applyFont="1" applyNumberFormat="1">
      <alignment horizontal="right" readingOrder="0" shrinkToFit="0" vertical="top" wrapText="1"/>
    </xf>
    <xf borderId="8" fillId="4" fontId="3" numFmtId="164" xfId="0" applyAlignment="1" applyBorder="1" applyFont="1" applyNumberFormat="1">
      <alignment horizontal="right" shrinkToFit="0" vertical="top" wrapText="1"/>
    </xf>
    <xf borderId="0" fillId="0" fontId="3" numFmtId="0" xfId="0" applyAlignment="1" applyFont="1">
      <alignment vertical="bottom"/>
    </xf>
    <xf borderId="5" fillId="0" fontId="4" numFmtId="0" xfId="0" applyAlignment="1" applyBorder="1" applyFont="1">
      <alignment vertical="top"/>
    </xf>
    <xf borderId="5" fillId="0" fontId="4" numFmtId="164" xfId="0" applyAlignment="1" applyBorder="1" applyFont="1" applyNumberFormat="1">
      <alignment horizontal="right" vertical="top"/>
    </xf>
    <xf borderId="5" fillId="0" fontId="3" numFmtId="164" xfId="0" applyAlignment="1" applyBorder="1" applyFont="1" applyNumberFormat="1">
      <alignment vertical="top"/>
    </xf>
    <xf borderId="0" fillId="0" fontId="3" numFmtId="0" xfId="0" applyAlignment="1" applyFont="1">
      <alignment vertical="top"/>
    </xf>
    <xf borderId="10" fillId="0" fontId="3" numFmtId="0" xfId="0" applyAlignment="1" applyBorder="1" applyFont="1">
      <alignment vertical="bottom"/>
    </xf>
    <xf borderId="11" fillId="4" fontId="3" numFmtId="0" xfId="0" applyAlignment="1" applyBorder="1" applyFont="1">
      <alignment vertical="top"/>
    </xf>
    <xf borderId="11" fillId="4" fontId="3" numFmtId="164" xfId="0" applyAlignment="1" applyBorder="1" applyFont="1" applyNumberFormat="1">
      <alignment horizontal="right" vertical="top"/>
    </xf>
    <xf borderId="5" fillId="3" fontId="3" numFmtId="164" xfId="0" applyAlignment="1" applyBorder="1" applyFont="1" applyNumberFormat="1">
      <alignment horizontal="right" vertical="top"/>
    </xf>
    <xf borderId="5" fillId="0" fontId="3" numFmtId="164" xfId="0" applyAlignment="1" applyBorder="1" applyFont="1" applyNumberFormat="1">
      <alignment shrinkToFit="0" vertical="top" wrapText="1"/>
    </xf>
    <xf borderId="6" fillId="0" fontId="3" numFmtId="10" xfId="0" applyAlignment="1" applyBorder="1" applyFont="1" applyNumberFormat="1">
      <alignment horizontal="right" shrinkToFit="0" vertical="top" wrapText="1"/>
    </xf>
    <xf borderId="3" fillId="3" fontId="1" numFmtId="0" xfId="0" applyAlignment="1" applyBorder="1" applyFont="1">
      <alignment shrinkToFit="0" vertical="top" wrapText="1"/>
    </xf>
    <xf borderId="6" fillId="0" fontId="3" numFmtId="164" xfId="0" applyAlignment="1" applyBorder="1" applyFont="1" applyNumberFormat="1">
      <alignment horizontal="right" readingOrder="0" shrinkToFit="0" vertical="top" wrapText="1"/>
    </xf>
    <xf borderId="6" fillId="0" fontId="3" numFmtId="3" xfId="0" applyAlignment="1" applyBorder="1" applyFont="1" applyNumberFormat="1">
      <alignment horizontal="right" readingOrder="0" shrinkToFit="0" vertical="top" wrapText="1"/>
    </xf>
    <xf borderId="8" fillId="0" fontId="3" numFmtId="0" xfId="0" applyAlignment="1" applyBorder="1" applyFont="1">
      <alignment shrinkToFit="0" vertical="top" wrapText="1"/>
    </xf>
    <xf borderId="6" fillId="0" fontId="3" numFmtId="168" xfId="0" applyAlignment="1" applyBorder="1" applyFont="1" applyNumberFormat="1">
      <alignment horizontal="right" shrinkToFit="0" vertical="top" wrapText="1"/>
    </xf>
    <xf borderId="8" fillId="4" fontId="3" numFmtId="164" xfId="0" applyAlignment="1" applyBorder="1" applyFont="1" applyNumberFormat="1">
      <alignment vertical="top"/>
    </xf>
    <xf borderId="6" fillId="0" fontId="3" numFmtId="168" xfId="0" applyAlignment="1" applyBorder="1" applyFont="1" applyNumberFormat="1">
      <alignment horizontal="right" vertical="top"/>
    </xf>
    <xf borderId="3" fillId="3" fontId="3" numFmtId="168" xfId="0" applyAlignment="1" applyBorder="1" applyFont="1" applyNumberFormat="1">
      <alignment vertical="top"/>
    </xf>
    <xf borderId="6" fillId="0" fontId="3" numFmtId="169" xfId="0" applyAlignment="1" applyBorder="1" applyFont="1" applyNumberFormat="1">
      <alignment horizontal="right" vertical="top"/>
    </xf>
    <xf borderId="6" fillId="0" fontId="3" numFmtId="4" xfId="0" applyAlignment="1" applyBorder="1" applyFont="1" applyNumberFormat="1">
      <alignment horizontal="right" vertical="top"/>
    </xf>
    <xf borderId="6" fillId="0" fontId="3" numFmtId="3" xfId="0" applyAlignment="1" applyBorder="1" applyFont="1" applyNumberFormat="1">
      <alignment horizontal="right" vertical="top"/>
    </xf>
    <xf borderId="6" fillId="0" fontId="3" numFmtId="164" xfId="0" applyAlignment="1" applyBorder="1" applyFont="1" applyNumberFormat="1">
      <alignment horizontal="right" vertical="top"/>
    </xf>
    <xf borderId="6" fillId="0" fontId="3" numFmtId="3" xfId="0" applyAlignment="1" applyBorder="1" applyFont="1" applyNumberFormat="1">
      <alignment horizontal="right" readingOrder="0" vertical="top"/>
    </xf>
    <xf borderId="3" fillId="4" fontId="4" numFmtId="164" xfId="0" applyAlignment="1" applyBorder="1" applyFont="1" applyNumberFormat="1">
      <alignment horizontal="right" shrinkToFit="0" vertical="top" wrapText="1"/>
    </xf>
    <xf borderId="0" fillId="0" fontId="5" numFmtId="164" xfId="0" applyFont="1" applyNumberFormat="1"/>
    <xf borderId="5" fillId="0" fontId="3" numFmtId="0" xfId="0" applyAlignment="1" applyBorder="1" applyFont="1">
      <alignment vertical="top"/>
    </xf>
    <xf borderId="5" fillId="0" fontId="3" numFmtId="165" xfId="0" applyAlignment="1" applyBorder="1" applyFont="1" applyNumberFormat="1">
      <alignment vertical="bottom"/>
    </xf>
    <xf borderId="5" fillId="0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51.0"/>
    <col customWidth="1" min="2" max="2" width="33.88"/>
    <col customWidth="1" min="3" max="14" width="10.0"/>
  </cols>
  <sheetData>
    <row r="1">
      <c r="A1" s="1" t="s">
        <v>0</v>
      </c>
    </row>
    <row r="2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>
      <c r="A3" s="6"/>
      <c r="B3" s="6"/>
      <c r="C3" s="7">
        <v>2021.0</v>
      </c>
      <c r="D3" s="7">
        <v>2022.0</v>
      </c>
      <c r="E3" s="7">
        <v>2023.0</v>
      </c>
      <c r="F3" s="7">
        <v>2024.0</v>
      </c>
      <c r="G3" s="7">
        <v>2025.0</v>
      </c>
      <c r="H3" s="8" t="s">
        <v>2</v>
      </c>
      <c r="I3" s="7">
        <v>2026.0</v>
      </c>
      <c r="J3" s="7">
        <v>2027.0</v>
      </c>
      <c r="K3" s="7">
        <v>2028.0</v>
      </c>
      <c r="L3" s="7">
        <v>2029.0</v>
      </c>
      <c r="M3" s="7">
        <v>2030.0</v>
      </c>
      <c r="N3" s="8" t="s">
        <v>3</v>
      </c>
    </row>
    <row r="4">
      <c r="A4" s="9" t="s">
        <v>4</v>
      </c>
      <c r="B4" s="10" t="s">
        <v>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>
      <c r="A5" s="12" t="s">
        <v>6</v>
      </c>
      <c r="B5" s="12" t="s">
        <v>7</v>
      </c>
      <c r="C5" s="13"/>
      <c r="D5" s="13"/>
      <c r="E5" s="13"/>
      <c r="F5" s="13"/>
      <c r="G5" s="13"/>
      <c r="H5" s="11"/>
      <c r="I5" s="14">
        <v>7176.0</v>
      </c>
      <c r="J5" s="14">
        <v>10137.0</v>
      </c>
      <c r="K5" s="14">
        <v>13889.0</v>
      </c>
      <c r="L5" s="14">
        <v>18600.0</v>
      </c>
      <c r="M5" s="14">
        <v>24486.0</v>
      </c>
      <c r="N5" s="15"/>
    </row>
    <row r="6">
      <c r="A6" s="12" t="s">
        <v>8</v>
      </c>
      <c r="B6" s="12" t="s">
        <v>9</v>
      </c>
      <c r="C6" s="13"/>
      <c r="D6" s="13"/>
      <c r="E6" s="13"/>
      <c r="F6" s="13"/>
      <c r="G6" s="13"/>
      <c r="H6" s="11"/>
      <c r="I6" s="14">
        <v>4776.0</v>
      </c>
      <c r="J6" s="14">
        <v>6759.0</v>
      </c>
      <c r="K6" s="14">
        <v>9259.0</v>
      </c>
      <c r="L6" s="14">
        <v>12396.0</v>
      </c>
      <c r="M6" s="14">
        <v>16320.0</v>
      </c>
      <c r="N6" s="15"/>
    </row>
    <row r="7">
      <c r="A7" s="12" t="s">
        <v>10</v>
      </c>
      <c r="B7" s="12" t="s">
        <v>11</v>
      </c>
      <c r="C7" s="13"/>
      <c r="D7" s="13"/>
      <c r="E7" s="13"/>
      <c r="F7" s="13"/>
      <c r="G7" s="13"/>
      <c r="H7" s="11"/>
      <c r="I7" s="16">
        <v>95.0</v>
      </c>
      <c r="J7" s="16">
        <v>98.0</v>
      </c>
      <c r="K7" s="16">
        <v>101.0</v>
      </c>
      <c r="L7" s="16">
        <v>104.0</v>
      </c>
      <c r="M7" s="16">
        <v>107.0</v>
      </c>
      <c r="N7" s="17"/>
    </row>
    <row r="8">
      <c r="A8" s="12" t="s">
        <v>12</v>
      </c>
      <c r="B8" s="12" t="s">
        <v>13</v>
      </c>
      <c r="C8" s="13"/>
      <c r="D8" s="13"/>
      <c r="E8" s="13"/>
      <c r="F8" s="13"/>
      <c r="G8" s="13"/>
      <c r="H8" s="11"/>
      <c r="I8" s="16">
        <f t="shared" ref="I8:M8" si="1">((I5*I7*20/60)+(I6*I7*1))</f>
        <v>680960</v>
      </c>
      <c r="J8" s="16">
        <f t="shared" si="1"/>
        <v>993524</v>
      </c>
      <c r="K8" s="16">
        <f t="shared" si="1"/>
        <v>1402755.333</v>
      </c>
      <c r="L8" s="16">
        <f t="shared" si="1"/>
        <v>1933984</v>
      </c>
      <c r="M8" s="16">
        <f t="shared" si="1"/>
        <v>2619574</v>
      </c>
      <c r="N8" s="11"/>
    </row>
    <row r="9">
      <c r="A9" s="18" t="s">
        <v>14</v>
      </c>
      <c r="B9" s="12" t="s">
        <v>15</v>
      </c>
      <c r="C9" s="19"/>
      <c r="D9" s="13"/>
      <c r="E9" s="13"/>
      <c r="F9" s="13"/>
      <c r="G9" s="13"/>
      <c r="H9" s="11"/>
      <c r="I9" s="16">
        <f t="shared" ref="I9:J9" si="2">440*1000</f>
        <v>440000</v>
      </c>
      <c r="J9" s="16">
        <f t="shared" si="2"/>
        <v>440000</v>
      </c>
      <c r="K9" s="20">
        <v>0.0</v>
      </c>
      <c r="L9" s="20">
        <v>0.0</v>
      </c>
      <c r="M9" s="20">
        <v>0.0</v>
      </c>
      <c r="N9" s="11"/>
    </row>
    <row r="10">
      <c r="A10" s="21" t="s">
        <v>16</v>
      </c>
      <c r="B10" s="21" t="s">
        <v>17</v>
      </c>
      <c r="C10" s="22"/>
      <c r="D10" s="22"/>
      <c r="E10" s="22"/>
      <c r="F10" s="22"/>
      <c r="G10" s="22"/>
      <c r="H10" s="23" t="s">
        <v>18</v>
      </c>
      <c r="I10" s="24">
        <f t="shared" ref="I10:M10" si="3">(I8-I9)/1000</f>
        <v>240.96</v>
      </c>
      <c r="J10" s="24">
        <f t="shared" si="3"/>
        <v>553.524</v>
      </c>
      <c r="K10" s="24">
        <f t="shared" si="3"/>
        <v>1402.755333</v>
      </c>
      <c r="L10" s="24">
        <f t="shared" si="3"/>
        <v>1933.984</v>
      </c>
      <c r="M10" s="24">
        <f t="shared" si="3"/>
        <v>2619.574</v>
      </c>
      <c r="N10" s="25">
        <f>SUM(I10:M10)</f>
        <v>6750.797333</v>
      </c>
    </row>
    <row r="11">
      <c r="A11" s="9" t="s">
        <v>19</v>
      </c>
      <c r="B11" s="10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>
      <c r="A12" s="26"/>
      <c r="B12" s="27" t="s">
        <v>20</v>
      </c>
      <c r="C12" s="28">
        <v>349695.0</v>
      </c>
      <c r="D12" s="14">
        <v>356062.0</v>
      </c>
      <c r="E12" s="14">
        <v>361688.0</v>
      </c>
      <c r="F12" s="14">
        <v>367728.0</v>
      </c>
      <c r="G12" s="14">
        <v>373277.0</v>
      </c>
      <c r="H12" s="15"/>
      <c r="I12" s="14">
        <v>377521.0</v>
      </c>
      <c r="J12" s="14">
        <v>381118.0</v>
      </c>
      <c r="K12" s="14">
        <v>384796.0</v>
      </c>
      <c r="L12" s="14">
        <v>388582.0</v>
      </c>
      <c r="M12" s="14">
        <v>394422.0</v>
      </c>
      <c r="N12" s="15"/>
    </row>
    <row r="13">
      <c r="A13" s="26"/>
      <c r="B13" s="12" t="s">
        <v>21</v>
      </c>
      <c r="C13" s="29">
        <v>0.5884607985152325</v>
      </c>
      <c r="D13" s="30">
        <v>0.6177149491985087</v>
      </c>
      <c r="E13" s="30">
        <v>0.6471841704718417</v>
      </c>
      <c r="F13" s="30">
        <v>0.7051494187097975</v>
      </c>
      <c r="G13" s="30">
        <v>0.7970307946131345</v>
      </c>
      <c r="H13" s="31"/>
      <c r="I13" s="30">
        <v>0.7999994770134329</v>
      </c>
      <c r="J13" s="30">
        <v>0.799998970499668</v>
      </c>
      <c r="K13" s="30">
        <v>0.7999994933553555</v>
      </c>
      <c r="L13" s="30">
        <v>0.8</v>
      </c>
      <c r="M13" s="30">
        <v>0.7999990183760013</v>
      </c>
      <c r="N13" s="15"/>
    </row>
    <row r="14">
      <c r="A14" s="18" t="s">
        <v>22</v>
      </c>
      <c r="B14" s="12" t="s">
        <v>7</v>
      </c>
      <c r="C14" s="28">
        <f t="shared" ref="C14:G14" si="4">C12*C13</f>
        <v>205781.7989</v>
      </c>
      <c r="D14" s="28">
        <f t="shared" si="4"/>
        <v>219944.8202</v>
      </c>
      <c r="E14" s="28">
        <f t="shared" si="4"/>
        <v>234078.7482</v>
      </c>
      <c r="F14" s="28">
        <f t="shared" si="4"/>
        <v>259303.1854</v>
      </c>
      <c r="G14" s="28">
        <f t="shared" si="4"/>
        <v>297513.2639</v>
      </c>
      <c r="H14" s="15"/>
      <c r="I14" s="28">
        <f t="shared" ref="I14:M14" si="5">I12*I13</f>
        <v>302016.6026</v>
      </c>
      <c r="J14" s="28">
        <f t="shared" si="5"/>
        <v>304894.0076</v>
      </c>
      <c r="K14" s="28">
        <f t="shared" si="5"/>
        <v>307836.605</v>
      </c>
      <c r="L14" s="28">
        <f t="shared" si="5"/>
        <v>310865.6</v>
      </c>
      <c r="M14" s="28">
        <f t="shared" si="5"/>
        <v>315537.2128</v>
      </c>
      <c r="N14" s="15"/>
    </row>
    <row r="15">
      <c r="A15" s="18" t="s">
        <v>23</v>
      </c>
      <c r="B15" s="18" t="s">
        <v>9</v>
      </c>
      <c r="C15" s="32">
        <v>11.722</v>
      </c>
      <c r="D15" s="33">
        <v>12.72</v>
      </c>
      <c r="E15" s="33">
        <v>12.756</v>
      </c>
      <c r="F15" s="33">
        <v>13.633</v>
      </c>
      <c r="G15" s="33">
        <v>16.67</v>
      </c>
      <c r="H15" s="11"/>
      <c r="I15" s="32">
        <v>17.27</v>
      </c>
      <c r="J15" s="33">
        <v>17.87</v>
      </c>
      <c r="K15" s="33">
        <v>18.47</v>
      </c>
      <c r="L15" s="33">
        <v>19.07</v>
      </c>
      <c r="M15" s="33">
        <v>19.67</v>
      </c>
      <c r="N15" s="11"/>
    </row>
    <row r="16">
      <c r="A16" s="18" t="s">
        <v>24</v>
      </c>
      <c r="B16" s="18" t="s">
        <v>25</v>
      </c>
      <c r="C16" s="34">
        <f t="shared" ref="C16:G16" si="6">(C14*C15)/1000</f>
        <v>2412.174247</v>
      </c>
      <c r="D16" s="34">
        <f t="shared" si="6"/>
        <v>2797.698113</v>
      </c>
      <c r="E16" s="34">
        <f t="shared" si="6"/>
        <v>2985.908513</v>
      </c>
      <c r="F16" s="34">
        <f t="shared" si="6"/>
        <v>3535.080327</v>
      </c>
      <c r="G16" s="34">
        <f t="shared" si="6"/>
        <v>4959.54611</v>
      </c>
      <c r="H16" s="11"/>
      <c r="I16" s="34">
        <f t="shared" ref="I16:M16" si="7">(I14*I15)/1000</f>
        <v>5215.826726</v>
      </c>
      <c r="J16" s="34">
        <f t="shared" si="7"/>
        <v>5448.455917</v>
      </c>
      <c r="K16" s="34">
        <f t="shared" si="7"/>
        <v>5685.742095</v>
      </c>
      <c r="L16" s="34">
        <f t="shared" si="7"/>
        <v>5928.206992</v>
      </c>
      <c r="M16" s="34">
        <f t="shared" si="7"/>
        <v>6206.616976</v>
      </c>
      <c r="N16" s="11"/>
    </row>
    <row r="17">
      <c r="A17" s="18" t="s">
        <v>26</v>
      </c>
      <c r="B17" s="18" t="s">
        <v>27</v>
      </c>
      <c r="C17" s="34">
        <f t="shared" ref="C17:G17" si="8">C16-2149.354</f>
        <v>262.8202471</v>
      </c>
      <c r="D17" s="34">
        <f t="shared" si="8"/>
        <v>648.3441135</v>
      </c>
      <c r="E17" s="34">
        <f t="shared" si="8"/>
        <v>836.5545127</v>
      </c>
      <c r="F17" s="34">
        <f t="shared" si="8"/>
        <v>1385.726327</v>
      </c>
      <c r="G17" s="34">
        <f t="shared" si="8"/>
        <v>2810.19211</v>
      </c>
      <c r="H17" s="11"/>
      <c r="I17" s="34">
        <f t="shared" ref="I17:M17" si="9">I16-$G16</f>
        <v>256.2806167</v>
      </c>
      <c r="J17" s="34">
        <f t="shared" si="9"/>
        <v>488.9098069</v>
      </c>
      <c r="K17" s="34">
        <f t="shared" si="9"/>
        <v>726.1959856</v>
      </c>
      <c r="L17" s="34">
        <f t="shared" si="9"/>
        <v>968.6608824</v>
      </c>
      <c r="M17" s="34">
        <f t="shared" si="9"/>
        <v>1247.070867</v>
      </c>
      <c r="N17" s="11"/>
    </row>
    <row r="18">
      <c r="A18" s="18" t="s">
        <v>28</v>
      </c>
      <c r="B18" s="18" t="s">
        <v>15</v>
      </c>
      <c r="C18" s="34">
        <v>130.0</v>
      </c>
      <c r="D18" s="34">
        <v>0.0</v>
      </c>
      <c r="E18" s="34">
        <v>0.0</v>
      </c>
      <c r="F18" s="34">
        <v>0.0</v>
      </c>
      <c r="G18" s="34">
        <v>173.513</v>
      </c>
      <c r="H18" s="11"/>
      <c r="I18" s="34">
        <v>0.0</v>
      </c>
      <c r="J18" s="34">
        <v>0.0</v>
      </c>
      <c r="K18" s="34">
        <v>0.0</v>
      </c>
      <c r="L18" s="34">
        <v>0.0</v>
      </c>
      <c r="M18" s="34">
        <v>0.0</v>
      </c>
      <c r="N18" s="11"/>
    </row>
    <row r="19">
      <c r="A19" s="35" t="s">
        <v>29</v>
      </c>
      <c r="B19" s="18" t="s">
        <v>30</v>
      </c>
      <c r="C19" s="34">
        <f t="shared" ref="C19:G19" si="10">C17-C18</f>
        <v>132.8202471</v>
      </c>
      <c r="D19" s="34">
        <f t="shared" si="10"/>
        <v>648.3441135</v>
      </c>
      <c r="E19" s="34">
        <f t="shared" si="10"/>
        <v>836.5545127</v>
      </c>
      <c r="F19" s="34">
        <f t="shared" si="10"/>
        <v>1385.726327</v>
      </c>
      <c r="G19" s="34">
        <f t="shared" si="10"/>
        <v>2636.67911</v>
      </c>
      <c r="H19" s="36">
        <f>SUM(C19:G19)</f>
        <v>5640.12431</v>
      </c>
      <c r="I19" s="34">
        <f t="shared" ref="I19:M19" si="11">I17-I18</f>
        <v>256.2806167</v>
      </c>
      <c r="J19" s="34">
        <f t="shared" si="11"/>
        <v>488.9098069</v>
      </c>
      <c r="K19" s="34">
        <f t="shared" si="11"/>
        <v>726.1959856</v>
      </c>
      <c r="L19" s="34">
        <f t="shared" si="11"/>
        <v>968.6608824</v>
      </c>
      <c r="M19" s="34">
        <f t="shared" si="11"/>
        <v>1247.070867</v>
      </c>
      <c r="N19" s="36">
        <f>SUM(I19:M19)</f>
        <v>3687.118158</v>
      </c>
    </row>
    <row r="20">
      <c r="A20" s="18" t="s">
        <v>31</v>
      </c>
      <c r="B20" s="18" t="s">
        <v>32</v>
      </c>
      <c r="C20" s="28">
        <v>80902.0</v>
      </c>
      <c r="D20" s="14">
        <v>95706.0</v>
      </c>
      <c r="E20" s="14">
        <v>114861.0</v>
      </c>
      <c r="F20" s="14">
        <v>130801.0</v>
      </c>
      <c r="G20" s="14">
        <v>155699.0</v>
      </c>
      <c r="H20" s="15"/>
      <c r="I20" s="14">
        <v>180000.0</v>
      </c>
      <c r="J20" s="14">
        <v>180000.0</v>
      </c>
      <c r="K20" s="14">
        <v>180000.0</v>
      </c>
      <c r="L20" s="14">
        <v>180000.0</v>
      </c>
      <c r="M20" s="14">
        <v>180000.0</v>
      </c>
      <c r="N20" s="15"/>
    </row>
    <row r="21">
      <c r="A21" s="18" t="s">
        <v>33</v>
      </c>
      <c r="B21" s="18" t="s">
        <v>34</v>
      </c>
      <c r="C21" s="37">
        <v>0.901</v>
      </c>
      <c r="D21" s="38">
        <v>0.963</v>
      </c>
      <c r="E21" s="38">
        <v>0.97</v>
      </c>
      <c r="F21" s="38">
        <v>1.024</v>
      </c>
      <c r="G21" s="38">
        <v>1.293</v>
      </c>
      <c r="H21" s="11"/>
      <c r="I21" s="38">
        <v>1.343</v>
      </c>
      <c r="J21" s="38">
        <v>1.393</v>
      </c>
      <c r="K21" s="38">
        <v>1.443</v>
      </c>
      <c r="L21" s="38">
        <v>1.493</v>
      </c>
      <c r="M21" s="38">
        <v>1.543</v>
      </c>
      <c r="N21" s="15"/>
    </row>
    <row r="22">
      <c r="A22" s="35" t="s">
        <v>35</v>
      </c>
      <c r="B22" s="18" t="s">
        <v>36</v>
      </c>
      <c r="C22" s="34">
        <f t="shared" ref="C22:G22" si="12">C20*C21/1000</f>
        <v>72.892702</v>
      </c>
      <c r="D22" s="16">
        <f t="shared" si="12"/>
        <v>92.164878</v>
      </c>
      <c r="E22" s="16">
        <f t="shared" si="12"/>
        <v>111.41517</v>
      </c>
      <c r="F22" s="16">
        <f t="shared" si="12"/>
        <v>133.940224</v>
      </c>
      <c r="G22" s="16">
        <f t="shared" si="12"/>
        <v>201.318807</v>
      </c>
      <c r="H22" s="25">
        <f>SUM(C22:G22)</f>
        <v>611.731781</v>
      </c>
      <c r="I22" s="16">
        <f t="shared" ref="I22:M22" si="13">I20*I21/1000</f>
        <v>241.74</v>
      </c>
      <c r="J22" s="16">
        <f t="shared" si="13"/>
        <v>250.74</v>
      </c>
      <c r="K22" s="16">
        <f t="shared" si="13"/>
        <v>259.74</v>
      </c>
      <c r="L22" s="16">
        <f t="shared" si="13"/>
        <v>268.74</v>
      </c>
      <c r="M22" s="16">
        <f t="shared" si="13"/>
        <v>277.74</v>
      </c>
      <c r="N22" s="25">
        <f>SUM(I22:M22)</f>
        <v>1298.7</v>
      </c>
    </row>
    <row r="23">
      <c r="A23" s="21" t="s">
        <v>37</v>
      </c>
      <c r="B23" s="21" t="s">
        <v>38</v>
      </c>
      <c r="C23" s="24">
        <f t="shared" ref="C23:F23" si="14">C22+C19</f>
        <v>205.7129491</v>
      </c>
      <c r="D23" s="24">
        <f t="shared" si="14"/>
        <v>740.5089915</v>
      </c>
      <c r="E23" s="24">
        <f t="shared" si="14"/>
        <v>947.9696827</v>
      </c>
      <c r="F23" s="24">
        <f t="shared" si="14"/>
        <v>1519.666551</v>
      </c>
      <c r="G23" s="24">
        <f>G22+G19+1</f>
        <v>2838.997917</v>
      </c>
      <c r="H23" s="25">
        <f>SUM(C23:G23)-1</f>
        <v>6251.856091</v>
      </c>
      <c r="I23" s="24">
        <f t="shared" ref="I23:M23" si="15">I22+I19</f>
        <v>498.0206167</v>
      </c>
      <c r="J23" s="24">
        <f t="shared" si="15"/>
        <v>739.6498069</v>
      </c>
      <c r="K23" s="24">
        <f t="shared" si="15"/>
        <v>985.9359856</v>
      </c>
      <c r="L23" s="24">
        <f t="shared" si="15"/>
        <v>1237.400882</v>
      </c>
      <c r="M23" s="24">
        <f t="shared" si="15"/>
        <v>1524.810867</v>
      </c>
      <c r="N23" s="25">
        <f>SUM(I23:M23)-1</f>
        <v>4984.818158</v>
      </c>
    </row>
    <row r="24">
      <c r="A24" s="9" t="s">
        <v>39</v>
      </c>
      <c r="B24" s="10" t="s">
        <v>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>
      <c r="A25" s="18" t="s">
        <v>40</v>
      </c>
      <c r="B25" s="12" t="s">
        <v>7</v>
      </c>
      <c r="C25" s="28">
        <v>3408.0</v>
      </c>
      <c r="D25" s="14">
        <v>4498.0</v>
      </c>
      <c r="E25" s="14">
        <v>6148.0</v>
      </c>
      <c r="F25" s="14">
        <v>8970.0</v>
      </c>
      <c r="G25" s="14">
        <v>9114.0</v>
      </c>
      <c r="H25" s="15"/>
      <c r="I25" s="28">
        <v>9259.0</v>
      </c>
      <c r="J25" s="14">
        <v>9407.0</v>
      </c>
      <c r="K25" s="14">
        <v>9558.0</v>
      </c>
      <c r="L25" s="14">
        <v>9711.0</v>
      </c>
      <c r="M25" s="14">
        <v>9866.0</v>
      </c>
      <c r="N25" s="15"/>
    </row>
    <row r="26">
      <c r="A26" s="18" t="s">
        <v>41</v>
      </c>
      <c r="B26" s="12" t="s">
        <v>9</v>
      </c>
      <c r="C26" s="32">
        <v>82.73</v>
      </c>
      <c r="D26" s="33">
        <v>83.67</v>
      </c>
      <c r="E26" s="33">
        <v>84.6</v>
      </c>
      <c r="F26" s="33">
        <v>92.07</v>
      </c>
      <c r="G26" s="33">
        <v>94.87</v>
      </c>
      <c r="H26" s="11"/>
      <c r="I26" s="33">
        <v>97.67</v>
      </c>
      <c r="J26" s="33">
        <v>100.47</v>
      </c>
      <c r="K26" s="33">
        <v>103.27</v>
      </c>
      <c r="L26" s="33">
        <v>106.07</v>
      </c>
      <c r="M26" s="33">
        <v>108.87</v>
      </c>
      <c r="N26" s="11"/>
    </row>
    <row r="27">
      <c r="A27" s="21" t="s">
        <v>42</v>
      </c>
      <c r="B27" s="21" t="s">
        <v>43</v>
      </c>
      <c r="C27" s="24">
        <f t="shared" ref="C27:G27" si="16">(C25*C26)/1000</f>
        <v>281.94384</v>
      </c>
      <c r="D27" s="24">
        <f t="shared" si="16"/>
        <v>376.34766</v>
      </c>
      <c r="E27" s="24">
        <f t="shared" si="16"/>
        <v>520.1208</v>
      </c>
      <c r="F27" s="24">
        <f t="shared" si="16"/>
        <v>825.8679</v>
      </c>
      <c r="G27" s="24">
        <f t="shared" si="16"/>
        <v>864.64518</v>
      </c>
      <c r="H27" s="23">
        <f>SUM(C27:G27)</f>
        <v>2868.92538</v>
      </c>
      <c r="I27" s="24">
        <f t="shared" ref="I27:M27" si="17">(I25*I26)/1000</f>
        <v>904.32653</v>
      </c>
      <c r="J27" s="24">
        <f t="shared" si="17"/>
        <v>945.12129</v>
      </c>
      <c r="K27" s="24">
        <f t="shared" si="17"/>
        <v>987.05466</v>
      </c>
      <c r="L27" s="24">
        <f t="shared" si="17"/>
        <v>1030.04577</v>
      </c>
      <c r="M27" s="24">
        <f t="shared" si="17"/>
        <v>1074.11142</v>
      </c>
      <c r="N27" s="23">
        <f>SUM(I27:M27)</f>
        <v>4940.65967</v>
      </c>
    </row>
    <row r="28">
      <c r="A28" s="9" t="s">
        <v>44</v>
      </c>
      <c r="B28" s="10" t="s">
        <v>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>
      <c r="A29" s="12" t="s">
        <v>45</v>
      </c>
      <c r="B29" s="12" t="s">
        <v>7</v>
      </c>
      <c r="C29" s="39">
        <v>220173.0</v>
      </c>
      <c r="D29" s="39">
        <v>295440.0</v>
      </c>
      <c r="E29" s="39">
        <v>292410.0</v>
      </c>
      <c r="F29" s="39">
        <v>283643.0</v>
      </c>
      <c r="G29" s="39">
        <v>299092.0</v>
      </c>
      <c r="H29" s="40"/>
      <c r="I29" s="39">
        <v>333165.0</v>
      </c>
      <c r="J29" s="39">
        <v>370538.0</v>
      </c>
      <c r="K29" s="39">
        <v>411777.0</v>
      </c>
      <c r="L29" s="39">
        <v>457392.0</v>
      </c>
      <c r="M29" s="39">
        <v>507501.0</v>
      </c>
      <c r="N29" s="40"/>
    </row>
    <row r="30">
      <c r="A30" s="12" t="s">
        <v>46</v>
      </c>
      <c r="B30" s="12" t="s">
        <v>9</v>
      </c>
      <c r="C30" s="29">
        <v>0.6</v>
      </c>
      <c r="D30" s="29">
        <v>0.6</v>
      </c>
      <c r="E30" s="29">
        <v>0.6</v>
      </c>
      <c r="F30" s="29">
        <v>0.6</v>
      </c>
      <c r="G30" s="29">
        <v>0.6</v>
      </c>
      <c r="H30" s="40"/>
      <c r="I30" s="29">
        <v>0.6</v>
      </c>
      <c r="J30" s="29">
        <v>0.6</v>
      </c>
      <c r="K30" s="29">
        <v>0.6</v>
      </c>
      <c r="L30" s="29">
        <v>0.6</v>
      </c>
      <c r="M30" s="29">
        <v>0.6</v>
      </c>
      <c r="N30" s="40"/>
    </row>
    <row r="31">
      <c r="A31" s="12" t="s">
        <v>47</v>
      </c>
      <c r="B31" s="12" t="s">
        <v>11</v>
      </c>
      <c r="C31" s="41">
        <v>36.0</v>
      </c>
      <c r="D31" s="28">
        <f t="shared" ref="D31:G31" si="18">C31</f>
        <v>36</v>
      </c>
      <c r="E31" s="28">
        <f t="shared" si="18"/>
        <v>36</v>
      </c>
      <c r="F31" s="28">
        <f t="shared" si="18"/>
        <v>36</v>
      </c>
      <c r="G31" s="28">
        <f t="shared" si="18"/>
        <v>36</v>
      </c>
      <c r="H31" s="40"/>
      <c r="I31" s="28">
        <f>G31</f>
        <v>36</v>
      </c>
      <c r="J31" s="28">
        <f t="shared" ref="J31:M31" si="19">I31</f>
        <v>36</v>
      </c>
      <c r="K31" s="28">
        <f t="shared" si="19"/>
        <v>36</v>
      </c>
      <c r="L31" s="28">
        <f t="shared" si="19"/>
        <v>36</v>
      </c>
      <c r="M31" s="28">
        <f t="shared" si="19"/>
        <v>36</v>
      </c>
      <c r="N31" s="40"/>
    </row>
    <row r="32">
      <c r="A32" s="21" t="s">
        <v>48</v>
      </c>
      <c r="B32" s="21" t="s">
        <v>49</v>
      </c>
      <c r="C32" s="24">
        <f t="shared" ref="C32:G32" si="20">C29*C30/1000</f>
        <v>132.1038</v>
      </c>
      <c r="D32" s="24">
        <f t="shared" si="20"/>
        <v>177.264</v>
      </c>
      <c r="E32" s="24">
        <f t="shared" si="20"/>
        <v>175.446</v>
      </c>
      <c r="F32" s="24">
        <f t="shared" si="20"/>
        <v>170.1858</v>
      </c>
      <c r="G32" s="24">
        <f t="shared" si="20"/>
        <v>179.4552</v>
      </c>
      <c r="H32" s="23">
        <f>SUM(C32:G32)</f>
        <v>834.4548</v>
      </c>
      <c r="I32" s="24">
        <f t="shared" ref="I32:M32" si="21">I29*I30/1000</f>
        <v>199.899</v>
      </c>
      <c r="J32" s="24">
        <f t="shared" si="21"/>
        <v>222.3228</v>
      </c>
      <c r="K32" s="24">
        <f t="shared" si="21"/>
        <v>247.0662</v>
      </c>
      <c r="L32" s="24">
        <f t="shared" si="21"/>
        <v>274.4352</v>
      </c>
      <c r="M32" s="24">
        <f t="shared" si="21"/>
        <v>304.5006</v>
      </c>
      <c r="N32" s="23">
        <f>SUM(I32:M32)</f>
        <v>1248.2238</v>
      </c>
    </row>
    <row r="33">
      <c r="A33" s="21" t="s">
        <v>48</v>
      </c>
      <c r="B33" s="21" t="s">
        <v>50</v>
      </c>
      <c r="C33" s="24">
        <f t="shared" ref="C33:G33" si="22">C32/C31</f>
        <v>3.66955</v>
      </c>
      <c r="D33" s="42">
        <f t="shared" si="22"/>
        <v>4.924</v>
      </c>
      <c r="E33" s="24">
        <f t="shared" si="22"/>
        <v>4.8735</v>
      </c>
      <c r="F33" s="42">
        <f t="shared" si="22"/>
        <v>4.727383333</v>
      </c>
      <c r="G33" s="24">
        <f t="shared" si="22"/>
        <v>4.984866667</v>
      </c>
      <c r="H33" s="40"/>
      <c r="I33" s="24">
        <f t="shared" ref="I33:M33" si="23">I32/I31</f>
        <v>5.55275</v>
      </c>
      <c r="J33" s="24">
        <f t="shared" si="23"/>
        <v>6.175633333</v>
      </c>
      <c r="K33" s="24">
        <f t="shared" si="23"/>
        <v>6.86295</v>
      </c>
      <c r="L33" s="24">
        <f t="shared" si="23"/>
        <v>7.6232</v>
      </c>
      <c r="M33" s="24">
        <f t="shared" si="23"/>
        <v>8.45835</v>
      </c>
      <c r="N33" s="40"/>
    </row>
    <row r="34">
      <c r="A34" s="43"/>
      <c r="B34" s="44" t="s">
        <v>51</v>
      </c>
      <c r="C34" s="45">
        <f>C33*0.5</f>
        <v>1.834775</v>
      </c>
      <c r="D34" s="45">
        <f>C34*2</f>
        <v>3.66955</v>
      </c>
      <c r="E34" s="45">
        <f t="shared" ref="E34:G34" si="24">D34</f>
        <v>3.66955</v>
      </c>
      <c r="F34" s="45">
        <f t="shared" si="24"/>
        <v>3.66955</v>
      </c>
      <c r="G34" s="45">
        <f t="shared" si="24"/>
        <v>3.66955</v>
      </c>
      <c r="H34" s="40"/>
      <c r="I34" s="45">
        <f t="shared" ref="I34:I38" si="27">G34</f>
        <v>3.66955</v>
      </c>
      <c r="J34" s="45">
        <f t="shared" ref="J34:M34" si="25">I34</f>
        <v>3.66955</v>
      </c>
      <c r="K34" s="45">
        <f t="shared" si="25"/>
        <v>3.66955</v>
      </c>
      <c r="L34" s="45">
        <f t="shared" si="25"/>
        <v>3.66955</v>
      </c>
      <c r="M34" s="45">
        <f t="shared" si="25"/>
        <v>3.66955</v>
      </c>
      <c r="N34" s="40"/>
    </row>
    <row r="35">
      <c r="A35" s="43"/>
      <c r="B35" s="44" t="s">
        <v>52</v>
      </c>
      <c r="C35" s="46"/>
      <c r="D35" s="45">
        <f>D33*0.5</f>
        <v>2.462</v>
      </c>
      <c r="E35" s="45">
        <f>D35*2</f>
        <v>4.924</v>
      </c>
      <c r="F35" s="45">
        <f t="shared" ref="F35:G35" si="26">E35</f>
        <v>4.924</v>
      </c>
      <c r="G35" s="45">
        <f t="shared" si="26"/>
        <v>4.924</v>
      </c>
      <c r="H35" s="40"/>
      <c r="I35" s="45">
        <f t="shared" si="27"/>
        <v>4.924</v>
      </c>
      <c r="J35" s="45">
        <f t="shared" ref="J35:M35" si="28">I35</f>
        <v>4.924</v>
      </c>
      <c r="K35" s="45">
        <f t="shared" si="28"/>
        <v>4.924</v>
      </c>
      <c r="L35" s="45">
        <f t="shared" si="28"/>
        <v>4.924</v>
      </c>
      <c r="M35" s="45">
        <f t="shared" si="28"/>
        <v>4.924</v>
      </c>
      <c r="N35" s="40"/>
    </row>
    <row r="36">
      <c r="A36" s="43"/>
      <c r="B36" s="44" t="s">
        <v>53</v>
      </c>
      <c r="C36" s="46"/>
      <c r="D36" s="46"/>
      <c r="E36" s="45">
        <f>E33*0.5</f>
        <v>2.43675</v>
      </c>
      <c r="F36" s="45">
        <f>E36*2</f>
        <v>4.8735</v>
      </c>
      <c r="G36" s="45">
        <f>F36</f>
        <v>4.8735</v>
      </c>
      <c r="H36" s="40"/>
      <c r="I36" s="45">
        <f t="shared" si="27"/>
        <v>4.8735</v>
      </c>
      <c r="J36" s="45">
        <f t="shared" ref="J36:M36" si="29">I36</f>
        <v>4.8735</v>
      </c>
      <c r="K36" s="45">
        <f t="shared" si="29"/>
        <v>4.8735</v>
      </c>
      <c r="L36" s="45">
        <f t="shared" si="29"/>
        <v>4.8735</v>
      </c>
      <c r="M36" s="45">
        <f t="shared" si="29"/>
        <v>4.8735</v>
      </c>
      <c r="N36" s="40"/>
    </row>
    <row r="37">
      <c r="A37" s="43"/>
      <c r="B37" s="44" t="s">
        <v>54</v>
      </c>
      <c r="C37" s="46"/>
      <c r="D37" s="46"/>
      <c r="E37" s="46"/>
      <c r="F37" s="45">
        <f>F33*0.5</f>
        <v>2.363691667</v>
      </c>
      <c r="G37" s="45">
        <f>F37*2</f>
        <v>4.727383333</v>
      </c>
      <c r="H37" s="40"/>
      <c r="I37" s="45">
        <f t="shared" si="27"/>
        <v>4.727383333</v>
      </c>
      <c r="J37" s="45">
        <f t="shared" ref="J37:M37" si="30">I37</f>
        <v>4.727383333</v>
      </c>
      <c r="K37" s="45">
        <f t="shared" si="30"/>
        <v>4.727383333</v>
      </c>
      <c r="L37" s="45">
        <f t="shared" si="30"/>
        <v>4.727383333</v>
      </c>
      <c r="M37" s="45">
        <f t="shared" si="30"/>
        <v>4.727383333</v>
      </c>
      <c r="N37" s="40"/>
    </row>
    <row r="38">
      <c r="A38" s="43"/>
      <c r="B38" s="44" t="s">
        <v>55</v>
      </c>
      <c r="C38" s="46"/>
      <c r="D38" s="46"/>
      <c r="E38" s="46"/>
      <c r="F38" s="46"/>
      <c r="G38" s="45">
        <f>G33*0.5</f>
        <v>2.492433333</v>
      </c>
      <c r="H38" s="40"/>
      <c r="I38" s="45">
        <f t="shared" si="27"/>
        <v>2.492433333</v>
      </c>
      <c r="J38" s="45">
        <f t="shared" ref="J38:M38" si="31">I38</f>
        <v>2.492433333</v>
      </c>
      <c r="K38" s="45">
        <f t="shared" si="31"/>
        <v>2.492433333</v>
      </c>
      <c r="L38" s="45">
        <f t="shared" si="31"/>
        <v>2.492433333</v>
      </c>
      <c r="M38" s="45">
        <f t="shared" si="31"/>
        <v>2.492433333</v>
      </c>
      <c r="N38" s="40"/>
    </row>
    <row r="39">
      <c r="A39" s="47"/>
      <c r="B39" s="44" t="s">
        <v>56</v>
      </c>
      <c r="C39" s="46"/>
      <c r="D39" s="46"/>
      <c r="E39" s="46"/>
      <c r="F39" s="46"/>
      <c r="G39" s="46"/>
      <c r="H39" s="40"/>
      <c r="I39" s="45">
        <f>I33*0.5</f>
        <v>2.776375</v>
      </c>
      <c r="J39" s="45">
        <f>I39*2</f>
        <v>5.55275</v>
      </c>
      <c r="K39" s="45">
        <f t="shared" ref="K39:M39" si="32">J39</f>
        <v>5.55275</v>
      </c>
      <c r="L39" s="45">
        <f t="shared" si="32"/>
        <v>5.55275</v>
      </c>
      <c r="M39" s="45">
        <f t="shared" si="32"/>
        <v>5.55275</v>
      </c>
      <c r="N39" s="40"/>
    </row>
    <row r="40">
      <c r="A40" s="47"/>
      <c r="B40" s="44" t="s">
        <v>57</v>
      </c>
      <c r="C40" s="46"/>
      <c r="D40" s="46"/>
      <c r="E40" s="46"/>
      <c r="F40" s="46"/>
      <c r="G40" s="46"/>
      <c r="H40" s="40"/>
      <c r="I40" s="46"/>
      <c r="J40" s="45">
        <f>J33*0.5</f>
        <v>3.087816667</v>
      </c>
      <c r="K40" s="45">
        <f>J40*2</f>
        <v>6.175633333</v>
      </c>
      <c r="L40" s="45">
        <f t="shared" ref="L40:M40" si="33">K40</f>
        <v>6.175633333</v>
      </c>
      <c r="M40" s="45">
        <f t="shared" si="33"/>
        <v>6.175633333</v>
      </c>
      <c r="N40" s="40"/>
    </row>
    <row r="41">
      <c r="A41" s="47"/>
      <c r="B41" s="44" t="s">
        <v>58</v>
      </c>
      <c r="C41" s="46"/>
      <c r="D41" s="46"/>
      <c r="E41" s="46"/>
      <c r="F41" s="46"/>
      <c r="G41" s="46"/>
      <c r="H41" s="40"/>
      <c r="I41" s="46"/>
      <c r="J41" s="46"/>
      <c r="K41" s="45">
        <f>K33*0.5</f>
        <v>3.431475</v>
      </c>
      <c r="L41" s="45">
        <f>K41*2</f>
        <v>6.86295</v>
      </c>
      <c r="M41" s="45">
        <f>L41</f>
        <v>6.86295</v>
      </c>
      <c r="N41" s="40"/>
    </row>
    <row r="42">
      <c r="A42" s="47"/>
      <c r="B42" s="44" t="s">
        <v>59</v>
      </c>
      <c r="C42" s="46"/>
      <c r="D42" s="46"/>
      <c r="E42" s="46"/>
      <c r="F42" s="46"/>
      <c r="G42" s="46"/>
      <c r="H42" s="40"/>
      <c r="I42" s="46"/>
      <c r="J42" s="46"/>
      <c r="K42" s="46"/>
      <c r="L42" s="45">
        <f>L33*0.5</f>
        <v>3.8116</v>
      </c>
      <c r="M42" s="45">
        <f>L42*2</f>
        <v>7.6232</v>
      </c>
      <c r="N42" s="40"/>
    </row>
    <row r="43">
      <c r="A43" s="47"/>
      <c r="B43" s="44" t="s">
        <v>60</v>
      </c>
      <c r="C43" s="46"/>
      <c r="D43" s="46"/>
      <c r="E43" s="46"/>
      <c r="F43" s="46"/>
      <c r="G43" s="46"/>
      <c r="H43" s="40"/>
      <c r="I43" s="46"/>
      <c r="J43" s="46"/>
      <c r="K43" s="46"/>
      <c r="L43" s="46"/>
      <c r="M43" s="45">
        <f>M33*0.5</f>
        <v>4.229175</v>
      </c>
      <c r="N43" s="40"/>
    </row>
    <row r="44">
      <c r="A44" s="48"/>
      <c r="B44" s="49" t="s">
        <v>61</v>
      </c>
      <c r="C44" s="50">
        <f t="shared" ref="C44:G44" si="34">sum(C34:C43)</f>
        <v>1.834775</v>
      </c>
      <c r="D44" s="50">
        <f t="shared" si="34"/>
        <v>6.13155</v>
      </c>
      <c r="E44" s="50">
        <f t="shared" si="34"/>
        <v>11.0303</v>
      </c>
      <c r="F44" s="50">
        <f t="shared" si="34"/>
        <v>15.83074167</v>
      </c>
      <c r="G44" s="50">
        <f t="shared" si="34"/>
        <v>20.68686667</v>
      </c>
      <c r="H44" s="51">
        <f t="shared" ref="H44:H45" si="37">SUM(C44:G44)</f>
        <v>55.51423333</v>
      </c>
      <c r="I44" s="50">
        <f t="shared" ref="I44:M44" si="35">sum(I34:I43)</f>
        <v>23.46324167</v>
      </c>
      <c r="J44" s="50">
        <f t="shared" si="35"/>
        <v>29.32743333</v>
      </c>
      <c r="K44" s="50">
        <f t="shared" si="35"/>
        <v>35.846725</v>
      </c>
      <c r="L44" s="50">
        <f t="shared" si="35"/>
        <v>43.0898</v>
      </c>
      <c r="M44" s="50">
        <f t="shared" si="35"/>
        <v>51.130575</v>
      </c>
      <c r="N44" s="51">
        <f t="shared" ref="N44:N45" si="39">SUM(I44:M44)</f>
        <v>182.857775</v>
      </c>
    </row>
    <row r="45">
      <c r="A45" s="21" t="s">
        <v>48</v>
      </c>
      <c r="B45" s="21" t="s">
        <v>62</v>
      </c>
      <c r="C45" s="24">
        <f t="shared" ref="C45:G45" si="36">C29/1000-C32</f>
        <v>88.0692</v>
      </c>
      <c r="D45" s="42">
        <f t="shared" si="36"/>
        <v>118.176</v>
      </c>
      <c r="E45" s="24">
        <f t="shared" si="36"/>
        <v>116.964</v>
      </c>
      <c r="F45" s="42">
        <f t="shared" si="36"/>
        <v>113.4572</v>
      </c>
      <c r="G45" s="24">
        <f t="shared" si="36"/>
        <v>119.6368</v>
      </c>
      <c r="H45" s="23">
        <f t="shared" si="37"/>
        <v>556.3032</v>
      </c>
      <c r="I45" s="24">
        <f t="shared" ref="I45:M45" si="38">I29/1000-I32</f>
        <v>133.266</v>
      </c>
      <c r="J45" s="24">
        <f t="shared" si="38"/>
        <v>148.2152</v>
      </c>
      <c r="K45" s="24">
        <f t="shared" si="38"/>
        <v>164.7108</v>
      </c>
      <c r="L45" s="24">
        <f t="shared" si="38"/>
        <v>182.9568</v>
      </c>
      <c r="M45" s="24">
        <f t="shared" si="38"/>
        <v>203.0004</v>
      </c>
      <c r="N45" s="23">
        <f t="shared" si="39"/>
        <v>832.1492</v>
      </c>
    </row>
    <row r="46">
      <c r="A46" s="9" t="s">
        <v>63</v>
      </c>
      <c r="B46" s="10" t="s">
        <v>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>
      <c r="A47" s="18" t="s">
        <v>64</v>
      </c>
      <c r="B47" s="52" t="s">
        <v>7</v>
      </c>
      <c r="C47" s="34">
        <f>115.421*3</f>
        <v>346.263</v>
      </c>
      <c r="D47" s="34">
        <f t="shared" ref="D47:G47" si="40">C49</f>
        <v>346.263</v>
      </c>
      <c r="E47" s="34">
        <f t="shared" si="40"/>
        <v>355.1965854</v>
      </c>
      <c r="F47" s="34">
        <f t="shared" si="40"/>
        <v>368.9071736</v>
      </c>
      <c r="G47" s="34">
        <f t="shared" si="40"/>
        <v>382.556739</v>
      </c>
      <c r="H47" s="11"/>
      <c r="I47" s="16">
        <f>G49</f>
        <v>396.1375033</v>
      </c>
      <c r="J47" s="16">
        <f t="shared" ref="J47:M47" si="41">I49</f>
        <v>410.2003846</v>
      </c>
      <c r="K47" s="16">
        <f t="shared" si="41"/>
        <v>424.7624983</v>
      </c>
      <c r="L47" s="16">
        <f t="shared" si="41"/>
        <v>439.841567</v>
      </c>
      <c r="M47" s="16">
        <f t="shared" si="41"/>
        <v>455.4559426</v>
      </c>
      <c r="N47" s="11"/>
    </row>
    <row r="48">
      <c r="A48" s="18" t="s">
        <v>65</v>
      </c>
      <c r="B48" s="12" t="s">
        <v>9</v>
      </c>
      <c r="C48" s="46"/>
      <c r="D48" s="53">
        <v>0.0258</v>
      </c>
      <c r="E48" s="53">
        <v>0.0386</v>
      </c>
      <c r="F48" s="53">
        <v>0.037</v>
      </c>
      <c r="G48" s="53">
        <v>0.0355</v>
      </c>
      <c r="H48" s="11"/>
      <c r="I48" s="53">
        <v>0.0355</v>
      </c>
      <c r="J48" s="53">
        <v>0.0355</v>
      </c>
      <c r="K48" s="53">
        <v>0.0355</v>
      </c>
      <c r="L48" s="53">
        <v>0.0355</v>
      </c>
      <c r="M48" s="53">
        <v>0.0355</v>
      </c>
      <c r="N48" s="11"/>
    </row>
    <row r="49">
      <c r="A49" s="21" t="s">
        <v>66</v>
      </c>
      <c r="B49" s="21" t="s">
        <v>67</v>
      </c>
      <c r="C49" s="24">
        <f t="shared" ref="C49:G49" si="42">C47*(1+C48)</f>
        <v>346.263</v>
      </c>
      <c r="D49" s="24">
        <f t="shared" si="42"/>
        <v>355.1965854</v>
      </c>
      <c r="E49" s="24">
        <f t="shared" si="42"/>
        <v>368.9071736</v>
      </c>
      <c r="F49" s="24">
        <f t="shared" si="42"/>
        <v>382.556739</v>
      </c>
      <c r="G49" s="24">
        <f t="shared" si="42"/>
        <v>396.1375033</v>
      </c>
      <c r="H49" s="25">
        <f>SUM(C49:G49)</f>
        <v>1849.061001</v>
      </c>
      <c r="I49" s="24">
        <f t="shared" ref="I49:M49" si="43">I47*(1+I48)</f>
        <v>410.2003846</v>
      </c>
      <c r="J49" s="24">
        <f t="shared" si="43"/>
        <v>424.7624983</v>
      </c>
      <c r="K49" s="24">
        <f t="shared" si="43"/>
        <v>439.841567</v>
      </c>
      <c r="L49" s="24">
        <f t="shared" si="43"/>
        <v>455.4559426</v>
      </c>
      <c r="M49" s="24">
        <f t="shared" si="43"/>
        <v>471.6246286</v>
      </c>
      <c r="N49" s="25">
        <f>SUM(I49:M49)</f>
        <v>2201.885021</v>
      </c>
    </row>
    <row r="50">
      <c r="A50" s="54" t="s">
        <v>68</v>
      </c>
      <c r="B50" s="10" t="s">
        <v>5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>
      <c r="A51" s="12" t="s">
        <v>69</v>
      </c>
      <c r="B51" s="12" t="s">
        <v>7</v>
      </c>
      <c r="C51" s="46"/>
      <c r="D51" s="13"/>
      <c r="E51" s="13"/>
      <c r="F51" s="13"/>
      <c r="G51" s="13"/>
      <c r="H51" s="11"/>
      <c r="I51" s="55">
        <v>2632.9412</v>
      </c>
      <c r="J51" s="55">
        <v>3013.4185</v>
      </c>
      <c r="K51" s="55">
        <v>3135.4823</v>
      </c>
      <c r="L51" s="55">
        <v>3306.2521</v>
      </c>
      <c r="M51" s="55">
        <v>3787.3174</v>
      </c>
      <c r="N51" s="11"/>
    </row>
    <row r="52">
      <c r="A52" s="12" t="s">
        <v>70</v>
      </c>
      <c r="B52" s="12" t="s">
        <v>9</v>
      </c>
      <c r="C52" s="46"/>
      <c r="D52" s="13"/>
      <c r="E52" s="13"/>
      <c r="F52" s="13"/>
      <c r="G52" s="13"/>
      <c r="H52" s="11"/>
      <c r="I52" s="30">
        <v>0.15</v>
      </c>
      <c r="J52" s="30">
        <v>0.2</v>
      </c>
      <c r="K52" s="30">
        <v>0.2</v>
      </c>
      <c r="L52" s="30">
        <v>0.2</v>
      </c>
      <c r="M52" s="30">
        <v>0.2</v>
      </c>
      <c r="N52" s="11"/>
    </row>
    <row r="53">
      <c r="A53" s="12" t="s">
        <v>71</v>
      </c>
      <c r="B53" s="12" t="s">
        <v>25</v>
      </c>
      <c r="C53" s="46"/>
      <c r="D53" s="13"/>
      <c r="E53" s="13"/>
      <c r="F53" s="13"/>
      <c r="G53" s="13"/>
      <c r="H53" s="11"/>
      <c r="I53" s="16">
        <f t="shared" ref="I53:M53" si="44">I51*I52</f>
        <v>394.94118</v>
      </c>
      <c r="J53" s="16">
        <f t="shared" si="44"/>
        <v>602.6837</v>
      </c>
      <c r="K53" s="16">
        <f t="shared" si="44"/>
        <v>627.09646</v>
      </c>
      <c r="L53" s="16">
        <f t="shared" si="44"/>
        <v>661.25042</v>
      </c>
      <c r="M53" s="16">
        <f t="shared" si="44"/>
        <v>757.46348</v>
      </c>
      <c r="N53" s="11"/>
    </row>
    <row r="54">
      <c r="A54" s="12" t="s">
        <v>72</v>
      </c>
      <c r="B54" s="12" t="s">
        <v>73</v>
      </c>
      <c r="C54" s="46"/>
      <c r="D54" s="13"/>
      <c r="E54" s="13"/>
      <c r="F54" s="13"/>
      <c r="G54" s="13"/>
      <c r="H54" s="11"/>
      <c r="I54" s="16">
        <v>347.382</v>
      </c>
      <c r="J54" s="16">
        <v>364.751</v>
      </c>
      <c r="K54" s="16">
        <v>382.989</v>
      </c>
      <c r="L54" s="16">
        <v>402.138</v>
      </c>
      <c r="M54" s="16">
        <v>422.245</v>
      </c>
      <c r="N54" s="11"/>
    </row>
    <row r="55">
      <c r="A55" s="21" t="s">
        <v>74</v>
      </c>
      <c r="B55" s="21" t="s">
        <v>75</v>
      </c>
      <c r="C55" s="24">
        <f t="shared" ref="C55:G55" si="45">(C51*C52)-C54</f>
        <v>0</v>
      </c>
      <c r="D55" s="24">
        <f t="shared" si="45"/>
        <v>0</v>
      </c>
      <c r="E55" s="24">
        <f t="shared" si="45"/>
        <v>0</v>
      </c>
      <c r="F55" s="24">
        <f t="shared" si="45"/>
        <v>0</v>
      </c>
      <c r="G55" s="24">
        <f t="shared" si="45"/>
        <v>0</v>
      </c>
      <c r="H55" s="25" t="s">
        <v>18</v>
      </c>
      <c r="I55" s="24">
        <f t="shared" ref="I55:M55" si="46">I53-I54</f>
        <v>47.55918</v>
      </c>
      <c r="J55" s="24">
        <f t="shared" si="46"/>
        <v>237.9327</v>
      </c>
      <c r="K55" s="24">
        <f t="shared" si="46"/>
        <v>244.10746</v>
      </c>
      <c r="L55" s="24">
        <f t="shared" si="46"/>
        <v>259.11242</v>
      </c>
      <c r="M55" s="24">
        <f t="shared" si="46"/>
        <v>335.21848</v>
      </c>
      <c r="N55" s="25">
        <f>SUM(I55:M55)</f>
        <v>1123.93024</v>
      </c>
    </row>
    <row r="56">
      <c r="A56" s="54" t="s">
        <v>76</v>
      </c>
      <c r="B56" s="10" t="s">
        <v>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>
      <c r="A57" s="12" t="s">
        <v>77</v>
      </c>
      <c r="B57" s="12" t="s">
        <v>7</v>
      </c>
      <c r="C57" s="14">
        <v>2600.0</v>
      </c>
      <c r="D57" s="14">
        <v>2600.0</v>
      </c>
      <c r="E57" s="14">
        <v>2600.0</v>
      </c>
      <c r="F57" s="14">
        <v>2600.0</v>
      </c>
      <c r="G57" s="14">
        <v>2600.0</v>
      </c>
      <c r="H57" s="11"/>
      <c r="I57" s="14">
        <v>2600.0</v>
      </c>
      <c r="J57" s="14">
        <v>2600.0</v>
      </c>
      <c r="K57" s="14">
        <v>2600.0</v>
      </c>
      <c r="L57" s="14">
        <v>2600.0</v>
      </c>
      <c r="M57" s="14">
        <v>2600.0</v>
      </c>
      <c r="N57" s="11"/>
    </row>
    <row r="58">
      <c r="A58" s="12" t="s">
        <v>78</v>
      </c>
      <c r="B58" s="12" t="s">
        <v>9</v>
      </c>
      <c r="C58" s="16">
        <v>79.0</v>
      </c>
      <c r="D58" s="16">
        <v>80.0</v>
      </c>
      <c r="E58" s="16">
        <v>81.0</v>
      </c>
      <c r="F58" s="16">
        <v>89.0</v>
      </c>
      <c r="G58" s="16">
        <v>92.0</v>
      </c>
      <c r="H58" s="11"/>
      <c r="I58" s="16">
        <v>95.0</v>
      </c>
      <c r="J58" s="16">
        <v>98.0</v>
      </c>
      <c r="K58" s="16">
        <v>101.0</v>
      </c>
      <c r="L58" s="16">
        <v>104.0</v>
      </c>
      <c r="M58" s="16">
        <v>107.0</v>
      </c>
      <c r="N58" s="11"/>
    </row>
    <row r="59">
      <c r="A59" s="12" t="s">
        <v>79</v>
      </c>
      <c r="B59" s="12" t="s">
        <v>11</v>
      </c>
      <c r="C59" s="56">
        <v>36.0</v>
      </c>
      <c r="D59" s="28">
        <f t="shared" ref="D59:G59" si="47">C59</f>
        <v>36</v>
      </c>
      <c r="E59" s="28">
        <f t="shared" si="47"/>
        <v>36</v>
      </c>
      <c r="F59" s="28">
        <f t="shared" si="47"/>
        <v>36</v>
      </c>
      <c r="G59" s="28">
        <f t="shared" si="47"/>
        <v>36</v>
      </c>
      <c r="H59" s="40"/>
      <c r="I59" s="28">
        <f>G59</f>
        <v>36</v>
      </c>
      <c r="J59" s="28">
        <f t="shared" ref="J59:M59" si="48">I59</f>
        <v>36</v>
      </c>
      <c r="K59" s="28">
        <f t="shared" si="48"/>
        <v>36</v>
      </c>
      <c r="L59" s="28">
        <f t="shared" si="48"/>
        <v>36</v>
      </c>
      <c r="M59" s="28">
        <f t="shared" si="48"/>
        <v>36</v>
      </c>
      <c r="N59" s="11"/>
    </row>
    <row r="60">
      <c r="A60" s="21" t="s">
        <v>80</v>
      </c>
      <c r="B60" s="21" t="s">
        <v>81</v>
      </c>
      <c r="C60" s="24">
        <f t="shared" ref="C60:G60" si="49">C57*C58/1000</f>
        <v>205.4</v>
      </c>
      <c r="D60" s="24">
        <f t="shared" si="49"/>
        <v>208</v>
      </c>
      <c r="E60" s="24">
        <f t="shared" si="49"/>
        <v>210.6</v>
      </c>
      <c r="F60" s="24">
        <f t="shared" si="49"/>
        <v>231.4</v>
      </c>
      <c r="G60" s="24">
        <f t="shared" si="49"/>
        <v>239.2</v>
      </c>
      <c r="H60" s="25">
        <f>SUM(C60:G60)</f>
        <v>1094.6</v>
      </c>
      <c r="I60" s="24">
        <f t="shared" ref="I60:M60" si="50">I57*I58/1000</f>
        <v>247</v>
      </c>
      <c r="J60" s="24">
        <f t="shared" si="50"/>
        <v>254.8</v>
      </c>
      <c r="K60" s="24">
        <f t="shared" si="50"/>
        <v>262.6</v>
      </c>
      <c r="L60" s="24">
        <f t="shared" si="50"/>
        <v>270.4</v>
      </c>
      <c r="M60" s="24">
        <f t="shared" si="50"/>
        <v>278.2</v>
      </c>
      <c r="N60" s="25">
        <f>SUM(I60:M60)</f>
        <v>1313</v>
      </c>
    </row>
    <row r="61">
      <c r="A61" s="21" t="s">
        <v>80</v>
      </c>
      <c r="B61" s="57" t="s">
        <v>82</v>
      </c>
      <c r="C61" s="24">
        <f t="shared" ref="C61:G61" si="51">C60/C59</f>
        <v>5.705555556</v>
      </c>
      <c r="D61" s="24">
        <f t="shared" si="51"/>
        <v>5.777777778</v>
      </c>
      <c r="E61" s="24">
        <f t="shared" si="51"/>
        <v>5.85</v>
      </c>
      <c r="F61" s="24">
        <f t="shared" si="51"/>
        <v>6.427777778</v>
      </c>
      <c r="G61" s="24">
        <f t="shared" si="51"/>
        <v>6.644444444</v>
      </c>
      <c r="H61" s="11"/>
      <c r="I61" s="24">
        <f t="shared" ref="I61:M61" si="52">I60/I59</f>
        <v>6.861111111</v>
      </c>
      <c r="J61" s="24">
        <f t="shared" si="52"/>
        <v>7.077777778</v>
      </c>
      <c r="K61" s="24">
        <f t="shared" si="52"/>
        <v>7.294444444</v>
      </c>
      <c r="L61" s="24">
        <f t="shared" si="52"/>
        <v>7.511111111</v>
      </c>
      <c r="M61" s="24">
        <f t="shared" si="52"/>
        <v>7.727777778</v>
      </c>
      <c r="N61" s="11"/>
    </row>
    <row r="62">
      <c r="A62" s="43"/>
      <c r="B62" s="44" t="s">
        <v>51</v>
      </c>
      <c r="C62" s="45">
        <f>C61/2</f>
        <v>2.852777778</v>
      </c>
      <c r="D62" s="45">
        <f>C62*2</f>
        <v>5.705555556</v>
      </c>
      <c r="E62" s="45">
        <f t="shared" ref="E62:G62" si="53">D62</f>
        <v>5.705555556</v>
      </c>
      <c r="F62" s="45">
        <f t="shared" si="53"/>
        <v>5.705555556</v>
      </c>
      <c r="G62" s="45">
        <f t="shared" si="53"/>
        <v>5.705555556</v>
      </c>
      <c r="H62" s="40"/>
      <c r="I62" s="45">
        <f t="shared" ref="I62:I65" si="56">G62</f>
        <v>5.705555556</v>
      </c>
      <c r="J62" s="45">
        <f t="shared" ref="J62:M62" si="54">I62</f>
        <v>5.705555556</v>
      </c>
      <c r="K62" s="45">
        <f t="shared" si="54"/>
        <v>5.705555556</v>
      </c>
      <c r="L62" s="45">
        <f t="shared" si="54"/>
        <v>5.705555556</v>
      </c>
      <c r="M62" s="45">
        <f t="shared" si="54"/>
        <v>5.705555556</v>
      </c>
      <c r="N62" s="40"/>
    </row>
    <row r="63">
      <c r="A63" s="43"/>
      <c r="B63" s="44" t="s">
        <v>52</v>
      </c>
      <c r="C63" s="46"/>
      <c r="D63" s="45">
        <f>D61/2</f>
        <v>2.888888889</v>
      </c>
      <c r="E63" s="45">
        <f>D63*2</f>
        <v>5.777777778</v>
      </c>
      <c r="F63" s="45">
        <f t="shared" ref="F63:G63" si="55">E63</f>
        <v>5.777777778</v>
      </c>
      <c r="G63" s="45">
        <f t="shared" si="55"/>
        <v>5.777777778</v>
      </c>
      <c r="H63" s="40"/>
      <c r="I63" s="45">
        <f t="shared" si="56"/>
        <v>5.777777778</v>
      </c>
      <c r="J63" s="45">
        <f t="shared" ref="J63:M63" si="57">I63</f>
        <v>5.777777778</v>
      </c>
      <c r="K63" s="45">
        <f t="shared" si="57"/>
        <v>5.777777778</v>
      </c>
      <c r="L63" s="45">
        <f t="shared" si="57"/>
        <v>5.777777778</v>
      </c>
      <c r="M63" s="45">
        <f t="shared" si="57"/>
        <v>5.777777778</v>
      </c>
      <c r="N63" s="40"/>
    </row>
    <row r="64">
      <c r="A64" s="43"/>
      <c r="B64" s="44" t="s">
        <v>53</v>
      </c>
      <c r="C64" s="46"/>
      <c r="D64" s="46"/>
      <c r="E64" s="45">
        <f>E61/2</f>
        <v>2.925</v>
      </c>
      <c r="F64" s="45">
        <f>E64*2</f>
        <v>5.85</v>
      </c>
      <c r="G64" s="45">
        <f>F64</f>
        <v>5.85</v>
      </c>
      <c r="H64" s="40"/>
      <c r="I64" s="45">
        <f t="shared" si="56"/>
        <v>5.85</v>
      </c>
      <c r="J64" s="45">
        <f t="shared" ref="J64:M64" si="58">I64</f>
        <v>5.85</v>
      </c>
      <c r="K64" s="45">
        <f t="shared" si="58"/>
        <v>5.85</v>
      </c>
      <c r="L64" s="45">
        <f t="shared" si="58"/>
        <v>5.85</v>
      </c>
      <c r="M64" s="45">
        <f t="shared" si="58"/>
        <v>5.85</v>
      </c>
      <c r="N64" s="40"/>
    </row>
    <row r="65">
      <c r="A65" s="43"/>
      <c r="B65" s="44" t="s">
        <v>54</v>
      </c>
      <c r="C65" s="46"/>
      <c r="D65" s="46"/>
      <c r="E65" s="46"/>
      <c r="F65" s="45">
        <f>F61/2</f>
        <v>3.213888889</v>
      </c>
      <c r="G65" s="45">
        <f>F65*2</f>
        <v>6.427777778</v>
      </c>
      <c r="H65" s="40"/>
      <c r="I65" s="45">
        <f t="shared" si="56"/>
        <v>6.427777778</v>
      </c>
      <c r="J65" s="45">
        <f t="shared" ref="J65:M65" si="59">I65</f>
        <v>6.427777778</v>
      </c>
      <c r="K65" s="45">
        <f t="shared" si="59"/>
        <v>6.427777778</v>
      </c>
      <c r="L65" s="45">
        <f t="shared" si="59"/>
        <v>6.427777778</v>
      </c>
      <c r="M65" s="45">
        <f t="shared" si="59"/>
        <v>6.427777778</v>
      </c>
      <c r="N65" s="40"/>
    </row>
    <row r="66">
      <c r="A66" s="43"/>
      <c r="B66" s="44" t="s">
        <v>55</v>
      </c>
      <c r="C66" s="46"/>
      <c r="D66" s="46"/>
      <c r="E66" s="46"/>
      <c r="F66" s="46"/>
      <c r="G66" s="45">
        <f>G61/2</f>
        <v>3.322222222</v>
      </c>
      <c r="H66" s="40"/>
      <c r="I66" s="45">
        <f>G66*2</f>
        <v>6.644444444</v>
      </c>
      <c r="J66" s="45">
        <f t="shared" ref="J66:M66" si="60">I66</f>
        <v>6.644444444</v>
      </c>
      <c r="K66" s="45">
        <f t="shared" si="60"/>
        <v>6.644444444</v>
      </c>
      <c r="L66" s="45">
        <f t="shared" si="60"/>
        <v>6.644444444</v>
      </c>
      <c r="M66" s="45">
        <f t="shared" si="60"/>
        <v>6.644444444</v>
      </c>
      <c r="N66" s="40"/>
    </row>
    <row r="67">
      <c r="A67" s="47"/>
      <c r="B67" s="44" t="s">
        <v>56</v>
      </c>
      <c r="C67" s="46"/>
      <c r="D67" s="46"/>
      <c r="E67" s="46"/>
      <c r="F67" s="46"/>
      <c r="G67" s="46"/>
      <c r="H67" s="40"/>
      <c r="I67" s="45">
        <f>I61/2</f>
        <v>3.430555556</v>
      </c>
      <c r="J67" s="45">
        <f>I67*2</f>
        <v>6.861111111</v>
      </c>
      <c r="K67" s="45">
        <f t="shared" ref="K67:M67" si="61">J67</f>
        <v>6.861111111</v>
      </c>
      <c r="L67" s="45">
        <f t="shared" si="61"/>
        <v>6.861111111</v>
      </c>
      <c r="M67" s="45">
        <f t="shared" si="61"/>
        <v>6.861111111</v>
      </c>
      <c r="N67" s="40"/>
    </row>
    <row r="68">
      <c r="A68" s="47"/>
      <c r="B68" s="44" t="s">
        <v>57</v>
      </c>
      <c r="C68" s="46"/>
      <c r="D68" s="46"/>
      <c r="E68" s="46"/>
      <c r="F68" s="46"/>
      <c r="G68" s="46"/>
      <c r="H68" s="40"/>
      <c r="I68" s="46"/>
      <c r="J68" s="45">
        <f>J61/2</f>
        <v>3.538888889</v>
      </c>
      <c r="K68" s="45">
        <f>J68*2</f>
        <v>7.077777778</v>
      </c>
      <c r="L68" s="45">
        <f t="shared" ref="L68:M68" si="62">K68</f>
        <v>7.077777778</v>
      </c>
      <c r="M68" s="45">
        <f t="shared" si="62"/>
        <v>7.077777778</v>
      </c>
      <c r="N68" s="40"/>
    </row>
    <row r="69">
      <c r="A69" s="47"/>
      <c r="B69" s="44" t="s">
        <v>58</v>
      </c>
      <c r="C69" s="46"/>
      <c r="D69" s="46"/>
      <c r="E69" s="46"/>
      <c r="F69" s="46"/>
      <c r="G69" s="46"/>
      <c r="H69" s="40"/>
      <c r="I69" s="46"/>
      <c r="J69" s="46"/>
      <c r="K69" s="45">
        <f>K61/2</f>
        <v>3.647222222</v>
      </c>
      <c r="L69" s="45">
        <f>K69*2</f>
        <v>7.294444444</v>
      </c>
      <c r="M69" s="45">
        <f>L69</f>
        <v>7.294444444</v>
      </c>
      <c r="N69" s="40"/>
    </row>
    <row r="70">
      <c r="A70" s="47"/>
      <c r="B70" s="44" t="s">
        <v>59</v>
      </c>
      <c r="C70" s="46"/>
      <c r="D70" s="46"/>
      <c r="E70" s="46"/>
      <c r="F70" s="46"/>
      <c r="G70" s="46"/>
      <c r="H70" s="40"/>
      <c r="I70" s="46"/>
      <c r="J70" s="46"/>
      <c r="K70" s="46"/>
      <c r="L70" s="45">
        <f>L61/2</f>
        <v>3.755555556</v>
      </c>
      <c r="M70" s="45">
        <f>L70*2</f>
        <v>7.511111111</v>
      </c>
      <c r="N70" s="40"/>
    </row>
    <row r="71">
      <c r="A71" s="47"/>
      <c r="B71" s="44" t="s">
        <v>60</v>
      </c>
      <c r="C71" s="46"/>
      <c r="D71" s="46"/>
      <c r="E71" s="46"/>
      <c r="F71" s="46"/>
      <c r="G71" s="46"/>
      <c r="H71" s="40"/>
      <c r="I71" s="46"/>
      <c r="J71" s="46"/>
      <c r="K71" s="46"/>
      <c r="L71" s="46"/>
      <c r="M71" s="45">
        <f>M61/2</f>
        <v>3.863888889</v>
      </c>
      <c r="N71" s="40"/>
    </row>
    <row r="72">
      <c r="A72" s="48"/>
      <c r="B72" s="49" t="s">
        <v>61</v>
      </c>
      <c r="C72" s="50">
        <f t="shared" ref="C72:G72" si="63">sum(C62:C71)</f>
        <v>2.852777778</v>
      </c>
      <c r="D72" s="50">
        <f t="shared" si="63"/>
        <v>8.594444444</v>
      </c>
      <c r="E72" s="50">
        <f t="shared" si="63"/>
        <v>14.40833333</v>
      </c>
      <c r="F72" s="50">
        <f t="shared" si="63"/>
        <v>20.54722222</v>
      </c>
      <c r="G72" s="50">
        <f t="shared" si="63"/>
        <v>27.08333333</v>
      </c>
      <c r="H72" s="51">
        <f>SUM(C72:G72)</f>
        <v>73.48611111</v>
      </c>
      <c r="I72" s="50">
        <f t="shared" ref="I72:M72" si="64">sum(I62:I71)</f>
        <v>33.83611111</v>
      </c>
      <c r="J72" s="50">
        <f t="shared" si="64"/>
        <v>40.80555556</v>
      </c>
      <c r="K72" s="50">
        <f t="shared" si="64"/>
        <v>47.99166667</v>
      </c>
      <c r="L72" s="50">
        <f t="shared" si="64"/>
        <v>55.39444444</v>
      </c>
      <c r="M72" s="50">
        <f t="shared" si="64"/>
        <v>63.01388889</v>
      </c>
      <c r="N72" s="51">
        <f>SUM(I72:M72)</f>
        <v>241.0416667</v>
      </c>
    </row>
    <row r="73">
      <c r="A73" s="54" t="s">
        <v>83</v>
      </c>
      <c r="B73" s="10" t="s">
        <v>5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>
      <c r="A74" s="18" t="s">
        <v>84</v>
      </c>
      <c r="B74" s="12" t="s">
        <v>7</v>
      </c>
      <c r="C74" s="28">
        <v>0.0</v>
      </c>
      <c r="D74" s="14">
        <v>4363.0</v>
      </c>
      <c r="E74" s="14">
        <v>21008.0</v>
      </c>
      <c r="F74" s="14">
        <v>22643.0</v>
      </c>
      <c r="G74" s="14">
        <v>24116.0</v>
      </c>
      <c r="H74" s="15"/>
      <c r="I74" s="14">
        <v>24442.0</v>
      </c>
      <c r="J74" s="14">
        <v>24442.0</v>
      </c>
      <c r="K74" s="14">
        <v>24442.0</v>
      </c>
      <c r="L74" s="14">
        <v>24442.0</v>
      </c>
      <c r="M74" s="14">
        <v>24442.0</v>
      </c>
      <c r="N74" s="15"/>
    </row>
    <row r="75">
      <c r="A75" s="18" t="s">
        <v>85</v>
      </c>
      <c r="B75" s="12" t="s">
        <v>9</v>
      </c>
      <c r="C75" s="34">
        <v>0.0</v>
      </c>
      <c r="D75" s="33">
        <v>35.4</v>
      </c>
      <c r="E75" s="33">
        <v>35.4</v>
      </c>
      <c r="F75" s="33">
        <v>39.0</v>
      </c>
      <c r="G75" s="33">
        <v>39.0</v>
      </c>
      <c r="H75" s="11"/>
      <c r="I75" s="33">
        <v>39.0</v>
      </c>
      <c r="J75" s="33">
        <v>39.0</v>
      </c>
      <c r="K75" s="33">
        <v>39.0</v>
      </c>
      <c r="L75" s="33">
        <v>39.0</v>
      </c>
      <c r="M75" s="33">
        <v>39.0</v>
      </c>
      <c r="N75" s="11"/>
    </row>
    <row r="76">
      <c r="A76" s="18" t="s">
        <v>86</v>
      </c>
      <c r="B76" s="12" t="s">
        <v>87</v>
      </c>
      <c r="C76" s="34">
        <f t="shared" ref="C76:G76" si="65">C74*C75*(10/60)/1000</f>
        <v>0</v>
      </c>
      <c r="D76" s="16">
        <f t="shared" si="65"/>
        <v>25.7417</v>
      </c>
      <c r="E76" s="16">
        <f t="shared" si="65"/>
        <v>123.9472</v>
      </c>
      <c r="F76" s="16">
        <f t="shared" si="65"/>
        <v>147.1795</v>
      </c>
      <c r="G76" s="16">
        <f t="shared" si="65"/>
        <v>156.754</v>
      </c>
      <c r="H76" s="11"/>
      <c r="I76" s="16">
        <f t="shared" ref="I76:M76" si="66">I74*I75*(10/60)/1000</f>
        <v>158.873</v>
      </c>
      <c r="J76" s="16">
        <f t="shared" si="66"/>
        <v>158.873</v>
      </c>
      <c r="K76" s="16">
        <f t="shared" si="66"/>
        <v>158.873</v>
      </c>
      <c r="L76" s="16">
        <f t="shared" si="66"/>
        <v>158.873</v>
      </c>
      <c r="M76" s="16">
        <f t="shared" si="66"/>
        <v>158.873</v>
      </c>
      <c r="N76" s="11"/>
    </row>
    <row r="77">
      <c r="A77" s="18" t="s">
        <v>88</v>
      </c>
      <c r="B77" s="12" t="s">
        <v>73</v>
      </c>
      <c r="C77" s="28">
        <v>0.0</v>
      </c>
      <c r="D77" s="14">
        <v>7449.0</v>
      </c>
      <c r="E77" s="14">
        <v>6770.0</v>
      </c>
      <c r="F77" s="14">
        <v>6715.0</v>
      </c>
      <c r="G77" s="14">
        <v>7151.0</v>
      </c>
      <c r="H77" s="15"/>
      <c r="I77" s="14">
        <v>7248.0</v>
      </c>
      <c r="J77" s="14">
        <v>7248.0</v>
      </c>
      <c r="K77" s="14">
        <v>7248.0</v>
      </c>
      <c r="L77" s="14">
        <v>7248.0</v>
      </c>
      <c r="M77" s="14">
        <v>7248.0</v>
      </c>
      <c r="N77" s="15"/>
    </row>
    <row r="78">
      <c r="A78" s="18" t="s">
        <v>86</v>
      </c>
      <c r="B78" s="12" t="s">
        <v>89</v>
      </c>
      <c r="C78" s="34">
        <f t="shared" ref="C78:G78" si="67">C77*C75*(7/60)/1000</f>
        <v>0</v>
      </c>
      <c r="D78" s="16">
        <f t="shared" si="67"/>
        <v>30.76437</v>
      </c>
      <c r="E78" s="16">
        <f t="shared" si="67"/>
        <v>27.9601</v>
      </c>
      <c r="F78" s="16">
        <f t="shared" si="67"/>
        <v>30.55325</v>
      </c>
      <c r="G78" s="16">
        <f t="shared" si="67"/>
        <v>32.53705</v>
      </c>
      <c r="H78" s="11"/>
      <c r="I78" s="16">
        <f t="shared" ref="I78:M78" si="68">I77*I75*(7/60)/1000</f>
        <v>32.9784</v>
      </c>
      <c r="J78" s="16">
        <f t="shared" si="68"/>
        <v>32.9784</v>
      </c>
      <c r="K78" s="16">
        <f t="shared" si="68"/>
        <v>32.9784</v>
      </c>
      <c r="L78" s="16">
        <f t="shared" si="68"/>
        <v>32.9784</v>
      </c>
      <c r="M78" s="16">
        <f t="shared" si="68"/>
        <v>32.9784</v>
      </c>
      <c r="N78" s="11"/>
    </row>
    <row r="79">
      <c r="A79" s="18" t="s">
        <v>90</v>
      </c>
      <c r="B79" s="12" t="s">
        <v>91</v>
      </c>
      <c r="C79" s="34">
        <v>0.0</v>
      </c>
      <c r="D79" s="16">
        <v>18.358</v>
      </c>
      <c r="E79" s="16">
        <v>18.358</v>
      </c>
      <c r="F79" s="16">
        <v>18.358</v>
      </c>
      <c r="G79" s="16">
        <v>18.358</v>
      </c>
      <c r="H79" s="11"/>
      <c r="I79" s="16">
        <v>18.358</v>
      </c>
      <c r="J79" s="16">
        <v>18.358</v>
      </c>
      <c r="K79" s="16">
        <v>0.0</v>
      </c>
      <c r="L79" s="16">
        <v>0.0</v>
      </c>
      <c r="M79" s="16">
        <v>0.0</v>
      </c>
      <c r="N79" s="11"/>
    </row>
    <row r="80">
      <c r="A80" s="21" t="s">
        <v>92</v>
      </c>
      <c r="B80" s="21" t="s">
        <v>93</v>
      </c>
      <c r="C80" s="24">
        <v>0.0</v>
      </c>
      <c r="D80" s="42">
        <f t="shared" ref="D80:G80" si="69">D76+D78-D79</f>
        <v>38.14807</v>
      </c>
      <c r="E80" s="24">
        <f t="shared" si="69"/>
        <v>133.5493</v>
      </c>
      <c r="F80" s="42">
        <f t="shared" si="69"/>
        <v>159.37475</v>
      </c>
      <c r="G80" s="24">
        <f t="shared" si="69"/>
        <v>170.93305</v>
      </c>
      <c r="H80" s="23">
        <f>SUM(C80:G80)</f>
        <v>502.00517</v>
      </c>
      <c r="I80" s="24">
        <f t="shared" ref="I80:M80" si="70">I76+I78-I79</f>
        <v>173.4934</v>
      </c>
      <c r="J80" s="24">
        <f t="shared" si="70"/>
        <v>173.4934</v>
      </c>
      <c r="K80" s="24">
        <f t="shared" si="70"/>
        <v>191.8514</v>
      </c>
      <c r="L80" s="24">
        <f t="shared" si="70"/>
        <v>191.8514</v>
      </c>
      <c r="M80" s="24">
        <f t="shared" si="70"/>
        <v>191.8514</v>
      </c>
      <c r="N80" s="23">
        <f>SUM(I80:M80)</f>
        <v>922.541</v>
      </c>
    </row>
    <row r="81">
      <c r="A81" s="54" t="s">
        <v>94</v>
      </c>
      <c r="B81" s="10" t="s">
        <v>5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>
      <c r="A82" s="18" t="s">
        <v>95</v>
      </c>
      <c r="B82" s="12" t="s">
        <v>7</v>
      </c>
      <c r="C82" s="13"/>
      <c r="D82" s="13"/>
      <c r="E82" s="13"/>
      <c r="F82" s="13"/>
      <c r="G82" s="58">
        <v>1800.0</v>
      </c>
      <c r="H82" s="11"/>
      <c r="I82" s="58">
        <f>G82</f>
        <v>1800</v>
      </c>
      <c r="J82" s="58">
        <f t="shared" ref="J82:M82" si="71">I82</f>
        <v>1800</v>
      </c>
      <c r="K82" s="58">
        <f t="shared" si="71"/>
        <v>1800</v>
      </c>
      <c r="L82" s="58">
        <f t="shared" si="71"/>
        <v>1800</v>
      </c>
      <c r="M82" s="58">
        <f t="shared" si="71"/>
        <v>1800</v>
      </c>
      <c r="N82" s="11"/>
    </row>
    <row r="83">
      <c r="A83" s="18" t="s">
        <v>96</v>
      </c>
      <c r="B83" s="12" t="s">
        <v>9</v>
      </c>
      <c r="C83" s="13"/>
      <c r="D83" s="13"/>
      <c r="E83" s="13"/>
      <c r="F83" s="13"/>
      <c r="G83" s="16">
        <v>92.0</v>
      </c>
      <c r="H83" s="11"/>
      <c r="I83" s="16">
        <v>95.0</v>
      </c>
      <c r="J83" s="16">
        <v>98.0</v>
      </c>
      <c r="K83" s="16">
        <v>101.0</v>
      </c>
      <c r="L83" s="16">
        <v>104.0</v>
      </c>
      <c r="M83" s="16">
        <v>107.0</v>
      </c>
      <c r="N83" s="11"/>
    </row>
    <row r="84">
      <c r="A84" s="18" t="s">
        <v>97</v>
      </c>
      <c r="B84" s="12" t="s">
        <v>25</v>
      </c>
      <c r="C84" s="13"/>
      <c r="D84" s="13"/>
      <c r="E84" s="13"/>
      <c r="F84" s="13"/>
      <c r="G84" s="16">
        <f>G82*G83</f>
        <v>165600</v>
      </c>
      <c r="H84" s="11"/>
      <c r="I84" s="16">
        <f t="shared" ref="I84:M84" si="72">I82*I83</f>
        <v>171000</v>
      </c>
      <c r="J84" s="16">
        <f t="shared" si="72"/>
        <v>176400</v>
      </c>
      <c r="K84" s="16">
        <f t="shared" si="72"/>
        <v>181800</v>
      </c>
      <c r="L84" s="16">
        <f t="shared" si="72"/>
        <v>187200</v>
      </c>
      <c r="M84" s="16">
        <f t="shared" si="72"/>
        <v>192600</v>
      </c>
      <c r="N84" s="11"/>
    </row>
    <row r="85">
      <c r="A85" s="18" t="s">
        <v>98</v>
      </c>
      <c r="B85" s="12" t="s">
        <v>73</v>
      </c>
      <c r="C85" s="13"/>
      <c r="D85" s="13"/>
      <c r="E85" s="13"/>
      <c r="F85" s="13"/>
      <c r="G85" s="16">
        <v>24130.0</v>
      </c>
      <c r="H85" s="11"/>
      <c r="I85" s="16">
        <v>25336.0</v>
      </c>
      <c r="J85" s="16">
        <v>26603.0</v>
      </c>
      <c r="K85" s="16">
        <v>27933.0</v>
      </c>
      <c r="L85" s="16">
        <v>29330.0</v>
      </c>
      <c r="M85" s="16">
        <v>30796.0</v>
      </c>
      <c r="N85" s="11"/>
    </row>
    <row r="86">
      <c r="A86" s="21" t="s">
        <v>99</v>
      </c>
      <c r="B86" s="21" t="s">
        <v>75</v>
      </c>
      <c r="C86" s="22"/>
      <c r="D86" s="59"/>
      <c r="E86" s="22"/>
      <c r="F86" s="59"/>
      <c r="G86" s="24">
        <f>(G84-G85)/1000</f>
        <v>141.47</v>
      </c>
      <c r="H86" s="23">
        <f>G86</f>
        <v>141.47</v>
      </c>
      <c r="I86" s="24">
        <f t="shared" ref="I86:M86" si="73">(I84-I85)/1000</f>
        <v>145.664</v>
      </c>
      <c r="J86" s="24">
        <f t="shared" si="73"/>
        <v>149.797</v>
      </c>
      <c r="K86" s="24">
        <f t="shared" si="73"/>
        <v>153.867</v>
      </c>
      <c r="L86" s="24">
        <f t="shared" si="73"/>
        <v>157.87</v>
      </c>
      <c r="M86" s="24">
        <f t="shared" si="73"/>
        <v>161.804</v>
      </c>
      <c r="N86" s="23">
        <f>SUM(I86:M86)</f>
        <v>769.002</v>
      </c>
    </row>
    <row r="87">
      <c r="A87" s="54" t="s">
        <v>100</v>
      </c>
      <c r="B87" s="10" t="s">
        <v>5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>
      <c r="A88" s="18" t="s">
        <v>101</v>
      </c>
      <c r="B88" s="12" t="s">
        <v>7</v>
      </c>
      <c r="C88" s="60">
        <v>148.0</v>
      </c>
      <c r="D88" s="60">
        <f t="shared" ref="D88:G88" si="74">C88</f>
        <v>148</v>
      </c>
      <c r="E88" s="60">
        <f t="shared" si="74"/>
        <v>148</v>
      </c>
      <c r="F88" s="60">
        <f t="shared" si="74"/>
        <v>148</v>
      </c>
      <c r="G88" s="60">
        <f t="shared" si="74"/>
        <v>148</v>
      </c>
      <c r="H88" s="61"/>
      <c r="I88" s="60">
        <f t="shared" ref="I88:I89" si="77">G88</f>
        <v>148</v>
      </c>
      <c r="J88" s="60">
        <f t="shared" ref="J88:M88" si="75">I88</f>
        <v>148</v>
      </c>
      <c r="K88" s="60">
        <f t="shared" si="75"/>
        <v>148</v>
      </c>
      <c r="L88" s="60">
        <f t="shared" si="75"/>
        <v>148</v>
      </c>
      <c r="M88" s="60">
        <f t="shared" si="75"/>
        <v>148</v>
      </c>
      <c r="N88" s="11"/>
    </row>
    <row r="89">
      <c r="A89" s="18" t="s">
        <v>102</v>
      </c>
      <c r="B89" s="12" t="s">
        <v>9</v>
      </c>
      <c r="C89" s="62">
        <f>20/60</f>
        <v>0.3333333333</v>
      </c>
      <c r="D89" s="63">
        <f t="shared" ref="D89:G89" si="76">C89</f>
        <v>0.3333333333</v>
      </c>
      <c r="E89" s="63">
        <f t="shared" si="76"/>
        <v>0.3333333333</v>
      </c>
      <c r="F89" s="63">
        <f t="shared" si="76"/>
        <v>0.3333333333</v>
      </c>
      <c r="G89" s="63">
        <f t="shared" si="76"/>
        <v>0.3333333333</v>
      </c>
      <c r="H89" s="11"/>
      <c r="I89" s="62">
        <f t="shared" si="77"/>
        <v>0.3333333333</v>
      </c>
      <c r="J89" s="62">
        <f t="shared" ref="J89:M89" si="78">I89</f>
        <v>0.3333333333</v>
      </c>
      <c r="K89" s="62">
        <f t="shared" si="78"/>
        <v>0.3333333333</v>
      </c>
      <c r="L89" s="62">
        <f t="shared" si="78"/>
        <v>0.3333333333</v>
      </c>
      <c r="M89" s="62">
        <f t="shared" si="78"/>
        <v>0.3333333333</v>
      </c>
      <c r="N89" s="11"/>
    </row>
    <row r="90">
      <c r="A90" s="18" t="s">
        <v>103</v>
      </c>
      <c r="B90" s="12" t="s">
        <v>25</v>
      </c>
      <c r="C90" s="64">
        <f t="shared" ref="C90:G90" si="79">C88*C89</f>
        <v>49.33333333</v>
      </c>
      <c r="D90" s="64">
        <f t="shared" si="79"/>
        <v>49.33333333</v>
      </c>
      <c r="E90" s="64">
        <f t="shared" si="79"/>
        <v>49.33333333</v>
      </c>
      <c r="F90" s="64">
        <f t="shared" si="79"/>
        <v>49.33333333</v>
      </c>
      <c r="G90" s="64">
        <f t="shared" si="79"/>
        <v>49.33333333</v>
      </c>
      <c r="H90" s="15"/>
      <c r="I90" s="64">
        <f t="shared" ref="I90:M90" si="80">I88*I89</f>
        <v>49.33333333</v>
      </c>
      <c r="J90" s="64">
        <f t="shared" si="80"/>
        <v>49.33333333</v>
      </c>
      <c r="K90" s="64">
        <f t="shared" si="80"/>
        <v>49.33333333</v>
      </c>
      <c r="L90" s="64">
        <f t="shared" si="80"/>
        <v>49.33333333</v>
      </c>
      <c r="M90" s="64">
        <f t="shared" si="80"/>
        <v>49.33333333</v>
      </c>
      <c r="N90" s="11"/>
    </row>
    <row r="91">
      <c r="A91" s="12" t="s">
        <v>96</v>
      </c>
      <c r="B91" s="12" t="s">
        <v>73</v>
      </c>
      <c r="C91" s="65">
        <v>79.0</v>
      </c>
      <c r="D91" s="65">
        <v>80.0</v>
      </c>
      <c r="E91" s="65">
        <v>81.0</v>
      </c>
      <c r="F91" s="65">
        <v>89.0</v>
      </c>
      <c r="G91" s="16">
        <v>92.0</v>
      </c>
      <c r="H91" s="11"/>
      <c r="I91" s="16">
        <v>95.0</v>
      </c>
      <c r="J91" s="16">
        <v>98.0</v>
      </c>
      <c r="K91" s="16">
        <v>101.0</v>
      </c>
      <c r="L91" s="16">
        <v>104.0</v>
      </c>
      <c r="M91" s="16">
        <v>107.0</v>
      </c>
      <c r="N91" s="11"/>
    </row>
    <row r="92">
      <c r="A92" s="12" t="s">
        <v>79</v>
      </c>
      <c r="B92" s="12" t="s">
        <v>15</v>
      </c>
      <c r="C92" s="66">
        <v>36.0</v>
      </c>
      <c r="D92" s="28">
        <f t="shared" ref="D92:G92" si="81">C92</f>
        <v>36</v>
      </c>
      <c r="E92" s="28">
        <f t="shared" si="81"/>
        <v>36</v>
      </c>
      <c r="F92" s="28">
        <f t="shared" si="81"/>
        <v>36</v>
      </c>
      <c r="G92" s="28">
        <f t="shared" si="81"/>
        <v>36</v>
      </c>
      <c r="H92" s="40"/>
      <c r="I92" s="28">
        <f>G92</f>
        <v>36</v>
      </c>
      <c r="J92" s="28">
        <f t="shared" ref="J92:M92" si="82">I92</f>
        <v>36</v>
      </c>
      <c r="K92" s="28">
        <f t="shared" si="82"/>
        <v>36</v>
      </c>
      <c r="L92" s="28">
        <f t="shared" si="82"/>
        <v>36</v>
      </c>
      <c r="M92" s="28">
        <f t="shared" si="82"/>
        <v>36</v>
      </c>
      <c r="N92" s="11"/>
    </row>
    <row r="93">
      <c r="A93" s="21" t="s">
        <v>104</v>
      </c>
      <c r="B93" s="21" t="s">
        <v>105</v>
      </c>
      <c r="C93" s="67">
        <f t="shared" ref="C93:G93" si="83">(C90*C91)/1000</f>
        <v>3.897333333</v>
      </c>
      <c r="D93" s="67">
        <f t="shared" si="83"/>
        <v>3.946666667</v>
      </c>
      <c r="E93" s="67">
        <f t="shared" si="83"/>
        <v>3.996</v>
      </c>
      <c r="F93" s="67">
        <f t="shared" si="83"/>
        <v>4.390666667</v>
      </c>
      <c r="G93" s="67">
        <f t="shared" si="83"/>
        <v>4.538666667</v>
      </c>
      <c r="H93" s="23">
        <f>SUM(C93:G93)</f>
        <v>20.76933333</v>
      </c>
      <c r="I93" s="67">
        <f t="shared" ref="I93:M93" si="84">(I90*I91)/1000</f>
        <v>4.686666667</v>
      </c>
      <c r="J93" s="67">
        <f t="shared" si="84"/>
        <v>4.834666667</v>
      </c>
      <c r="K93" s="67">
        <f t="shared" si="84"/>
        <v>4.982666667</v>
      </c>
      <c r="L93" s="67">
        <f t="shared" si="84"/>
        <v>5.130666667</v>
      </c>
      <c r="M93" s="67">
        <f t="shared" si="84"/>
        <v>5.278666667</v>
      </c>
      <c r="N93" s="23">
        <f>SUM(I93:M93)</f>
        <v>24.91333333</v>
      </c>
    </row>
    <row r="94">
      <c r="A94" s="21" t="s">
        <v>104</v>
      </c>
      <c r="B94" s="21" t="s">
        <v>106</v>
      </c>
      <c r="C94" s="24">
        <f t="shared" ref="C94:G94" si="85">C93/C92</f>
        <v>0.1082592593</v>
      </c>
      <c r="D94" s="42">
        <f t="shared" si="85"/>
        <v>0.1096296296</v>
      </c>
      <c r="E94" s="24">
        <f t="shared" si="85"/>
        <v>0.111</v>
      </c>
      <c r="F94" s="42">
        <f t="shared" si="85"/>
        <v>0.121962963</v>
      </c>
      <c r="G94" s="24">
        <f t="shared" si="85"/>
        <v>0.1260740741</v>
      </c>
      <c r="H94" s="40"/>
      <c r="I94" s="24">
        <f t="shared" ref="I94:M94" si="86">I93/I92</f>
        <v>0.1301851852</v>
      </c>
      <c r="J94" s="24">
        <f t="shared" si="86"/>
        <v>0.1342962963</v>
      </c>
      <c r="K94" s="24">
        <f t="shared" si="86"/>
        <v>0.1384074074</v>
      </c>
      <c r="L94" s="24">
        <f t="shared" si="86"/>
        <v>0.1425185185</v>
      </c>
      <c r="M94" s="24">
        <f t="shared" si="86"/>
        <v>0.1466296296</v>
      </c>
      <c r="N94" s="40"/>
    </row>
    <row r="95">
      <c r="A95" s="43"/>
      <c r="B95" s="44" t="s">
        <v>51</v>
      </c>
      <c r="C95" s="45">
        <f>C94/2</f>
        <v>0.05412962963</v>
      </c>
      <c r="D95" s="45">
        <f>C95*2</f>
        <v>0.1082592593</v>
      </c>
      <c r="E95" s="45">
        <f t="shared" ref="E95:G95" si="87">D95</f>
        <v>0.1082592593</v>
      </c>
      <c r="F95" s="45">
        <f t="shared" si="87"/>
        <v>0.1082592593</v>
      </c>
      <c r="G95" s="45">
        <f t="shared" si="87"/>
        <v>0.1082592593</v>
      </c>
      <c r="H95" s="40"/>
      <c r="I95" s="45">
        <f t="shared" ref="I95:I98" si="90">G95</f>
        <v>0.1082592593</v>
      </c>
      <c r="J95" s="45">
        <f t="shared" ref="J95:M95" si="88">I95</f>
        <v>0.1082592593</v>
      </c>
      <c r="K95" s="45">
        <f t="shared" si="88"/>
        <v>0.1082592593</v>
      </c>
      <c r="L95" s="45">
        <f t="shared" si="88"/>
        <v>0.1082592593</v>
      </c>
      <c r="M95" s="45">
        <f t="shared" si="88"/>
        <v>0.1082592593</v>
      </c>
      <c r="N95" s="40"/>
      <c r="O95" s="68"/>
    </row>
    <row r="96">
      <c r="A96" s="43"/>
      <c r="B96" s="44" t="s">
        <v>52</v>
      </c>
      <c r="C96" s="46"/>
      <c r="D96" s="45">
        <f>D94/2</f>
        <v>0.05481481481</v>
      </c>
      <c r="E96" s="45">
        <f>D96*2</f>
        <v>0.1096296296</v>
      </c>
      <c r="F96" s="45">
        <f t="shared" ref="F96:G96" si="89">E96</f>
        <v>0.1096296296</v>
      </c>
      <c r="G96" s="45">
        <f t="shared" si="89"/>
        <v>0.1096296296</v>
      </c>
      <c r="H96" s="40"/>
      <c r="I96" s="45">
        <f t="shared" si="90"/>
        <v>0.1096296296</v>
      </c>
      <c r="J96" s="45">
        <f t="shared" ref="J96:M96" si="91">I96</f>
        <v>0.1096296296</v>
      </c>
      <c r="K96" s="45">
        <f t="shared" si="91"/>
        <v>0.1096296296</v>
      </c>
      <c r="L96" s="45">
        <f t="shared" si="91"/>
        <v>0.1096296296</v>
      </c>
      <c r="M96" s="45">
        <f t="shared" si="91"/>
        <v>0.1096296296</v>
      </c>
      <c r="N96" s="40"/>
      <c r="O96" s="68"/>
    </row>
    <row r="97">
      <c r="A97" s="43"/>
      <c r="B97" s="44" t="s">
        <v>53</v>
      </c>
      <c r="C97" s="46"/>
      <c r="D97" s="46"/>
      <c r="E97" s="45">
        <f>E94/2</f>
        <v>0.0555</v>
      </c>
      <c r="F97" s="45">
        <f>E97*2</f>
        <v>0.111</v>
      </c>
      <c r="G97" s="45">
        <f>F97</f>
        <v>0.111</v>
      </c>
      <c r="H97" s="40"/>
      <c r="I97" s="45">
        <f t="shared" si="90"/>
        <v>0.111</v>
      </c>
      <c r="J97" s="45">
        <f t="shared" ref="J97:M97" si="92">I97</f>
        <v>0.111</v>
      </c>
      <c r="K97" s="45">
        <f t="shared" si="92"/>
        <v>0.111</v>
      </c>
      <c r="L97" s="45">
        <f t="shared" si="92"/>
        <v>0.111</v>
      </c>
      <c r="M97" s="45">
        <f t="shared" si="92"/>
        <v>0.111</v>
      </c>
      <c r="N97" s="40"/>
      <c r="O97" s="68"/>
    </row>
    <row r="98">
      <c r="A98" s="43"/>
      <c r="B98" s="44" t="s">
        <v>54</v>
      </c>
      <c r="C98" s="46"/>
      <c r="D98" s="46"/>
      <c r="E98" s="46"/>
      <c r="F98" s="45">
        <f>F94/2</f>
        <v>0.06098148148</v>
      </c>
      <c r="G98" s="45">
        <f>F98*2</f>
        <v>0.121962963</v>
      </c>
      <c r="H98" s="40"/>
      <c r="I98" s="45">
        <f t="shared" si="90"/>
        <v>0.121962963</v>
      </c>
      <c r="J98" s="45">
        <f t="shared" ref="J98:M98" si="93">I98</f>
        <v>0.121962963</v>
      </c>
      <c r="K98" s="45">
        <f t="shared" si="93"/>
        <v>0.121962963</v>
      </c>
      <c r="L98" s="45">
        <f t="shared" si="93"/>
        <v>0.121962963</v>
      </c>
      <c r="M98" s="45">
        <f t="shared" si="93"/>
        <v>0.121962963</v>
      </c>
      <c r="N98" s="40"/>
      <c r="O98" s="68"/>
    </row>
    <row r="99">
      <c r="A99" s="43"/>
      <c r="B99" s="44" t="s">
        <v>55</v>
      </c>
      <c r="C99" s="46"/>
      <c r="D99" s="46"/>
      <c r="E99" s="46"/>
      <c r="F99" s="46"/>
      <c r="G99" s="45">
        <f>G94/2</f>
        <v>0.06303703704</v>
      </c>
      <c r="H99" s="40"/>
      <c r="I99" s="45">
        <f>G99*2</f>
        <v>0.1260740741</v>
      </c>
      <c r="J99" s="45">
        <f t="shared" ref="J99:M99" si="94">I99</f>
        <v>0.1260740741</v>
      </c>
      <c r="K99" s="45">
        <f t="shared" si="94"/>
        <v>0.1260740741</v>
      </c>
      <c r="L99" s="45">
        <f t="shared" si="94"/>
        <v>0.1260740741</v>
      </c>
      <c r="M99" s="45">
        <f t="shared" si="94"/>
        <v>0.1260740741</v>
      </c>
      <c r="N99" s="40"/>
      <c r="O99" s="68"/>
    </row>
    <row r="100">
      <c r="A100" s="47"/>
      <c r="B100" s="44" t="s">
        <v>56</v>
      </c>
      <c r="C100" s="46"/>
      <c r="D100" s="46"/>
      <c r="E100" s="46"/>
      <c r="F100" s="46"/>
      <c r="G100" s="46"/>
      <c r="H100" s="40"/>
      <c r="I100" s="45">
        <f>I94/2</f>
        <v>0.06509259259</v>
      </c>
      <c r="J100" s="45">
        <f>I100*2</f>
        <v>0.1301851852</v>
      </c>
      <c r="K100" s="45">
        <f t="shared" ref="K100:M100" si="95">J100</f>
        <v>0.1301851852</v>
      </c>
      <c r="L100" s="45">
        <f t="shared" si="95"/>
        <v>0.1301851852</v>
      </c>
      <c r="M100" s="45">
        <f t="shared" si="95"/>
        <v>0.1301851852</v>
      </c>
      <c r="N100" s="40"/>
      <c r="O100" s="68"/>
    </row>
    <row r="101">
      <c r="A101" s="47"/>
      <c r="B101" s="44" t="s">
        <v>57</v>
      </c>
      <c r="C101" s="46"/>
      <c r="D101" s="46"/>
      <c r="E101" s="46"/>
      <c r="F101" s="46"/>
      <c r="G101" s="46"/>
      <c r="H101" s="40"/>
      <c r="I101" s="46"/>
      <c r="J101" s="45">
        <f>J94/2</f>
        <v>0.06714814815</v>
      </c>
      <c r="K101" s="45">
        <f>J101*2</f>
        <v>0.1342962963</v>
      </c>
      <c r="L101" s="45">
        <f t="shared" ref="L101:M101" si="96">K101</f>
        <v>0.1342962963</v>
      </c>
      <c r="M101" s="45">
        <f t="shared" si="96"/>
        <v>0.1342962963</v>
      </c>
      <c r="N101" s="40"/>
      <c r="O101" s="68"/>
    </row>
    <row r="102">
      <c r="A102" s="47"/>
      <c r="B102" s="44" t="s">
        <v>58</v>
      </c>
      <c r="C102" s="46"/>
      <c r="D102" s="46"/>
      <c r="E102" s="46"/>
      <c r="F102" s="46"/>
      <c r="G102" s="46"/>
      <c r="H102" s="40"/>
      <c r="I102" s="46"/>
      <c r="J102" s="46"/>
      <c r="K102" s="45">
        <f>K94/2</f>
        <v>0.0692037037</v>
      </c>
      <c r="L102" s="45">
        <f>K102*2</f>
        <v>0.1384074074</v>
      </c>
      <c r="M102" s="45">
        <f>L102</f>
        <v>0.1384074074</v>
      </c>
      <c r="N102" s="40"/>
      <c r="O102" s="68"/>
    </row>
    <row r="103">
      <c r="A103" s="47"/>
      <c r="B103" s="44" t="s">
        <v>59</v>
      </c>
      <c r="C103" s="46"/>
      <c r="D103" s="46"/>
      <c r="E103" s="46"/>
      <c r="F103" s="46"/>
      <c r="G103" s="46"/>
      <c r="H103" s="40"/>
      <c r="I103" s="46"/>
      <c r="J103" s="46"/>
      <c r="K103" s="46"/>
      <c r="L103" s="45">
        <f>L94/2</f>
        <v>0.07125925926</v>
      </c>
      <c r="M103" s="45">
        <f>L103*2</f>
        <v>0.1425185185</v>
      </c>
      <c r="N103" s="40"/>
      <c r="O103" s="68"/>
    </row>
    <row r="104">
      <c r="A104" s="47"/>
      <c r="B104" s="44" t="s">
        <v>60</v>
      </c>
      <c r="C104" s="46"/>
      <c r="D104" s="46"/>
      <c r="E104" s="46"/>
      <c r="F104" s="46"/>
      <c r="G104" s="46"/>
      <c r="H104" s="40"/>
      <c r="I104" s="46"/>
      <c r="J104" s="46"/>
      <c r="K104" s="46"/>
      <c r="L104" s="46"/>
      <c r="M104" s="45">
        <f>M94/2</f>
        <v>0.07331481481</v>
      </c>
      <c r="N104" s="40"/>
      <c r="O104" s="68"/>
    </row>
    <row r="105">
      <c r="A105" s="48"/>
      <c r="B105" s="49" t="s">
        <v>61</v>
      </c>
      <c r="C105" s="50">
        <f t="shared" ref="C105:G105" si="97">sum(C95:C104)</f>
        <v>0.05412962963</v>
      </c>
      <c r="D105" s="50">
        <f t="shared" si="97"/>
        <v>0.1630740741</v>
      </c>
      <c r="E105" s="50">
        <f t="shared" si="97"/>
        <v>0.2733888889</v>
      </c>
      <c r="F105" s="50">
        <f t="shared" si="97"/>
        <v>0.3898703704</v>
      </c>
      <c r="G105" s="50">
        <f t="shared" si="97"/>
        <v>0.5138888889</v>
      </c>
      <c r="H105" s="51">
        <f>SUM(C105:G105)</f>
        <v>1.394351852</v>
      </c>
      <c r="I105" s="50">
        <f t="shared" ref="I105:M105" si="98">sum(I95:I104)</f>
        <v>0.6420185185</v>
      </c>
      <c r="J105" s="50">
        <f t="shared" si="98"/>
        <v>0.7742592593</v>
      </c>
      <c r="K105" s="50">
        <f t="shared" si="98"/>
        <v>0.9106111111</v>
      </c>
      <c r="L105" s="50">
        <f t="shared" si="98"/>
        <v>1.051074074</v>
      </c>
      <c r="M105" s="50">
        <f t="shared" si="98"/>
        <v>1.195648148</v>
      </c>
      <c r="N105" s="51">
        <f>SUM(I105:M105)</f>
        <v>4.573611111</v>
      </c>
      <c r="O105" s="68"/>
    </row>
    <row r="106">
      <c r="A106" s="54" t="s">
        <v>107</v>
      </c>
      <c r="B106" s="10" t="s">
        <v>5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>
      <c r="A107" s="12" t="s">
        <v>108</v>
      </c>
      <c r="B107" s="69"/>
      <c r="C107" s="46"/>
      <c r="D107" s="46"/>
      <c r="E107" s="46"/>
      <c r="F107" s="46"/>
      <c r="G107" s="46"/>
      <c r="H107" s="11"/>
      <c r="I107" s="46"/>
      <c r="J107" s="46"/>
      <c r="K107" s="46"/>
      <c r="L107" s="46"/>
      <c r="M107" s="46"/>
      <c r="N107" s="11"/>
    </row>
    <row r="108">
      <c r="A108" s="12" t="s">
        <v>109</v>
      </c>
      <c r="B108" s="69"/>
      <c r="C108" s="46"/>
      <c r="D108" s="70"/>
      <c r="E108" s="70"/>
      <c r="F108" s="70"/>
      <c r="G108" s="70"/>
      <c r="H108" s="11"/>
      <c r="I108" s="70"/>
      <c r="J108" s="70"/>
      <c r="K108" s="70"/>
      <c r="L108" s="70"/>
      <c r="M108" s="70"/>
      <c r="N108" s="11"/>
    </row>
    <row r="109">
      <c r="A109" s="12" t="s">
        <v>110</v>
      </c>
      <c r="B109" s="69" t="s">
        <v>7</v>
      </c>
      <c r="C109" s="39">
        <f>185205/1000</f>
        <v>185.205</v>
      </c>
      <c r="D109" s="39">
        <f>181422/1000</f>
        <v>181.422</v>
      </c>
      <c r="E109" s="39">
        <v>0.0</v>
      </c>
      <c r="F109" s="39">
        <v>0.0</v>
      </c>
      <c r="G109" s="39">
        <v>0.0</v>
      </c>
      <c r="H109" s="11"/>
      <c r="I109" s="39">
        <v>0.0</v>
      </c>
      <c r="J109" s="39">
        <v>0.0</v>
      </c>
      <c r="K109" s="39">
        <v>0.0</v>
      </c>
      <c r="L109" s="39">
        <v>0.0</v>
      </c>
      <c r="M109" s="39">
        <v>0.0</v>
      </c>
      <c r="N109" s="11"/>
    </row>
    <row r="110">
      <c r="A110" s="12" t="s">
        <v>111</v>
      </c>
      <c r="B110" s="69" t="s">
        <v>112</v>
      </c>
      <c r="C110" s="39">
        <f t="shared" ref="C110:D110" si="99">C109*12%</f>
        <v>22.2246</v>
      </c>
      <c r="D110" s="39">
        <f t="shared" si="99"/>
        <v>21.77064</v>
      </c>
      <c r="E110" s="39">
        <v>0.0</v>
      </c>
      <c r="F110" s="39">
        <v>0.0</v>
      </c>
      <c r="G110" s="39">
        <v>0.0</v>
      </c>
      <c r="H110" s="11"/>
      <c r="I110" s="39">
        <v>0.0</v>
      </c>
      <c r="J110" s="39">
        <v>0.0</v>
      </c>
      <c r="K110" s="39">
        <v>0.0</v>
      </c>
      <c r="L110" s="39">
        <v>0.0</v>
      </c>
      <c r="M110" s="39">
        <v>0.0</v>
      </c>
      <c r="N110" s="11"/>
    </row>
    <row r="111">
      <c r="A111" s="12" t="s">
        <v>113</v>
      </c>
      <c r="B111" s="69" t="s">
        <v>114</v>
      </c>
      <c r="C111" s="39">
        <f t="shared" ref="C111:D111" si="100">C110*6</f>
        <v>133.3476</v>
      </c>
      <c r="D111" s="39">
        <f t="shared" si="100"/>
        <v>130.62384</v>
      </c>
      <c r="E111" s="39">
        <v>0.0</v>
      </c>
      <c r="F111" s="39">
        <v>0.0</v>
      </c>
      <c r="G111" s="39">
        <v>0.0</v>
      </c>
      <c r="H111" s="11"/>
      <c r="I111" s="39">
        <v>0.0</v>
      </c>
      <c r="J111" s="39">
        <v>0.0</v>
      </c>
      <c r="K111" s="39">
        <v>0.0</v>
      </c>
      <c r="L111" s="39">
        <v>0.0</v>
      </c>
      <c r="M111" s="39">
        <v>0.0</v>
      </c>
      <c r="N111" s="11"/>
    </row>
    <row r="112">
      <c r="A112" s="12" t="s">
        <v>115</v>
      </c>
      <c r="B112" s="69"/>
      <c r="C112" s="71"/>
      <c r="D112" s="46"/>
      <c r="E112" s="46"/>
      <c r="F112" s="46"/>
      <c r="G112" s="46"/>
      <c r="H112" s="11"/>
      <c r="I112" s="46"/>
      <c r="J112" s="46"/>
      <c r="K112" s="46"/>
      <c r="L112" s="46"/>
      <c r="M112" s="46"/>
      <c r="N112" s="11"/>
    </row>
    <row r="113">
      <c r="A113" s="12" t="s">
        <v>116</v>
      </c>
      <c r="B113" s="71" t="s">
        <v>73</v>
      </c>
      <c r="C113" s="39">
        <f>181422/1000</f>
        <v>181.422</v>
      </c>
      <c r="D113" s="39">
        <f>177755/1000</f>
        <v>177.755</v>
      </c>
      <c r="E113" s="39">
        <v>0.0</v>
      </c>
      <c r="F113" s="39">
        <v>0.0</v>
      </c>
      <c r="G113" s="39">
        <v>0.0</v>
      </c>
      <c r="H113" s="11"/>
      <c r="I113" s="39">
        <v>0.0</v>
      </c>
      <c r="J113" s="39">
        <v>0.0</v>
      </c>
      <c r="K113" s="39">
        <v>0.0</v>
      </c>
      <c r="L113" s="39">
        <v>0.0</v>
      </c>
      <c r="M113" s="39">
        <v>0.0</v>
      </c>
      <c r="N113" s="11"/>
    </row>
    <row r="114">
      <c r="A114" s="12" t="s">
        <v>111</v>
      </c>
      <c r="B114" s="69" t="s">
        <v>117</v>
      </c>
      <c r="C114" s="39">
        <f t="shared" ref="C114:D114" si="101">C113*12%</f>
        <v>21.77064</v>
      </c>
      <c r="D114" s="39">
        <f t="shared" si="101"/>
        <v>21.3306</v>
      </c>
      <c r="E114" s="39">
        <v>0.0</v>
      </c>
      <c r="F114" s="39">
        <v>0.0</v>
      </c>
      <c r="G114" s="39">
        <v>0.0</v>
      </c>
      <c r="H114" s="11"/>
      <c r="I114" s="39">
        <v>0.0</v>
      </c>
      <c r="J114" s="39">
        <v>0.0</v>
      </c>
      <c r="K114" s="39">
        <v>0.0</v>
      </c>
      <c r="L114" s="39">
        <v>0.0</v>
      </c>
      <c r="M114" s="39">
        <v>0.0</v>
      </c>
      <c r="N114" s="11"/>
    </row>
    <row r="115">
      <c r="A115" s="12" t="s">
        <v>118</v>
      </c>
      <c r="B115" s="69" t="s">
        <v>119</v>
      </c>
      <c r="C115" s="39">
        <f>C114*6</f>
        <v>130.62384</v>
      </c>
      <c r="D115" s="39">
        <f>D114*4</f>
        <v>85.3224</v>
      </c>
      <c r="E115" s="39">
        <v>0.0</v>
      </c>
      <c r="F115" s="39">
        <v>0.0</v>
      </c>
      <c r="G115" s="39">
        <v>0.0</v>
      </c>
      <c r="H115" s="11"/>
      <c r="I115" s="39">
        <v>0.0</v>
      </c>
      <c r="J115" s="39">
        <v>0.0</v>
      </c>
      <c r="K115" s="39">
        <v>0.0</v>
      </c>
      <c r="L115" s="39">
        <v>0.0</v>
      </c>
      <c r="M115" s="39">
        <v>0.0</v>
      </c>
      <c r="N115" s="11"/>
    </row>
    <row r="116">
      <c r="A116" s="21" t="s">
        <v>120</v>
      </c>
      <c r="B116" s="21" t="s">
        <v>121</v>
      </c>
      <c r="C116" s="24">
        <f t="shared" ref="C116:G116" si="102">C111+C115</f>
        <v>263.97144</v>
      </c>
      <c r="D116" s="42">
        <f t="shared" si="102"/>
        <v>215.94624</v>
      </c>
      <c r="E116" s="42">
        <f t="shared" si="102"/>
        <v>0</v>
      </c>
      <c r="F116" s="42">
        <f t="shared" si="102"/>
        <v>0</v>
      </c>
      <c r="G116" s="42">
        <f t="shared" si="102"/>
        <v>0</v>
      </c>
      <c r="H116" s="23">
        <f>C116+D116</f>
        <v>479.91768</v>
      </c>
      <c r="I116" s="42">
        <f t="shared" ref="I116:M116" si="103">I111+I115</f>
        <v>0</v>
      </c>
      <c r="J116" s="42">
        <f t="shared" si="103"/>
        <v>0</v>
      </c>
      <c r="K116" s="42">
        <f t="shared" si="103"/>
        <v>0</v>
      </c>
      <c r="L116" s="42">
        <f t="shared" si="103"/>
        <v>0</v>
      </c>
      <c r="M116" s="42">
        <f t="shared" si="103"/>
        <v>0</v>
      </c>
      <c r="N116" s="23" t="s">
        <v>18</v>
      </c>
    </row>
  </sheetData>
  <mergeCells count="1">
    <mergeCell ref="A1:N1"/>
  </mergeCells>
  <printOptions gridLines="1" horizontalCentered="1"/>
  <pageMargins bottom="0.75" footer="0.0" header="0.0" left="0.7" right="0.7" top="0.75"/>
  <pageSetup fitToHeight="0" paperSize="3" cellComments="atEnd" orientation="landscape" pageOrder="overThenDown"/>
  <drawing r:id="rId1"/>
</worksheet>
</file>