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95f9b79c41025c21/Documents/Utilis/Consulting/ELK/2025 IRM/Issues Day/Supplemental Evidence/"/>
    </mc:Choice>
  </mc:AlternateContent>
  <xr:revisionPtr revIDLastSave="167" documentId="8_{21CF485D-D8C8-4069-AADC-37923F5E0797}" xr6:coauthVersionLast="47" xr6:coauthVersionMax="47" xr10:uidLastSave="{E6899B08-4207-4AC7-92DF-F20BA9A5AF91}"/>
  <bookViews>
    <workbookView xWindow="-23148" yWindow="-792" windowWidth="23256" windowHeight="12456" xr2:uid="{BEBD422E-37E8-4EDF-BD76-7E5D8C94A02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4" i="1" l="1"/>
  <c r="E44" i="1" s="1"/>
  <c r="D38" i="1"/>
  <c r="E38" i="1" s="1"/>
  <c r="F38" i="1" s="1"/>
  <c r="C45" i="1"/>
  <c r="D39" i="1" s="1"/>
  <c r="E39" i="1" s="1"/>
  <c r="F39" i="1" s="1"/>
  <c r="C23" i="1"/>
  <c r="E16" i="1" s="1"/>
  <c r="D23" i="1"/>
  <c r="D12" i="1"/>
  <c r="C12" i="1"/>
  <c r="E8" i="1" s="1"/>
  <c r="F8" i="1" s="1"/>
  <c r="D42" i="1" l="1"/>
  <c r="E42" i="1" s="1"/>
  <c r="F42" i="1" s="1"/>
  <c r="D41" i="1"/>
  <c r="E41" i="1" s="1"/>
  <c r="F41" i="1" s="1"/>
  <c r="D40" i="1"/>
  <c r="E40" i="1" s="1"/>
  <c r="F40" i="1" s="1"/>
  <c r="E10" i="1"/>
  <c r="F10" i="1" s="1"/>
  <c r="D43" i="1"/>
  <c r="E43" i="1" s="1"/>
  <c r="F43" i="1" s="1"/>
  <c r="E19" i="1"/>
  <c r="F19" i="1" s="1"/>
  <c r="B30" i="1" s="1"/>
  <c r="E21" i="1"/>
  <c r="F21" i="1" s="1"/>
  <c r="B32" i="1" s="1"/>
  <c r="E20" i="1"/>
  <c r="F20" i="1" s="1"/>
  <c r="B31" i="1" s="1"/>
  <c r="E18" i="1"/>
  <c r="F18" i="1" s="1"/>
  <c r="B29" i="1" s="1"/>
  <c r="D29" i="1" s="1"/>
  <c r="G29" i="1" s="1"/>
  <c r="F16" i="1"/>
  <c r="E17" i="1"/>
  <c r="F17" i="1" s="1"/>
  <c r="B28" i="1" s="1"/>
  <c r="E22" i="1"/>
  <c r="F22" i="1" s="1"/>
  <c r="B33" i="1" s="1"/>
  <c r="E5" i="1"/>
  <c r="F5" i="1" s="1"/>
  <c r="E11" i="1"/>
  <c r="F11" i="1" s="1"/>
  <c r="C30" i="1"/>
  <c r="E9" i="1"/>
  <c r="F9" i="1" s="1"/>
  <c r="E7" i="1"/>
  <c r="F7" i="1" s="1"/>
  <c r="E6" i="1"/>
  <c r="C32" i="1"/>
  <c r="D32" i="1" l="1"/>
  <c r="G32" i="1" s="1"/>
  <c r="D30" i="1"/>
  <c r="G30" i="1" s="1"/>
  <c r="D45" i="1"/>
  <c r="E23" i="1"/>
  <c r="C33" i="1"/>
  <c r="D33" i="1" s="1"/>
  <c r="G33" i="1" s="1"/>
  <c r="B27" i="1"/>
  <c r="F24" i="1"/>
  <c r="F6" i="1"/>
  <c r="F13" i="1" s="1"/>
  <c r="E12" i="1"/>
  <c r="C31" i="1"/>
  <c r="D31" i="1" s="1"/>
  <c r="G31" i="1" s="1"/>
  <c r="C29" i="1"/>
  <c r="C27" i="1"/>
  <c r="E29" i="1" l="1"/>
  <c r="H29" i="1" s="1"/>
  <c r="C28" i="1"/>
  <c r="D28" i="1" s="1"/>
  <c r="G28" i="1" s="1"/>
  <c r="B34" i="1"/>
  <c r="D27" i="1"/>
  <c r="G27" i="1" s="1"/>
  <c r="D34" i="1" l="1"/>
  <c r="E34" i="1"/>
  <c r="C34" i="1"/>
  <c r="E36" i="1" s="1"/>
</calcChain>
</file>

<file path=xl/sharedStrings.xml><?xml version="1.0" encoding="utf-8"?>
<sst xmlns="http://schemas.openxmlformats.org/spreadsheetml/2006/main" count="85" uniqueCount="33">
  <si>
    <t>RESIDENTIAL SERVICE CLASSIFICATION</t>
  </si>
  <si>
    <t>GENERAL SERVICE LESS THAN 50 KW SERVICE CLASSIFICATION</t>
  </si>
  <si>
    <t>GENERAL SERVICE 50 to 4,999 kW SERVICE CLASSIFICATION</t>
  </si>
  <si>
    <t>UNMETERED SCATTERED LOAD SERVICE CLASSIFICATION</t>
  </si>
  <si>
    <t>SENTINEL LIGHTING SERVICE CLASSIFICATION</t>
  </si>
  <si>
    <t>STREET LIGHTING SERVICE CLASSIFICATION</t>
  </si>
  <si>
    <t>EMBEDDED DISTRIBUTOR SERVICE CLASSIFICATION</t>
  </si>
  <si>
    <t>% of Total kWh Adjusted for WMP</t>
  </si>
  <si>
    <t>Allocation of 1588 Disposition ($)</t>
  </si>
  <si>
    <t>kWh</t>
  </si>
  <si>
    <t>kW</t>
  </si>
  <si>
    <t>Total kWh Adjusted for WMP</t>
  </si>
  <si>
    <t>Variable Billing Unit for Rate Rider</t>
  </si>
  <si>
    <t>Total kWh</t>
  </si>
  <si>
    <t>Total kW Adjusted for WMP</t>
  </si>
  <si>
    <t>Total kW</t>
  </si>
  <si>
    <t>% of Total kWh</t>
  </si>
  <si>
    <t>1550 Disposition</t>
  </si>
  <si>
    <t>1588 Disposition</t>
  </si>
  <si>
    <t>Combined 1550 &amp; 1588 Disposition for All Classes</t>
  </si>
  <si>
    <t>1588 Disposition for Non-WMP (If Applicable)</t>
  </si>
  <si>
    <t>1550 &amp; 1588 Rider: All Customers</t>
  </si>
  <si>
    <t>1588 Rider: Non-WMP Customers</t>
  </si>
  <si>
    <t>Disposition Period (Months)</t>
  </si>
  <si>
    <t>Total</t>
  </si>
  <si>
    <t>Total Non-RPP kWh excluding WMP for Current Class B Customers</t>
  </si>
  <si>
    <t>Allocation of 1589 Disposition ($)</t>
  </si>
  <si>
    <t>1589 / GA Rider: Non-RPP, Non-WMP Customers</t>
  </si>
  <si>
    <t>1588 Allocation to Rate Classes</t>
  </si>
  <si>
    <t>Allocation of 1550 Disposition ($)</t>
  </si>
  <si>
    <t>1550 Allocation to Rate Classes</t>
  </si>
  <si>
    <t>Calculation of 1550 &amp; 1588 Rate Riders</t>
  </si>
  <si>
    <t>Calculation of GA Rate Rider for Class B, Non-RPP, Non-WMP Customers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</si>
</sst>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0.0%"/>
    <numFmt numFmtId="165" formatCode="#,##0;[Red]\(#,##0\)"/>
    <numFmt numFmtId="166" formatCode="_-* #,##0.0000_-;\-* #,##0.0000_-;_-* &quot;-&quot;??_-;_-@_-"/>
    <numFmt numFmtId="167" formatCode="#,##0.000;[Red]\(#,##0.000\)"/>
    <numFmt numFmtId="168" formatCode="_-* #,##0_-;\-* #,##0_-;_-* &quot;-&quot;??_-;_-@_-"/>
    <numFmt numFmtId="169" formatCode="#,##0.0000;[Red]\(#,##0.0000\)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2">
    <xf numFmtId="0" fontId="0" fillId="0" borderId="0" xfId="0"/>
    <xf numFmtId="164" fontId="0" fillId="0" borderId="0" xfId="0" applyNumberFormat="1"/>
    <xf numFmtId="165" fontId="0" fillId="0" borderId="0" xfId="0" applyNumberFormat="1"/>
    <xf numFmtId="166" fontId="0" fillId="0" borderId="0" xfId="0" applyNumberFormat="1"/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horizontal="center" vertical="top"/>
    </xf>
    <xf numFmtId="43" fontId="0" fillId="0" borderId="1" xfId="1" applyFont="1" applyBorder="1" applyAlignment="1">
      <alignment horizontal="left" vertical="top" wrapText="1"/>
    </xf>
    <xf numFmtId="164" fontId="0" fillId="0" borderId="1" xfId="2" applyNumberFormat="1" applyFont="1" applyBorder="1" applyProtection="1"/>
    <xf numFmtId="165" fontId="0" fillId="0" borderId="1" xfId="0" applyNumberFormat="1" applyBorder="1"/>
    <xf numFmtId="0" fontId="2" fillId="2" borderId="1" xfId="0" applyFont="1" applyFill="1" applyBorder="1"/>
    <xf numFmtId="0" fontId="2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/>
    <xf numFmtId="43" fontId="3" fillId="3" borderId="1" xfId="1" applyFont="1" applyFill="1" applyBorder="1"/>
    <xf numFmtId="164" fontId="3" fillId="3" borderId="1" xfId="0" applyNumberFormat="1" applyFont="1" applyFill="1" applyBorder="1"/>
    <xf numFmtId="165" fontId="3" fillId="3" borderId="1" xfId="0" applyNumberFormat="1" applyFont="1" applyFill="1" applyBorder="1"/>
    <xf numFmtId="167" fontId="0" fillId="0" borderId="1" xfId="1" applyNumberFormat="1" applyFont="1" applyBorder="1" applyAlignment="1">
      <alignment horizontal="center" vertical="top" wrapText="1"/>
    </xf>
    <xf numFmtId="168" fontId="0" fillId="0" borderId="1" xfId="1" applyNumberFormat="1" applyFont="1" applyBorder="1" applyAlignment="1">
      <alignment horizontal="left" vertical="top" wrapText="1"/>
    </xf>
    <xf numFmtId="168" fontId="3" fillId="3" borderId="1" xfId="1" applyNumberFormat="1" applyFont="1" applyFill="1" applyBorder="1"/>
    <xf numFmtId="169" fontId="0" fillId="0" borderId="1" xfId="1" applyNumberFormat="1" applyFont="1" applyBorder="1" applyAlignment="1">
      <alignment horizontal="center" vertical="top" wrapText="1"/>
    </xf>
    <xf numFmtId="169" fontId="0" fillId="0" borderId="1" xfId="0" applyNumberFormat="1" applyBorder="1" applyAlignment="1">
      <alignment horizontal="center"/>
    </xf>
    <xf numFmtId="0" fontId="4" fillId="0" borderId="0" xfId="0" applyFont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D47BC0-605C-4E51-9A92-5F0A523B75FF}">
  <dimension ref="A1:K45"/>
  <sheetViews>
    <sheetView tabSelected="1" topLeftCell="A26" workbookViewId="0">
      <selection activeCell="K39" sqref="K39"/>
    </sheetView>
  </sheetViews>
  <sheetFormatPr defaultRowHeight="14.4" x14ac:dyDescent="0.3"/>
  <cols>
    <col min="1" max="1" width="53.88671875" customWidth="1"/>
    <col min="2" max="2" width="20.5546875" customWidth="1"/>
    <col min="3" max="4" width="15.109375" customWidth="1"/>
    <col min="5" max="5" width="14.6640625" customWidth="1"/>
    <col min="6" max="7" width="14.5546875" customWidth="1"/>
    <col min="8" max="8" width="14.88671875" customWidth="1"/>
    <col min="9" max="9" width="10.5546875" customWidth="1"/>
  </cols>
  <sheetData>
    <row r="1" spans="1:11" x14ac:dyDescent="0.3">
      <c r="A1" t="s">
        <v>23</v>
      </c>
      <c r="B1">
        <v>48</v>
      </c>
    </row>
    <row r="3" spans="1:11" x14ac:dyDescent="0.3">
      <c r="A3" s="21" t="s">
        <v>28</v>
      </c>
    </row>
    <row r="4" spans="1:11" ht="43.2" x14ac:dyDescent="0.3">
      <c r="A4" s="10"/>
      <c r="B4" s="11" t="s">
        <v>12</v>
      </c>
      <c r="C4" s="11" t="s">
        <v>11</v>
      </c>
      <c r="D4" s="11" t="s">
        <v>14</v>
      </c>
      <c r="E4" s="11" t="s">
        <v>7</v>
      </c>
      <c r="F4" s="11" t="s">
        <v>8</v>
      </c>
      <c r="G4" s="4"/>
      <c r="H4" s="4"/>
      <c r="I4" s="4"/>
      <c r="J4" s="4"/>
      <c r="K4" s="4"/>
    </row>
    <row r="5" spans="1:11" x14ac:dyDescent="0.3">
      <c r="A5" s="5" t="s">
        <v>0</v>
      </c>
      <c r="B5" s="6" t="s">
        <v>9</v>
      </c>
      <c r="C5" s="7">
        <v>96458581.109999999</v>
      </c>
      <c r="D5" s="7">
        <v>0</v>
      </c>
      <c r="E5" s="8">
        <f>C5/C$12</f>
        <v>0.41591180944738176</v>
      </c>
      <c r="F5" s="9">
        <f t="shared" ref="F5:F11" si="0">F$12*E5</f>
        <v>-1508443.9309559979</v>
      </c>
      <c r="G5" s="2"/>
      <c r="H5" s="3"/>
      <c r="K5" s="1"/>
    </row>
    <row r="6" spans="1:11" x14ac:dyDescent="0.3">
      <c r="A6" s="5" t="s">
        <v>1</v>
      </c>
      <c r="B6" s="6" t="s">
        <v>9</v>
      </c>
      <c r="C6" s="7">
        <v>28828609.640000001</v>
      </c>
      <c r="D6" s="7">
        <v>0</v>
      </c>
      <c r="E6" s="8">
        <f t="shared" ref="E6:E11" si="1">C6/C$12</f>
        <v>0.12430370695118588</v>
      </c>
      <c r="F6" s="9">
        <f t="shared" si="0"/>
        <v>-450829.16158352332</v>
      </c>
      <c r="G6" s="2"/>
      <c r="H6" s="3"/>
      <c r="K6" s="1"/>
    </row>
    <row r="7" spans="1:11" x14ac:dyDescent="0.3">
      <c r="A7" s="5" t="s">
        <v>2</v>
      </c>
      <c r="B7" s="6" t="s">
        <v>10</v>
      </c>
      <c r="C7" s="7">
        <v>57624515.570000008</v>
      </c>
      <c r="D7" s="7">
        <v>210924.37</v>
      </c>
      <c r="E7" s="8">
        <f t="shared" si="1"/>
        <v>0.24846640146941643</v>
      </c>
      <c r="F7" s="9">
        <f t="shared" si="0"/>
        <v>-901146.89419617073</v>
      </c>
      <c r="G7" s="2"/>
      <c r="H7" s="3"/>
      <c r="K7" s="1"/>
    </row>
    <row r="8" spans="1:11" x14ac:dyDescent="0.3">
      <c r="A8" s="5" t="s">
        <v>3</v>
      </c>
      <c r="B8" s="6" t="s">
        <v>9</v>
      </c>
      <c r="C8" s="7">
        <v>248859</v>
      </c>
      <c r="D8" s="7">
        <v>0</v>
      </c>
      <c r="E8" s="8">
        <f t="shared" si="1"/>
        <v>1.0730346206236662E-3</v>
      </c>
      <c r="F8" s="9">
        <f t="shared" si="0"/>
        <v>-3891.7206110018292</v>
      </c>
      <c r="G8" s="2"/>
      <c r="H8" s="3"/>
      <c r="K8" s="1"/>
    </row>
    <row r="9" spans="1:11" x14ac:dyDescent="0.3">
      <c r="A9" s="5" t="s">
        <v>4</v>
      </c>
      <c r="B9" s="6" t="s">
        <v>10</v>
      </c>
      <c r="C9" s="7">
        <v>136721.45000000001</v>
      </c>
      <c r="D9" s="7">
        <v>355</v>
      </c>
      <c r="E9" s="8">
        <f t="shared" si="1"/>
        <v>5.895179568826828E-4</v>
      </c>
      <c r="F9" s="9">
        <f t="shared" si="0"/>
        <v>-2138.0849594792876</v>
      </c>
      <c r="G9" s="2"/>
      <c r="H9" s="3"/>
      <c r="K9" s="1"/>
    </row>
    <row r="10" spans="1:11" x14ac:dyDescent="0.3">
      <c r="A10" s="5" t="s">
        <v>5</v>
      </c>
      <c r="B10" s="6" t="s">
        <v>10</v>
      </c>
      <c r="C10" s="7">
        <v>1187658.02</v>
      </c>
      <c r="D10" s="7">
        <v>3319.34</v>
      </c>
      <c r="E10" s="8">
        <f t="shared" si="1"/>
        <v>5.1209647749181448E-3</v>
      </c>
      <c r="F10" s="9">
        <f t="shared" si="0"/>
        <v>-18572.899494314544</v>
      </c>
      <c r="G10" s="2"/>
      <c r="H10" s="3"/>
      <c r="K10" s="1"/>
    </row>
    <row r="11" spans="1:11" x14ac:dyDescent="0.3">
      <c r="A11" s="5" t="s">
        <v>6</v>
      </c>
      <c r="B11" s="6" t="s">
        <v>10</v>
      </c>
      <c r="C11" s="7">
        <v>47435810.810000002</v>
      </c>
      <c r="D11" s="7">
        <v>68047.839999999997</v>
      </c>
      <c r="E11" s="8">
        <f t="shared" si="1"/>
        <v>0.20453456477959148</v>
      </c>
      <c r="F11" s="9">
        <f t="shared" si="0"/>
        <v>-741813.32653775986</v>
      </c>
      <c r="G11" s="2"/>
      <c r="H11" s="3"/>
      <c r="K11" s="1"/>
    </row>
    <row r="12" spans="1:11" x14ac:dyDescent="0.3">
      <c r="A12" s="12" t="s">
        <v>24</v>
      </c>
      <c r="B12" s="12"/>
      <c r="C12" s="13">
        <f>SUM(C5:C11)</f>
        <v>231920755.59999999</v>
      </c>
      <c r="D12" s="13">
        <f>SUM(D5:D11)</f>
        <v>282646.55</v>
      </c>
      <c r="E12" s="14">
        <f>SUM(E5:E11)</f>
        <v>1.0000000000000002</v>
      </c>
      <c r="F12" s="15">
        <v>-3626836.0183382472</v>
      </c>
      <c r="G12" s="2"/>
      <c r="H12" s="3"/>
    </row>
    <row r="13" spans="1:11" x14ac:dyDescent="0.3">
      <c r="F13" s="2">
        <f>F12-SUM(F5:F11)</f>
        <v>0</v>
      </c>
    </row>
    <row r="14" spans="1:11" x14ac:dyDescent="0.3">
      <c r="A14" s="21" t="s">
        <v>30</v>
      </c>
    </row>
    <row r="15" spans="1:11" ht="43.2" x14ac:dyDescent="0.3">
      <c r="A15" s="10"/>
      <c r="B15" s="11" t="s">
        <v>12</v>
      </c>
      <c r="C15" s="11" t="s">
        <v>13</v>
      </c>
      <c r="D15" s="11" t="s">
        <v>15</v>
      </c>
      <c r="E15" s="11" t="s">
        <v>16</v>
      </c>
      <c r="F15" s="11" t="s">
        <v>29</v>
      </c>
    </row>
    <row r="16" spans="1:11" x14ac:dyDescent="0.3">
      <c r="A16" s="5" t="s">
        <v>0</v>
      </c>
      <c r="B16" s="6" t="s">
        <v>9</v>
      </c>
      <c r="C16" s="7">
        <v>96458581.109999999</v>
      </c>
      <c r="D16" s="7">
        <v>0</v>
      </c>
      <c r="E16" s="8">
        <f>C16/C$23</f>
        <v>0.41203208605500374</v>
      </c>
      <c r="F16" s="9">
        <f>F$23*E16</f>
        <v>515706.27851581865</v>
      </c>
    </row>
    <row r="17" spans="1:8" x14ac:dyDescent="0.3">
      <c r="A17" s="5" t="s">
        <v>1</v>
      </c>
      <c r="B17" s="6" t="s">
        <v>9</v>
      </c>
      <c r="C17" s="7">
        <v>28828609.640000001</v>
      </c>
      <c r="D17" s="7">
        <v>0</v>
      </c>
      <c r="E17" s="8">
        <f t="shared" ref="E17:E22" si="2">C17/C$23</f>
        <v>0.12314417267333355</v>
      </c>
      <c r="F17" s="9">
        <f t="shared" ref="F17:F22" si="3">F$23*E17</f>
        <v>154129.3145840019</v>
      </c>
    </row>
    <row r="18" spans="1:8" x14ac:dyDescent="0.3">
      <c r="A18" s="5" t="s">
        <v>2</v>
      </c>
      <c r="B18" s="6" t="s">
        <v>10</v>
      </c>
      <c r="C18" s="7">
        <v>59808297.88000001</v>
      </c>
      <c r="D18" s="7">
        <v>215106.83</v>
      </c>
      <c r="E18" s="8">
        <f t="shared" si="2"/>
        <v>0.25547688401919372</v>
      </c>
      <c r="F18" s="9">
        <f t="shared" si="3"/>
        <v>319759.15848157479</v>
      </c>
    </row>
    <row r="19" spans="1:8" x14ac:dyDescent="0.3">
      <c r="A19" s="5" t="s">
        <v>3</v>
      </c>
      <c r="B19" s="6" t="s">
        <v>9</v>
      </c>
      <c r="C19" s="7">
        <v>248859</v>
      </c>
      <c r="D19" s="7">
        <v>0</v>
      </c>
      <c r="E19" s="8">
        <f t="shared" si="2"/>
        <v>1.0630251007593551E-3</v>
      </c>
      <c r="F19" s="9">
        <f t="shared" si="3"/>
        <v>1330.5000684056622</v>
      </c>
    </row>
    <row r="20" spans="1:8" x14ac:dyDescent="0.3">
      <c r="A20" s="5" t="s">
        <v>4</v>
      </c>
      <c r="B20" s="6" t="s">
        <v>10</v>
      </c>
      <c r="C20" s="7">
        <v>136721.45000000001</v>
      </c>
      <c r="D20" s="7">
        <v>355</v>
      </c>
      <c r="E20" s="8">
        <f t="shared" si="2"/>
        <v>5.8401879442662361E-4</v>
      </c>
      <c r="F20" s="9">
        <f t="shared" si="3"/>
        <v>730.96773103452688</v>
      </c>
    </row>
    <row r="21" spans="1:8" x14ac:dyDescent="0.3">
      <c r="A21" s="5" t="s">
        <v>5</v>
      </c>
      <c r="B21" s="6" t="s">
        <v>10</v>
      </c>
      <c r="C21" s="7">
        <v>1187658.02</v>
      </c>
      <c r="D21" s="7">
        <v>3319.34</v>
      </c>
      <c r="E21" s="8">
        <f t="shared" si="2"/>
        <v>5.0731952084439626E-3</v>
      </c>
      <c r="F21" s="9">
        <f t="shared" si="3"/>
        <v>6349.6963214210991</v>
      </c>
    </row>
    <row r="22" spans="1:8" x14ac:dyDescent="0.3">
      <c r="A22" s="5" t="s">
        <v>6</v>
      </c>
      <c r="B22" s="6" t="s">
        <v>10</v>
      </c>
      <c r="C22" s="7">
        <v>47435810.810000002</v>
      </c>
      <c r="D22" s="7">
        <v>68047.839999999997</v>
      </c>
      <c r="E22" s="8">
        <f t="shared" si="2"/>
        <v>0.20262661814883912</v>
      </c>
      <c r="F22" s="9">
        <f t="shared" si="3"/>
        <v>253610.87815824643</v>
      </c>
    </row>
    <row r="23" spans="1:8" x14ac:dyDescent="0.3">
      <c r="A23" s="12"/>
      <c r="B23" s="12"/>
      <c r="C23" s="13">
        <f>SUM(C16:C22)</f>
        <v>234104537.91</v>
      </c>
      <c r="D23" s="13">
        <f>SUM(D16:D22)</f>
        <v>286829.01</v>
      </c>
      <c r="E23" s="14">
        <f>SUM(E16:E22)</f>
        <v>1</v>
      </c>
      <c r="F23" s="15">
        <v>1251616.793860503</v>
      </c>
    </row>
    <row r="24" spans="1:8" x14ac:dyDescent="0.3">
      <c r="F24" s="2">
        <f>F23-SUM(F16:F22)</f>
        <v>0</v>
      </c>
    </row>
    <row r="25" spans="1:8" x14ac:dyDescent="0.3">
      <c r="A25" s="21" t="s">
        <v>31</v>
      </c>
    </row>
    <row r="26" spans="1:8" ht="57.6" x14ac:dyDescent="0.3">
      <c r="A26" s="10"/>
      <c r="B26" s="11" t="s">
        <v>17</v>
      </c>
      <c r="C26" s="11" t="s">
        <v>18</v>
      </c>
      <c r="D26" s="11" t="s">
        <v>19</v>
      </c>
      <c r="E26" s="11" t="s">
        <v>20</v>
      </c>
      <c r="F26" s="11" t="s">
        <v>12</v>
      </c>
      <c r="G26" s="11" t="s">
        <v>21</v>
      </c>
      <c r="H26" s="11" t="s">
        <v>22</v>
      </c>
    </row>
    <row r="27" spans="1:8" x14ac:dyDescent="0.3">
      <c r="A27" s="5" t="s">
        <v>0</v>
      </c>
      <c r="B27" s="9">
        <f>F16</f>
        <v>515706.27851581865</v>
      </c>
      <c r="C27" s="9">
        <f>F5</f>
        <v>-1508443.9309559979</v>
      </c>
      <c r="D27" s="9">
        <f>B27+C27</f>
        <v>-992737.65244017926</v>
      </c>
      <c r="E27" s="7">
        <v>0</v>
      </c>
      <c r="F27" s="6" t="s">
        <v>9</v>
      </c>
      <c r="G27" s="20">
        <f>ROUND(IF(F27="kWh",D27/C16,IF(F27="kW",D27/D16,"ERROR"))/(B$1/12),4)</f>
        <v>-2.5999999999999999E-3</v>
      </c>
      <c r="H27" s="16">
        <v>0</v>
      </c>
    </row>
    <row r="28" spans="1:8" x14ac:dyDescent="0.3">
      <c r="A28" s="5" t="s">
        <v>1</v>
      </c>
      <c r="B28" s="9">
        <f t="shared" ref="B28:B33" si="4">F17</f>
        <v>154129.3145840019</v>
      </c>
      <c r="C28" s="9">
        <f t="shared" ref="C28:C33" si="5">F6</f>
        <v>-450829.16158352332</v>
      </c>
      <c r="D28" s="9">
        <f t="shared" ref="D28:D33" si="6">B28+C28</f>
        <v>-296699.84699952143</v>
      </c>
      <c r="E28" s="7">
        <v>0</v>
      </c>
      <c r="F28" s="6" t="s">
        <v>9</v>
      </c>
      <c r="G28" s="20">
        <f t="shared" ref="G28:G33" si="7">ROUND(IF(F28="kWh",D28/C17,IF(F28="kW",D28/D17,"ERROR"))/(B$1/12),4)</f>
        <v>-2.5999999999999999E-3</v>
      </c>
      <c r="H28" s="16">
        <v>0</v>
      </c>
    </row>
    <row r="29" spans="1:8" x14ac:dyDescent="0.3">
      <c r="A29" s="5" t="s">
        <v>2</v>
      </c>
      <c r="B29" s="9">
        <f t="shared" si="4"/>
        <v>319759.15848157479</v>
      </c>
      <c r="C29" s="9">
        <f t="shared" si="5"/>
        <v>-901146.89419617073</v>
      </c>
      <c r="D29" s="9">
        <f>B29</f>
        <v>319759.15848157479</v>
      </c>
      <c r="E29" s="9">
        <f>C29</f>
        <v>-901146.89419617073</v>
      </c>
      <c r="F29" s="6" t="s">
        <v>10</v>
      </c>
      <c r="G29" s="20">
        <f t="shared" si="7"/>
        <v>0.37159999999999999</v>
      </c>
      <c r="H29" s="20">
        <f>ROUND((E29/D7)/(B1/12),4)</f>
        <v>-1.0681</v>
      </c>
    </row>
    <row r="30" spans="1:8" x14ac:dyDescent="0.3">
      <c r="A30" s="5" t="s">
        <v>3</v>
      </c>
      <c r="B30" s="9">
        <f t="shared" si="4"/>
        <v>1330.5000684056622</v>
      </c>
      <c r="C30" s="9">
        <f t="shared" si="5"/>
        <v>-3891.7206110018292</v>
      </c>
      <c r="D30" s="9">
        <f t="shared" si="6"/>
        <v>-2561.220542596167</v>
      </c>
      <c r="E30" s="7">
        <v>0</v>
      </c>
      <c r="F30" s="6" t="s">
        <v>9</v>
      </c>
      <c r="G30" s="20">
        <f t="shared" si="7"/>
        <v>-2.5999999999999999E-3</v>
      </c>
      <c r="H30" s="16">
        <v>0</v>
      </c>
    </row>
    <row r="31" spans="1:8" x14ac:dyDescent="0.3">
      <c r="A31" s="5" t="s">
        <v>4</v>
      </c>
      <c r="B31" s="9">
        <f t="shared" si="4"/>
        <v>730.96773103452688</v>
      </c>
      <c r="C31" s="9">
        <f t="shared" si="5"/>
        <v>-2138.0849594792876</v>
      </c>
      <c r="D31" s="9">
        <f t="shared" si="6"/>
        <v>-1407.1172284447607</v>
      </c>
      <c r="E31" s="7">
        <v>0</v>
      </c>
      <c r="F31" s="6" t="s">
        <v>10</v>
      </c>
      <c r="G31" s="20">
        <f t="shared" si="7"/>
        <v>-0.9909</v>
      </c>
      <c r="H31" s="16">
        <v>0</v>
      </c>
    </row>
    <row r="32" spans="1:8" x14ac:dyDescent="0.3">
      <c r="A32" s="5" t="s">
        <v>5</v>
      </c>
      <c r="B32" s="9">
        <f t="shared" si="4"/>
        <v>6349.6963214210991</v>
      </c>
      <c r="C32" s="9">
        <f t="shared" si="5"/>
        <v>-18572.899494314544</v>
      </c>
      <c r="D32" s="9">
        <f t="shared" si="6"/>
        <v>-12223.203172893445</v>
      </c>
      <c r="E32" s="7">
        <v>0</v>
      </c>
      <c r="F32" s="6" t="s">
        <v>10</v>
      </c>
      <c r="G32" s="20">
        <f t="shared" si="7"/>
        <v>-0.92059999999999997</v>
      </c>
      <c r="H32" s="16">
        <v>0</v>
      </c>
    </row>
    <row r="33" spans="1:8" x14ac:dyDescent="0.3">
      <c r="A33" s="5" t="s">
        <v>6</v>
      </c>
      <c r="B33" s="9">
        <f t="shared" si="4"/>
        <v>253610.87815824643</v>
      </c>
      <c r="C33" s="9">
        <f t="shared" si="5"/>
        <v>-741813.32653775986</v>
      </c>
      <c r="D33" s="9">
        <f t="shared" si="6"/>
        <v>-488202.44837951346</v>
      </c>
      <c r="E33" s="7">
        <v>0</v>
      </c>
      <c r="F33" s="6" t="s">
        <v>10</v>
      </c>
      <c r="G33" s="20">
        <f t="shared" si="7"/>
        <v>-1.7936000000000001</v>
      </c>
      <c r="H33" s="16">
        <v>0</v>
      </c>
    </row>
    <row r="34" spans="1:8" x14ac:dyDescent="0.3">
      <c r="A34" s="12" t="s">
        <v>24</v>
      </c>
      <c r="B34" s="15">
        <f>SUM(B27:B33)</f>
        <v>1251616.793860503</v>
      </c>
      <c r="C34" s="15">
        <f>SUM(C27:C33)</f>
        <v>-3626836.0183382477</v>
      </c>
      <c r="D34" s="15">
        <f t="shared" ref="D34:E34" si="8">SUM(D27:D33)</f>
        <v>-1474072.3302815738</v>
      </c>
      <c r="E34" s="15">
        <f t="shared" si="8"/>
        <v>-901146.89419617073</v>
      </c>
      <c r="F34" s="12"/>
      <c r="G34" s="12"/>
      <c r="H34" s="12"/>
    </row>
    <row r="36" spans="1:8" x14ac:dyDescent="0.3">
      <c r="A36" s="21" t="s">
        <v>32</v>
      </c>
      <c r="E36" s="2">
        <f>(B34+C34)-(D34+E34)</f>
        <v>0</v>
      </c>
    </row>
    <row r="37" spans="1:8" ht="72" x14ac:dyDescent="0.3">
      <c r="A37" s="10"/>
      <c r="B37" s="11" t="s">
        <v>12</v>
      </c>
      <c r="C37" s="11" t="s">
        <v>25</v>
      </c>
      <c r="D37" s="11" t="s">
        <v>16</v>
      </c>
      <c r="E37" s="11" t="s">
        <v>26</v>
      </c>
      <c r="F37" s="11" t="s">
        <v>27</v>
      </c>
    </row>
    <row r="38" spans="1:8" x14ac:dyDescent="0.3">
      <c r="A38" s="5" t="s">
        <v>0</v>
      </c>
      <c r="B38" s="6" t="s">
        <v>9</v>
      </c>
      <c r="C38" s="17">
        <v>1415296</v>
      </c>
      <c r="D38" s="8">
        <f>C38/C$45</f>
        <v>3.3448909216950623E-2</v>
      </c>
      <c r="E38" s="9">
        <f>E$45*D38</f>
        <v>-115333.87936350798</v>
      </c>
      <c r="F38" s="19">
        <f>ROUND((E38/C38)/(B$1/12),4)</f>
        <v>-2.0400000000000001E-2</v>
      </c>
    </row>
    <row r="39" spans="1:8" x14ac:dyDescent="0.3">
      <c r="A39" s="5" t="s">
        <v>1</v>
      </c>
      <c r="B39" s="6" t="s">
        <v>9</v>
      </c>
      <c r="C39" s="17">
        <v>5619122</v>
      </c>
      <c r="D39" s="8">
        <f t="shared" ref="D39:D44" si="9">C39/C$45</f>
        <v>0.13280154939812591</v>
      </c>
      <c r="E39" s="9">
        <f t="shared" ref="E39:E44" si="10">E$45*D39</f>
        <v>-457907.84321925143</v>
      </c>
      <c r="F39" s="19">
        <f t="shared" ref="F39:F43" si="11">ROUND((E39/C39)/(B$1/12),4)</f>
        <v>-2.0400000000000001E-2</v>
      </c>
    </row>
    <row r="40" spans="1:8" x14ac:dyDescent="0.3">
      <c r="A40" s="5" t="s">
        <v>2</v>
      </c>
      <c r="B40" s="6" t="s">
        <v>9</v>
      </c>
      <c r="C40" s="17">
        <v>33955654</v>
      </c>
      <c r="D40" s="8">
        <f t="shared" si="9"/>
        <v>0.80250321349610698</v>
      </c>
      <c r="E40" s="9">
        <f t="shared" si="10"/>
        <v>-2767080.0328306002</v>
      </c>
      <c r="F40" s="19">
        <f t="shared" si="11"/>
        <v>-2.0400000000000001E-2</v>
      </c>
    </row>
    <row r="41" spans="1:8" x14ac:dyDescent="0.3">
      <c r="A41" s="5" t="s">
        <v>3</v>
      </c>
      <c r="B41" s="6" t="s">
        <v>9</v>
      </c>
      <c r="C41" s="17">
        <v>103260</v>
      </c>
      <c r="D41" s="8">
        <f t="shared" si="9"/>
        <v>2.4404325072227445E-3</v>
      </c>
      <c r="E41" s="9">
        <f t="shared" si="10"/>
        <v>-8414.7601512869642</v>
      </c>
      <c r="F41" s="19">
        <f t="shared" si="11"/>
        <v>-2.0400000000000001E-2</v>
      </c>
    </row>
    <row r="42" spans="1:8" x14ac:dyDescent="0.3">
      <c r="A42" s="5" t="s">
        <v>4</v>
      </c>
      <c r="B42" s="6" t="s">
        <v>9</v>
      </c>
      <c r="C42" s="17">
        <v>31182</v>
      </c>
      <c r="D42" s="8">
        <f t="shared" si="9"/>
        <v>7.3695105985105186E-4</v>
      </c>
      <c r="E42" s="9">
        <f t="shared" si="10"/>
        <v>-2541.0522083810779</v>
      </c>
      <c r="F42" s="19">
        <f t="shared" si="11"/>
        <v>-2.0400000000000001E-2</v>
      </c>
    </row>
    <row r="43" spans="1:8" x14ac:dyDescent="0.3">
      <c r="A43" s="5" t="s">
        <v>5</v>
      </c>
      <c r="B43" s="6" t="s">
        <v>9</v>
      </c>
      <c r="C43" s="17">
        <v>1187658</v>
      </c>
      <c r="D43" s="8">
        <f t="shared" si="9"/>
        <v>2.806894432174269E-2</v>
      </c>
      <c r="E43" s="9">
        <f t="shared" si="10"/>
        <v>-96783.432226972422</v>
      </c>
      <c r="F43" s="19">
        <f t="shared" si="11"/>
        <v>-2.0400000000000001E-2</v>
      </c>
    </row>
    <row r="44" spans="1:8" x14ac:dyDescent="0.3">
      <c r="A44" s="5" t="s">
        <v>6</v>
      </c>
      <c r="B44" s="6" t="s">
        <v>9</v>
      </c>
      <c r="C44" s="17">
        <v>0</v>
      </c>
      <c r="D44" s="8">
        <f t="shared" si="9"/>
        <v>0</v>
      </c>
      <c r="E44" s="9">
        <f t="shared" si="10"/>
        <v>0</v>
      </c>
      <c r="F44" s="19">
        <v>0</v>
      </c>
    </row>
    <row r="45" spans="1:8" x14ac:dyDescent="0.3">
      <c r="A45" s="12"/>
      <c r="B45" s="12"/>
      <c r="C45" s="18">
        <f>SUM(C38:C44)</f>
        <v>42312172</v>
      </c>
      <c r="D45" s="14">
        <f>SUM(D38:D44)</f>
        <v>1</v>
      </c>
      <c r="E45" s="15">
        <v>-3448061</v>
      </c>
      <c r="F45" s="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 Ott</dc:creator>
  <cp:lastModifiedBy>Brandon Ott</cp:lastModifiedBy>
  <dcterms:created xsi:type="dcterms:W3CDTF">2025-10-02T20:06:48Z</dcterms:created>
  <dcterms:modified xsi:type="dcterms:W3CDTF">2025-10-06T19:59:43Z</dcterms:modified>
</cp:coreProperties>
</file>