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shaynet\Downloads\"/>
    </mc:Choice>
  </mc:AlternateContent>
  <xr:revisionPtr revIDLastSave="0" documentId="13_ncr:1_{3859B862-F9BA-45DC-90BC-44AF361E5C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" sheetId="1" r:id="rId1"/>
    <sheet name="Capital Related Productivity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d7xshlcH92gbAz5dJfTUZEndZlRpde+B6KXuCdSbVl0="/>
    </ext>
  </extLst>
</workbook>
</file>

<file path=xl/calcChain.xml><?xml version="1.0" encoding="utf-8"?>
<calcChain xmlns="http://schemas.openxmlformats.org/spreadsheetml/2006/main">
  <c r="M227" i="2" l="1"/>
  <c r="N226" i="2"/>
  <c r="M226" i="2"/>
  <c r="L226" i="2"/>
  <c r="K226" i="2"/>
  <c r="J226" i="2"/>
  <c r="I226" i="2"/>
  <c r="N225" i="2"/>
  <c r="M225" i="2"/>
  <c r="L225" i="2"/>
  <c r="K225" i="2"/>
  <c r="J225" i="2"/>
  <c r="I225" i="2"/>
  <c r="N224" i="2"/>
  <c r="M224" i="2"/>
  <c r="L224" i="2"/>
  <c r="K224" i="2"/>
  <c r="J224" i="2"/>
  <c r="I224" i="2"/>
  <c r="N223" i="2"/>
  <c r="M223" i="2"/>
  <c r="L223" i="2"/>
  <c r="L227" i="2" s="1"/>
  <c r="K223" i="2"/>
  <c r="K227" i="2" s="1"/>
  <c r="J223" i="2"/>
  <c r="J227" i="2" s="1"/>
  <c r="I223" i="2"/>
  <c r="I227" i="2" s="1"/>
  <c r="D210" i="2"/>
  <c r="C210" i="2"/>
  <c r="G209" i="2"/>
  <c r="F209" i="2"/>
  <c r="E209" i="2"/>
  <c r="D209" i="2"/>
  <c r="C209" i="2"/>
  <c r="I199" i="2"/>
  <c r="G199" i="2"/>
  <c r="G200" i="2" s="1"/>
  <c r="F199" i="2"/>
  <c r="M198" i="2"/>
  <c r="L198" i="2"/>
  <c r="K198" i="2"/>
  <c r="J198" i="2"/>
  <c r="I198" i="2"/>
  <c r="H198" i="2"/>
  <c r="G198" i="2"/>
  <c r="F198" i="2"/>
  <c r="E198" i="2"/>
  <c r="E210" i="2" s="1"/>
  <c r="E212" i="2" s="1"/>
  <c r="E213" i="2" s="1"/>
  <c r="D178" i="2"/>
  <c r="D180" i="2" s="1"/>
  <c r="E180" i="2" s="1"/>
  <c r="F180" i="2" s="1"/>
  <c r="G180" i="2" s="1"/>
  <c r="I180" i="2" s="1"/>
  <c r="J180" i="2" s="1"/>
  <c r="K180" i="2" s="1"/>
  <c r="L180" i="2" s="1"/>
  <c r="M180" i="2" s="1"/>
  <c r="D177" i="2"/>
  <c r="F176" i="2"/>
  <c r="G176" i="2" s="1"/>
  <c r="I176" i="2" s="1"/>
  <c r="J176" i="2" s="1"/>
  <c r="K176" i="2" s="1"/>
  <c r="L176" i="2" s="1"/>
  <c r="M176" i="2" s="1"/>
  <c r="D176" i="2"/>
  <c r="E176" i="2" s="1"/>
  <c r="E174" i="2"/>
  <c r="E177" i="2" s="1"/>
  <c r="E178" i="2" s="1"/>
  <c r="E181" i="2" s="1"/>
  <c r="F181" i="2" s="1"/>
  <c r="G181" i="2" s="1"/>
  <c r="I181" i="2" s="1"/>
  <c r="J181" i="2" s="1"/>
  <c r="K181" i="2" s="1"/>
  <c r="L181" i="2" s="1"/>
  <c r="M181" i="2" s="1"/>
  <c r="D174" i="2"/>
  <c r="C174" i="2"/>
  <c r="C177" i="2" s="1"/>
  <c r="F173" i="2"/>
  <c r="G173" i="2" s="1"/>
  <c r="I173" i="2" s="1"/>
  <c r="J173" i="2" s="1"/>
  <c r="K173" i="2" s="1"/>
  <c r="L173" i="2" s="1"/>
  <c r="M173" i="2" s="1"/>
  <c r="C173" i="2"/>
  <c r="D173" i="2" s="1"/>
  <c r="E173" i="2" s="1"/>
  <c r="I172" i="2"/>
  <c r="G172" i="2"/>
  <c r="D172" i="2"/>
  <c r="E172" i="2" s="1"/>
  <c r="F172" i="2" s="1"/>
  <c r="L157" i="2"/>
  <c r="M157" i="2" s="1"/>
  <c r="F153" i="2"/>
  <c r="F157" i="2" s="1"/>
  <c r="G157" i="2" s="1"/>
  <c r="I157" i="2" s="1"/>
  <c r="J157" i="2" s="1"/>
  <c r="K157" i="2" s="1"/>
  <c r="M152" i="2"/>
  <c r="L152" i="2"/>
  <c r="K152" i="2"/>
  <c r="J152" i="2"/>
  <c r="I152" i="2"/>
  <c r="G152" i="2"/>
  <c r="F152" i="2"/>
  <c r="E152" i="2"/>
  <c r="D152" i="2"/>
  <c r="C152" i="2"/>
  <c r="D151" i="2"/>
  <c r="E151" i="2" s="1"/>
  <c r="F151" i="2" s="1"/>
  <c r="G151" i="2" s="1"/>
  <c r="I151" i="2" s="1"/>
  <c r="J151" i="2" s="1"/>
  <c r="M141" i="2"/>
  <c r="L141" i="2"/>
  <c r="E141" i="2"/>
  <c r="D141" i="2"/>
  <c r="C130" i="2"/>
  <c r="C129" i="2"/>
  <c r="M128" i="2"/>
  <c r="L128" i="2"/>
  <c r="K128" i="2"/>
  <c r="K141" i="2" s="1"/>
  <c r="J128" i="2"/>
  <c r="I128" i="2"/>
  <c r="G128" i="2"/>
  <c r="F128" i="2"/>
  <c r="E128" i="2"/>
  <c r="D128" i="2"/>
  <c r="C128" i="2"/>
  <c r="D127" i="2"/>
  <c r="E127" i="2" s="1"/>
  <c r="F127" i="2" s="1"/>
  <c r="G127" i="2" s="1"/>
  <c r="I127" i="2" s="1"/>
  <c r="J127" i="2" s="1"/>
  <c r="K127" i="2" s="1"/>
  <c r="L127" i="2" s="1"/>
  <c r="D111" i="2"/>
  <c r="E111" i="2" s="1"/>
  <c r="F111" i="2" s="1"/>
  <c r="N110" i="2"/>
  <c r="D110" i="2"/>
  <c r="C110" i="2"/>
  <c r="C102" i="2"/>
  <c r="F100" i="2"/>
  <c r="F101" i="2" s="1"/>
  <c r="F103" i="2" s="1"/>
  <c r="F104" i="2" s="1"/>
  <c r="E100" i="2"/>
  <c r="D100" i="2"/>
  <c r="C100" i="2"/>
  <c r="C101" i="2" s="1"/>
  <c r="C103" i="2" s="1"/>
  <c r="K97" i="2"/>
  <c r="L97" i="2" s="1"/>
  <c r="M97" i="2" s="1"/>
  <c r="L95" i="2"/>
  <c r="M95" i="2" s="1"/>
  <c r="J93" i="2"/>
  <c r="I93" i="2"/>
  <c r="K98" i="2" s="1"/>
  <c r="L98" i="2" s="1"/>
  <c r="M98" i="2" s="1"/>
  <c r="K92" i="2"/>
  <c r="L92" i="2" s="1"/>
  <c r="M92" i="2" s="1"/>
  <c r="M93" i="2" s="1"/>
  <c r="M99" i="2" s="1"/>
  <c r="J92" i="2"/>
  <c r="I92" i="2"/>
  <c r="G92" i="2"/>
  <c r="F92" i="2"/>
  <c r="N91" i="2"/>
  <c r="J91" i="2"/>
  <c r="H91" i="2"/>
  <c r="G91" i="2"/>
  <c r="G93" i="2" s="1"/>
  <c r="J96" i="2" s="1"/>
  <c r="K96" i="2" s="1"/>
  <c r="L96" i="2" s="1"/>
  <c r="M96" i="2" s="1"/>
  <c r="F91" i="2"/>
  <c r="F93" i="2" s="1"/>
  <c r="J95" i="2" s="1"/>
  <c r="K95" i="2" s="1"/>
  <c r="E91" i="2"/>
  <c r="L90" i="2"/>
  <c r="L91" i="2" s="1"/>
  <c r="K90" i="2"/>
  <c r="K91" i="2" s="1"/>
  <c r="J90" i="2"/>
  <c r="I90" i="2"/>
  <c r="I91" i="2" s="1"/>
  <c r="D83" i="2"/>
  <c r="M82" i="2"/>
  <c r="L82" i="2"/>
  <c r="K82" i="2"/>
  <c r="J82" i="2"/>
  <c r="I82" i="2"/>
  <c r="E80" i="2"/>
  <c r="D80" i="2"/>
  <c r="C80" i="2"/>
  <c r="K72" i="2"/>
  <c r="K77" i="2" s="1"/>
  <c r="L77" i="2" s="1"/>
  <c r="M77" i="2" s="1"/>
  <c r="I72" i="2"/>
  <c r="I75" i="2" s="1"/>
  <c r="J75" i="2" s="1"/>
  <c r="K75" i="2" s="1"/>
  <c r="L75" i="2" s="1"/>
  <c r="M75" i="2" s="1"/>
  <c r="M71" i="2"/>
  <c r="L71" i="2"/>
  <c r="K71" i="2"/>
  <c r="J71" i="2"/>
  <c r="G71" i="2"/>
  <c r="I71" i="2" s="1"/>
  <c r="L70" i="2"/>
  <c r="K70" i="2"/>
  <c r="J70" i="2"/>
  <c r="I70" i="2"/>
  <c r="G70" i="2"/>
  <c r="G72" i="2" s="1"/>
  <c r="G74" i="2" s="1"/>
  <c r="I74" i="2" s="1"/>
  <c r="J74" i="2" s="1"/>
  <c r="K74" i="2" s="1"/>
  <c r="L74" i="2" s="1"/>
  <c r="M74" i="2" s="1"/>
  <c r="F70" i="2"/>
  <c r="M68" i="2"/>
  <c r="M70" i="2" s="1"/>
  <c r="M72" i="2" s="1"/>
  <c r="M79" i="2" s="1"/>
  <c r="L68" i="2"/>
  <c r="K68" i="2"/>
  <c r="J68" i="2"/>
  <c r="I68" i="2"/>
  <c r="G68" i="2"/>
  <c r="G82" i="2" s="1"/>
  <c r="F68" i="2"/>
  <c r="F82" i="2" s="1"/>
  <c r="H82" i="2" s="1"/>
  <c r="I59" i="2"/>
  <c r="G59" i="2"/>
  <c r="G60" i="2" s="1"/>
  <c r="F59" i="2"/>
  <c r="F60" i="2" s="1"/>
  <c r="E59" i="2"/>
  <c r="D59" i="2"/>
  <c r="M56" i="2"/>
  <c r="M58" i="2" s="1"/>
  <c r="L56" i="2"/>
  <c r="L58" i="2" s="1"/>
  <c r="K56" i="2"/>
  <c r="K58" i="2" s="1"/>
  <c r="J56" i="2"/>
  <c r="J58" i="2" s="1"/>
  <c r="I56" i="2"/>
  <c r="I58" i="2" s="1"/>
  <c r="J53" i="2"/>
  <c r="I53" i="2"/>
  <c r="H53" i="2"/>
  <c r="G53" i="2"/>
  <c r="F53" i="2"/>
  <c r="E53" i="2"/>
  <c r="D53" i="2"/>
  <c r="C53" i="2"/>
  <c r="C59" i="2" s="1"/>
  <c r="K50" i="2"/>
  <c r="K52" i="2" s="1"/>
  <c r="L52" i="2" s="1"/>
  <c r="M52" i="2" s="1"/>
  <c r="I50" i="2"/>
  <c r="I51" i="2" s="1"/>
  <c r="J51" i="2" s="1"/>
  <c r="K51" i="2" s="1"/>
  <c r="K49" i="2"/>
  <c r="N49" i="2" s="1"/>
  <c r="I49" i="2"/>
  <c r="D29" i="2"/>
  <c r="E29" i="2" s="1"/>
  <c r="F29" i="2" s="1"/>
  <c r="G29" i="2" s="1"/>
  <c r="I29" i="2" s="1"/>
  <c r="J29" i="2" s="1"/>
  <c r="K29" i="2" s="1"/>
  <c r="L29" i="2" s="1"/>
  <c r="M29" i="2" s="1"/>
  <c r="C27" i="2"/>
  <c r="C28" i="2" s="1"/>
  <c r="D28" i="2" s="1"/>
  <c r="E28" i="2" s="1"/>
  <c r="E26" i="2"/>
  <c r="F26" i="2" s="1"/>
  <c r="G26" i="2" s="1"/>
  <c r="I26" i="2" s="1"/>
  <c r="J26" i="2" s="1"/>
  <c r="K26" i="2" s="1"/>
  <c r="L26" i="2" s="1"/>
  <c r="M26" i="2" s="1"/>
  <c r="M27" i="2" s="1"/>
  <c r="M37" i="2" s="1"/>
  <c r="D26" i="2"/>
  <c r="M25" i="2"/>
  <c r="L25" i="2"/>
  <c r="K25" i="2"/>
  <c r="J25" i="2"/>
  <c r="I25" i="2"/>
  <c r="N25" i="2" s="1"/>
  <c r="G25" i="2"/>
  <c r="F25" i="2"/>
  <c r="E25" i="2"/>
  <c r="D25" i="2"/>
  <c r="D27" i="2" s="1"/>
  <c r="C25" i="2"/>
  <c r="J13" i="2"/>
  <c r="K13" i="2" s="1"/>
  <c r="L13" i="2" s="1"/>
  <c r="M13" i="2" s="1"/>
  <c r="D12" i="2"/>
  <c r="E12" i="2" s="1"/>
  <c r="F12" i="2" s="1"/>
  <c r="G12" i="2" s="1"/>
  <c r="I12" i="2" s="1"/>
  <c r="J12" i="2" s="1"/>
  <c r="K12" i="2" s="1"/>
  <c r="L12" i="2" s="1"/>
  <c r="M12" i="2" s="1"/>
  <c r="C11" i="2"/>
  <c r="C21" i="2" s="1"/>
  <c r="E10" i="2"/>
  <c r="E13" i="2" s="1"/>
  <c r="F13" i="2" s="1"/>
  <c r="G13" i="2" s="1"/>
  <c r="I13" i="2" s="1"/>
  <c r="D10" i="2"/>
  <c r="C10" i="2"/>
  <c r="E9" i="2"/>
  <c r="F9" i="2" s="1"/>
  <c r="G9" i="2" s="1"/>
  <c r="I9" i="2" s="1"/>
  <c r="J9" i="2" s="1"/>
  <c r="D9" i="2"/>
  <c r="M8" i="2"/>
  <c r="L8" i="2"/>
  <c r="K8" i="2"/>
  <c r="J8" i="2"/>
  <c r="I8" i="2"/>
  <c r="G8" i="2"/>
  <c r="F8" i="2"/>
  <c r="E8" i="2"/>
  <c r="D8" i="2"/>
  <c r="C8" i="2"/>
  <c r="D13" i="1"/>
  <c r="D12" i="1"/>
  <c r="D11" i="1"/>
  <c r="D10" i="1"/>
  <c r="M127" i="2" l="1"/>
  <c r="L129" i="2"/>
  <c r="L138" i="2" s="1"/>
  <c r="M138" i="2" s="1"/>
  <c r="K9" i="2"/>
  <c r="L9" i="2" s="1"/>
  <c r="M9" i="2" s="1"/>
  <c r="J10" i="2"/>
  <c r="J17" i="2" s="1"/>
  <c r="K17" i="2" s="1"/>
  <c r="L17" i="2" s="1"/>
  <c r="M17" i="2" s="1"/>
  <c r="F28" i="2"/>
  <c r="C38" i="2"/>
  <c r="I61" i="2"/>
  <c r="I60" i="2"/>
  <c r="D38" i="2"/>
  <c r="J59" i="2"/>
  <c r="F61" i="2"/>
  <c r="F62" i="2" s="1"/>
  <c r="F63" i="2" s="1"/>
  <c r="E83" i="2"/>
  <c r="C83" i="2"/>
  <c r="L93" i="2"/>
  <c r="F102" i="2"/>
  <c r="F105" i="2" s="1"/>
  <c r="G61" i="2"/>
  <c r="G62" i="2" s="1"/>
  <c r="G63" i="2" s="1"/>
  <c r="F72" i="2"/>
  <c r="F73" i="2" s="1"/>
  <c r="D11" i="2"/>
  <c r="C104" i="2"/>
  <c r="M129" i="2"/>
  <c r="M139" i="2" s="1"/>
  <c r="D61" i="2"/>
  <c r="D62" i="2" s="1"/>
  <c r="D60" i="2"/>
  <c r="D63" i="2" s="1"/>
  <c r="H70" i="2"/>
  <c r="M10" i="2"/>
  <c r="M20" i="2" s="1"/>
  <c r="E61" i="2"/>
  <c r="E62" i="2" s="1"/>
  <c r="E60" i="2"/>
  <c r="E63" i="2" s="1"/>
  <c r="J172" i="2"/>
  <c r="I174" i="2"/>
  <c r="I177" i="2" s="1"/>
  <c r="N8" i="2"/>
  <c r="D85" i="2"/>
  <c r="D86" i="2" s="1"/>
  <c r="D84" i="2"/>
  <c r="D87" i="2" s="1"/>
  <c r="C140" i="2"/>
  <c r="D130" i="2"/>
  <c r="K10" i="2"/>
  <c r="K18" i="2" s="1"/>
  <c r="L18" i="2" s="1"/>
  <c r="M18" i="2" s="1"/>
  <c r="F27" i="2"/>
  <c r="F31" i="2" s="1"/>
  <c r="G31" i="2" s="1"/>
  <c r="I31" i="2" s="1"/>
  <c r="J31" i="2" s="1"/>
  <c r="K31" i="2" s="1"/>
  <c r="L31" i="2" s="1"/>
  <c r="M31" i="2" s="1"/>
  <c r="H25" i="2"/>
  <c r="G27" i="2"/>
  <c r="G32" i="2" s="1"/>
  <c r="I32" i="2" s="1"/>
  <c r="J32" i="2" s="1"/>
  <c r="K32" i="2" s="1"/>
  <c r="L32" i="2" s="1"/>
  <c r="M32" i="2" s="1"/>
  <c r="J27" i="2"/>
  <c r="J34" i="2" s="1"/>
  <c r="K34" i="2" s="1"/>
  <c r="L34" i="2" s="1"/>
  <c r="M34" i="2" s="1"/>
  <c r="L10" i="2"/>
  <c r="L19" i="2" s="1"/>
  <c r="M19" i="2" s="1"/>
  <c r="L51" i="2"/>
  <c r="K53" i="2"/>
  <c r="K151" i="2"/>
  <c r="J153" i="2"/>
  <c r="J160" i="2" s="1"/>
  <c r="K160" i="2" s="1"/>
  <c r="L160" i="2" s="1"/>
  <c r="M160" i="2" s="1"/>
  <c r="N58" i="2"/>
  <c r="C112" i="2"/>
  <c r="C113" i="2" s="1"/>
  <c r="H152" i="2"/>
  <c r="C153" i="2"/>
  <c r="C154" i="2" s="1"/>
  <c r="C212" i="2"/>
  <c r="C211" i="2"/>
  <c r="J72" i="2"/>
  <c r="J76" i="2" s="1"/>
  <c r="K76" i="2" s="1"/>
  <c r="L76" i="2" s="1"/>
  <c r="M76" i="2" s="1"/>
  <c r="I27" i="2"/>
  <c r="I33" i="2" s="1"/>
  <c r="J33" i="2" s="1"/>
  <c r="K33" i="2" s="1"/>
  <c r="L33" i="2" s="1"/>
  <c r="M33" i="2" s="1"/>
  <c r="E110" i="2"/>
  <c r="D216" i="2"/>
  <c r="F141" i="2"/>
  <c r="F129" i="2"/>
  <c r="F133" i="2" s="1"/>
  <c r="G133" i="2" s="1"/>
  <c r="I133" i="2" s="1"/>
  <c r="J133" i="2" s="1"/>
  <c r="K133" i="2" s="1"/>
  <c r="L133" i="2" s="1"/>
  <c r="M133" i="2" s="1"/>
  <c r="D153" i="2"/>
  <c r="D155" i="2" s="1"/>
  <c r="E155" i="2" s="1"/>
  <c r="F155" i="2" s="1"/>
  <c r="G155" i="2" s="1"/>
  <c r="I155" i="2" s="1"/>
  <c r="J155" i="2" s="1"/>
  <c r="K155" i="2" s="1"/>
  <c r="L155" i="2" s="1"/>
  <c r="M155" i="2" s="1"/>
  <c r="D211" i="2"/>
  <c r="D214" i="2" s="1"/>
  <c r="D212" i="2"/>
  <c r="D213" i="2" s="1"/>
  <c r="F10" i="2"/>
  <c r="F14" i="2" s="1"/>
  <c r="G14" i="2" s="1"/>
  <c r="I14" i="2" s="1"/>
  <c r="J14" i="2" s="1"/>
  <c r="K14" i="2" s="1"/>
  <c r="L14" i="2" s="1"/>
  <c r="M14" i="2" s="1"/>
  <c r="H8" i="2"/>
  <c r="K27" i="2"/>
  <c r="K35" i="2" s="1"/>
  <c r="L35" i="2" s="1"/>
  <c r="M35" i="2" s="1"/>
  <c r="G141" i="2"/>
  <c r="G129" i="2"/>
  <c r="G134" i="2" s="1"/>
  <c r="I134" i="2" s="1"/>
  <c r="J134" i="2" s="1"/>
  <c r="K134" i="2" s="1"/>
  <c r="L134" i="2" s="1"/>
  <c r="M134" i="2" s="1"/>
  <c r="N198" i="2"/>
  <c r="I200" i="2"/>
  <c r="C61" i="2"/>
  <c r="C60" i="2"/>
  <c r="I129" i="2"/>
  <c r="I135" i="2" s="1"/>
  <c r="J135" i="2" s="1"/>
  <c r="K135" i="2" s="1"/>
  <c r="L135" i="2" s="1"/>
  <c r="M135" i="2" s="1"/>
  <c r="I141" i="2"/>
  <c r="N128" i="2"/>
  <c r="E93" i="2"/>
  <c r="G94" i="2" s="1"/>
  <c r="E101" i="2"/>
  <c r="J141" i="2"/>
  <c r="J129" i="2"/>
  <c r="J136" i="2" s="1"/>
  <c r="K136" i="2" s="1"/>
  <c r="L136" i="2" s="1"/>
  <c r="M136" i="2" s="1"/>
  <c r="G216" i="2"/>
  <c r="G10" i="2"/>
  <c r="G15" i="2" s="1"/>
  <c r="I15" i="2" s="1"/>
  <c r="J15" i="2" s="1"/>
  <c r="K15" i="2" s="1"/>
  <c r="L15" i="2" s="1"/>
  <c r="M15" i="2" s="1"/>
  <c r="L27" i="2"/>
  <c r="L36" i="2" s="1"/>
  <c r="M36" i="2" s="1"/>
  <c r="N82" i="2"/>
  <c r="C105" i="2"/>
  <c r="D112" i="2"/>
  <c r="D114" i="2" s="1"/>
  <c r="E114" i="2" s="1"/>
  <c r="F114" i="2" s="1"/>
  <c r="G114" i="2" s="1"/>
  <c r="I114" i="2" s="1"/>
  <c r="J114" i="2" s="1"/>
  <c r="K114" i="2" s="1"/>
  <c r="L114" i="2" s="1"/>
  <c r="M114" i="2" s="1"/>
  <c r="I153" i="2"/>
  <c r="I159" i="2" s="1"/>
  <c r="J159" i="2" s="1"/>
  <c r="K159" i="2" s="1"/>
  <c r="L159" i="2" s="1"/>
  <c r="M159" i="2" s="1"/>
  <c r="N152" i="2"/>
  <c r="G174" i="2"/>
  <c r="G177" i="2" s="1"/>
  <c r="G178" i="2" s="1"/>
  <c r="G183" i="2" s="1"/>
  <c r="I183" i="2" s="1"/>
  <c r="J183" i="2" s="1"/>
  <c r="K183" i="2" s="1"/>
  <c r="L183" i="2" s="1"/>
  <c r="M183" i="2" s="1"/>
  <c r="H177" i="2"/>
  <c r="D9" i="1"/>
  <c r="N227" i="2"/>
  <c r="N70" i="2"/>
  <c r="J199" i="2"/>
  <c r="F200" i="2"/>
  <c r="E211" i="2"/>
  <c r="E214" i="2" s="1"/>
  <c r="L72" i="2"/>
  <c r="L78" i="2" s="1"/>
  <c r="M78" i="2" s="1"/>
  <c r="E153" i="2"/>
  <c r="E156" i="2" s="1"/>
  <c r="F156" i="2" s="1"/>
  <c r="G156" i="2" s="1"/>
  <c r="I156" i="2" s="1"/>
  <c r="J156" i="2" s="1"/>
  <c r="K156" i="2" s="1"/>
  <c r="L156" i="2" s="1"/>
  <c r="M156" i="2" s="1"/>
  <c r="I10" i="2"/>
  <c r="I16" i="2" s="1"/>
  <c r="J16" i="2" s="1"/>
  <c r="K16" i="2" s="1"/>
  <c r="L16" i="2" s="1"/>
  <c r="M16" i="2" s="1"/>
  <c r="D101" i="2"/>
  <c r="C178" i="2"/>
  <c r="C179" i="2" s="1"/>
  <c r="E216" i="2"/>
  <c r="E27" i="2"/>
  <c r="E30" i="2" s="1"/>
  <c r="F30" i="2" s="1"/>
  <c r="G30" i="2" s="1"/>
  <c r="I30" i="2" s="1"/>
  <c r="J30" i="2" s="1"/>
  <c r="K30" i="2" s="1"/>
  <c r="L30" i="2" s="1"/>
  <c r="M30" i="2" s="1"/>
  <c r="K93" i="2"/>
  <c r="K129" i="2"/>
  <c r="K137" i="2" s="1"/>
  <c r="L137" i="2" s="1"/>
  <c r="M137" i="2" s="1"/>
  <c r="G153" i="2"/>
  <c r="G158" i="2" s="1"/>
  <c r="I158" i="2" s="1"/>
  <c r="J158" i="2" s="1"/>
  <c r="K158" i="2" s="1"/>
  <c r="L158" i="2" s="1"/>
  <c r="M158" i="2" s="1"/>
  <c r="F174" i="2"/>
  <c r="F177" i="2" s="1"/>
  <c r="F178" i="2" s="1"/>
  <c r="F182" i="2" s="1"/>
  <c r="G182" i="2" s="1"/>
  <c r="I182" i="2" s="1"/>
  <c r="J182" i="2" s="1"/>
  <c r="K182" i="2" s="1"/>
  <c r="L182" i="2" s="1"/>
  <c r="M182" i="2" s="1"/>
  <c r="G210" i="2"/>
  <c r="C216" i="2"/>
  <c r="C142" i="2"/>
  <c r="C141" i="2"/>
  <c r="H128" i="2"/>
  <c r="D129" i="2"/>
  <c r="D131" i="2" s="1"/>
  <c r="E131" i="2" s="1"/>
  <c r="F131" i="2" s="1"/>
  <c r="G131" i="2" s="1"/>
  <c r="I131" i="2" s="1"/>
  <c r="J131" i="2" s="1"/>
  <c r="K131" i="2" s="1"/>
  <c r="L131" i="2" s="1"/>
  <c r="M131" i="2" s="1"/>
  <c r="E129" i="2"/>
  <c r="E132" i="2" s="1"/>
  <c r="F132" i="2" s="1"/>
  <c r="G132" i="2" s="1"/>
  <c r="I132" i="2" s="1"/>
  <c r="J132" i="2" s="1"/>
  <c r="K132" i="2" s="1"/>
  <c r="L132" i="2" s="1"/>
  <c r="M132" i="2" s="1"/>
  <c r="H209" i="2"/>
  <c r="F210" i="2"/>
  <c r="E200" i="2"/>
  <c r="I201" i="2" s="1"/>
  <c r="E11" i="2" l="1"/>
  <c r="D21" i="2"/>
  <c r="C164" i="2"/>
  <c r="D154" i="2"/>
  <c r="D142" i="2"/>
  <c r="C85" i="2"/>
  <c r="C84" i="2"/>
  <c r="E38" i="2"/>
  <c r="C117" i="2"/>
  <c r="D113" i="2"/>
  <c r="I178" i="2"/>
  <c r="I184" i="2" s="1"/>
  <c r="J184" i="2" s="1"/>
  <c r="K184" i="2" s="1"/>
  <c r="L184" i="2" s="1"/>
  <c r="M184" i="2" s="1"/>
  <c r="D103" i="2"/>
  <c r="D102" i="2"/>
  <c r="J200" i="2"/>
  <c r="K199" i="2"/>
  <c r="H60" i="2"/>
  <c r="E103" i="2"/>
  <c r="E104" i="2" s="1"/>
  <c r="E102" i="2"/>
  <c r="E105" i="2" s="1"/>
  <c r="C62" i="2"/>
  <c r="H62" i="2" s="1"/>
  <c r="H61" i="2"/>
  <c r="C214" i="2"/>
  <c r="H141" i="2"/>
  <c r="I62" i="2"/>
  <c r="I63" i="2" s="1"/>
  <c r="I209" i="2"/>
  <c r="J201" i="2"/>
  <c r="C144" i="2"/>
  <c r="C143" i="2"/>
  <c r="D140" i="2"/>
  <c r="E130" i="2"/>
  <c r="F212" i="2"/>
  <c r="F213" i="2" s="1"/>
  <c r="F211" i="2"/>
  <c r="F214" i="2" s="1"/>
  <c r="I216" i="2"/>
  <c r="E85" i="2"/>
  <c r="E86" i="2" s="1"/>
  <c r="E84" i="2"/>
  <c r="L53" i="2"/>
  <c r="M51" i="2"/>
  <c r="M53" i="2" s="1"/>
  <c r="G212" i="2"/>
  <c r="G213" i="2" s="1"/>
  <c r="G211" i="2"/>
  <c r="G214" i="2" s="1"/>
  <c r="K59" i="2"/>
  <c r="D179" i="2"/>
  <c r="C189" i="2"/>
  <c r="N141" i="2"/>
  <c r="K172" i="2"/>
  <c r="J174" i="2"/>
  <c r="J177" i="2" s="1"/>
  <c r="G100" i="2"/>
  <c r="I94" i="2"/>
  <c r="C213" i="2"/>
  <c r="G73" i="2"/>
  <c r="F80" i="2"/>
  <c r="L151" i="2"/>
  <c r="K153" i="2"/>
  <c r="K161" i="2" s="1"/>
  <c r="L161" i="2" s="1"/>
  <c r="M161" i="2" s="1"/>
  <c r="D20" i="1"/>
  <c r="C39" i="2"/>
  <c r="G28" i="2"/>
  <c r="F38" i="2"/>
  <c r="E112" i="2"/>
  <c r="E115" i="2" s="1"/>
  <c r="F115" i="2" s="1"/>
  <c r="G115" i="2" s="1"/>
  <c r="I115" i="2" s="1"/>
  <c r="J115" i="2" s="1"/>
  <c r="K115" i="2" s="1"/>
  <c r="L115" i="2" s="1"/>
  <c r="M115" i="2" s="1"/>
  <c r="F110" i="2"/>
  <c r="J61" i="2"/>
  <c r="J62" i="2" s="1"/>
  <c r="J60" i="2"/>
  <c r="J63" i="2" s="1"/>
  <c r="L199" i="2" l="1"/>
  <c r="K200" i="2"/>
  <c r="J202" i="2"/>
  <c r="K202" i="2" s="1"/>
  <c r="L202" i="2" s="1"/>
  <c r="M202" i="2" s="1"/>
  <c r="J204" i="2"/>
  <c r="K204" i="2" s="1"/>
  <c r="L204" i="2" s="1"/>
  <c r="M204" i="2" s="1"/>
  <c r="J203" i="2"/>
  <c r="K203" i="2" s="1"/>
  <c r="L203" i="2" s="1"/>
  <c r="M203" i="2" s="1"/>
  <c r="C190" i="2"/>
  <c r="C87" i="2"/>
  <c r="E179" i="2"/>
  <c r="D189" i="2"/>
  <c r="D104" i="2"/>
  <c r="C217" i="2"/>
  <c r="K60" i="2"/>
  <c r="K61" i="2"/>
  <c r="K62" i="2" s="1"/>
  <c r="H211" i="2"/>
  <c r="H80" i="2"/>
  <c r="F83" i="2"/>
  <c r="G83" i="2"/>
  <c r="F130" i="2"/>
  <c r="E140" i="2"/>
  <c r="D144" i="2"/>
  <c r="D145" i="2" s="1"/>
  <c r="D143" i="2"/>
  <c r="D146" i="2" s="1"/>
  <c r="G80" i="2"/>
  <c r="I73" i="2"/>
  <c r="H213" i="2"/>
  <c r="N53" i="2"/>
  <c r="M59" i="2"/>
  <c r="C145" i="2"/>
  <c r="C165" i="2"/>
  <c r="J94" i="2"/>
  <c r="I100" i="2"/>
  <c r="K201" i="2"/>
  <c r="D39" i="2"/>
  <c r="G101" i="2"/>
  <c r="H100" i="2"/>
  <c r="E87" i="2"/>
  <c r="I210" i="2"/>
  <c r="F11" i="2"/>
  <c r="E21" i="2"/>
  <c r="C41" i="2"/>
  <c r="C40" i="2"/>
  <c r="K174" i="2"/>
  <c r="K177" i="2" s="1"/>
  <c r="L172" i="2"/>
  <c r="C118" i="2"/>
  <c r="C218" i="2" s="1"/>
  <c r="D105" i="2"/>
  <c r="C86" i="2"/>
  <c r="L153" i="2"/>
  <c r="L162" i="2" s="1"/>
  <c r="M162" i="2" s="1"/>
  <c r="M151" i="2"/>
  <c r="M153" i="2" s="1"/>
  <c r="M163" i="2" s="1"/>
  <c r="H214" i="2"/>
  <c r="H212" i="2"/>
  <c r="E154" i="2"/>
  <c r="D164" i="2"/>
  <c r="F112" i="2"/>
  <c r="F116" i="2" s="1"/>
  <c r="G116" i="2" s="1"/>
  <c r="I116" i="2" s="1"/>
  <c r="J116" i="2" s="1"/>
  <c r="K116" i="2" s="1"/>
  <c r="L116" i="2" s="1"/>
  <c r="M116" i="2" s="1"/>
  <c r="F216" i="2"/>
  <c r="H216" i="2" s="1"/>
  <c r="C25" i="1" s="1"/>
  <c r="I28" i="2"/>
  <c r="G38" i="2"/>
  <c r="H38" i="2" s="1"/>
  <c r="J178" i="2"/>
  <c r="J185" i="2" s="1"/>
  <c r="K185" i="2" s="1"/>
  <c r="L185" i="2" s="1"/>
  <c r="M185" i="2" s="1"/>
  <c r="J216" i="2"/>
  <c r="C63" i="2"/>
  <c r="H63" i="2" s="1"/>
  <c r="E113" i="2"/>
  <c r="D117" i="2"/>
  <c r="L59" i="2"/>
  <c r="L60" i="2" l="1"/>
  <c r="L61" i="2"/>
  <c r="D40" i="2"/>
  <c r="D41" i="2"/>
  <c r="D42" i="2" s="1"/>
  <c r="E165" i="2"/>
  <c r="F154" i="2"/>
  <c r="E164" i="2"/>
  <c r="I212" i="2"/>
  <c r="I211" i="2"/>
  <c r="J209" i="2"/>
  <c r="G84" i="2"/>
  <c r="G85" i="2"/>
  <c r="G86" i="2" s="1"/>
  <c r="M61" i="2"/>
  <c r="M62" i="2" s="1"/>
  <c r="M60" i="2"/>
  <c r="M63" i="2" s="1"/>
  <c r="F85" i="2"/>
  <c r="F84" i="2"/>
  <c r="M199" i="2"/>
  <c r="M200" i="2" s="1"/>
  <c r="L200" i="2"/>
  <c r="J101" i="2"/>
  <c r="I101" i="2"/>
  <c r="D190" i="2"/>
  <c r="C43" i="2"/>
  <c r="K94" i="2"/>
  <c r="J100" i="2"/>
  <c r="D165" i="2"/>
  <c r="C166" i="2"/>
  <c r="C167" i="2"/>
  <c r="K63" i="2"/>
  <c r="E142" i="2"/>
  <c r="D118" i="2"/>
  <c r="D218" i="2" s="1"/>
  <c r="K207" i="2"/>
  <c r="L207" i="2" s="1"/>
  <c r="M207" i="2" s="1"/>
  <c r="K206" i="2"/>
  <c r="L206" i="2" s="1"/>
  <c r="M206" i="2" s="1"/>
  <c r="K205" i="2"/>
  <c r="L205" i="2" s="1"/>
  <c r="M205" i="2" s="1"/>
  <c r="M172" i="2"/>
  <c r="M174" i="2" s="1"/>
  <c r="M177" i="2" s="1"/>
  <c r="L174" i="2"/>
  <c r="L177" i="2" s="1"/>
  <c r="K178" i="2"/>
  <c r="K186" i="2" s="1"/>
  <c r="L186" i="2" s="1"/>
  <c r="M186" i="2" s="1"/>
  <c r="K216" i="2"/>
  <c r="C192" i="2"/>
  <c r="C191" i="2"/>
  <c r="C42" i="2"/>
  <c r="E39" i="2"/>
  <c r="J73" i="2"/>
  <c r="I80" i="2"/>
  <c r="C120" i="2"/>
  <c r="C119" i="2"/>
  <c r="E117" i="2"/>
  <c r="F113" i="2"/>
  <c r="D217" i="2"/>
  <c r="F140" i="2"/>
  <c r="G130" i="2"/>
  <c r="E189" i="2"/>
  <c r="F179" i="2"/>
  <c r="L201" i="2"/>
  <c r="I38" i="2"/>
  <c r="J28" i="2"/>
  <c r="G102" i="2"/>
  <c r="G103" i="2"/>
  <c r="C146" i="2"/>
  <c r="G11" i="2"/>
  <c r="F21" i="2"/>
  <c r="F189" i="2" l="1"/>
  <c r="G179" i="2"/>
  <c r="I11" i="2"/>
  <c r="G21" i="2"/>
  <c r="C193" i="2"/>
  <c r="C194" i="2" s="1"/>
  <c r="E144" i="2"/>
  <c r="E143" i="2"/>
  <c r="G140" i="2"/>
  <c r="G142" i="2" s="1"/>
  <c r="I130" i="2"/>
  <c r="E190" i="2"/>
  <c r="F190" i="2"/>
  <c r="D192" i="2"/>
  <c r="D193" i="2" s="1"/>
  <c r="D191" i="2"/>
  <c r="D194" i="2" s="1"/>
  <c r="D43" i="2"/>
  <c r="G104" i="2"/>
  <c r="H104" i="2" s="1"/>
  <c r="H103" i="2"/>
  <c r="F142" i="2"/>
  <c r="I83" i="2"/>
  <c r="J83" i="2"/>
  <c r="I103" i="2"/>
  <c r="I102" i="2"/>
  <c r="G87" i="2"/>
  <c r="G105" i="2"/>
  <c r="H105" i="2" s="1"/>
  <c r="H102" i="2"/>
  <c r="H140" i="2"/>
  <c r="K73" i="2"/>
  <c r="J80" i="2"/>
  <c r="C168" i="2"/>
  <c r="L62" i="2"/>
  <c r="N62" i="2" s="1"/>
  <c r="N61" i="2"/>
  <c r="J38" i="2"/>
  <c r="K28" i="2"/>
  <c r="L178" i="2"/>
  <c r="L187" i="2" s="1"/>
  <c r="M187" i="2" s="1"/>
  <c r="L216" i="2"/>
  <c r="N177" i="2"/>
  <c r="J210" i="2"/>
  <c r="L210" i="2"/>
  <c r="N209" i="2"/>
  <c r="M210" i="2"/>
  <c r="N60" i="2"/>
  <c r="G113" i="2"/>
  <c r="F117" i="2"/>
  <c r="E40" i="2"/>
  <c r="E41" i="2"/>
  <c r="E42" i="2" s="1"/>
  <c r="M178" i="2"/>
  <c r="M188" i="2" s="1"/>
  <c r="M216" i="2"/>
  <c r="N216" i="2" s="1"/>
  <c r="J103" i="2"/>
  <c r="J104" i="2" s="1"/>
  <c r="J102" i="2"/>
  <c r="J105" i="2" s="1"/>
  <c r="F39" i="2"/>
  <c r="M201" i="2"/>
  <c r="M209" i="2" s="1"/>
  <c r="L209" i="2"/>
  <c r="E217" i="2"/>
  <c r="D167" i="2"/>
  <c r="D168" i="2" s="1"/>
  <c r="D166" i="2"/>
  <c r="D169" i="2" s="1"/>
  <c r="K209" i="2"/>
  <c r="K210" i="2" s="1"/>
  <c r="I213" i="2"/>
  <c r="I214" i="2" s="1"/>
  <c r="E118" i="2"/>
  <c r="L94" i="2"/>
  <c r="K100" i="2"/>
  <c r="G39" i="2"/>
  <c r="C121" i="2"/>
  <c r="F87" i="2"/>
  <c r="H87" i="2" s="1"/>
  <c r="H84" i="2"/>
  <c r="F164" i="2"/>
  <c r="G154" i="2"/>
  <c r="D120" i="2"/>
  <c r="D121" i="2" s="1"/>
  <c r="D119" i="2"/>
  <c r="D122" i="2" s="1"/>
  <c r="C219" i="2"/>
  <c r="F86" i="2"/>
  <c r="H86" i="2" s="1"/>
  <c r="H85" i="2"/>
  <c r="E167" i="2"/>
  <c r="E168" i="2" s="1"/>
  <c r="E166" i="2"/>
  <c r="E169" i="2" s="1"/>
  <c r="K212" i="2" l="1"/>
  <c r="K213" i="2" s="1"/>
  <c r="K211" i="2"/>
  <c r="G143" i="2"/>
  <c r="G144" i="2"/>
  <c r="G145" i="2" s="1"/>
  <c r="G190" i="2"/>
  <c r="E120" i="2"/>
  <c r="E119" i="2"/>
  <c r="E219" i="2" s="1"/>
  <c r="M211" i="2"/>
  <c r="M212" i="2"/>
  <c r="M213" i="2" s="1"/>
  <c r="J84" i="2"/>
  <c r="J87" i="2" s="1"/>
  <c r="J85" i="2"/>
  <c r="J86" i="2" s="1"/>
  <c r="L211" i="2"/>
  <c r="L212" i="2"/>
  <c r="L213" i="2" s="1"/>
  <c r="F192" i="2"/>
  <c r="F193" i="2" s="1"/>
  <c r="F191" i="2"/>
  <c r="F194" i="2" s="1"/>
  <c r="J11" i="2"/>
  <c r="I21" i="2"/>
  <c r="J212" i="2"/>
  <c r="J211" i="2"/>
  <c r="I84" i="2"/>
  <c r="I85" i="2"/>
  <c r="E192" i="2"/>
  <c r="E191" i="2"/>
  <c r="I179" i="2"/>
  <c r="G189" i="2"/>
  <c r="H189" i="2" s="1"/>
  <c r="E43" i="2"/>
  <c r="C169" i="2"/>
  <c r="K80" i="2"/>
  <c r="L73" i="2"/>
  <c r="J130" i="2"/>
  <c r="I140" i="2"/>
  <c r="F144" i="2"/>
  <c r="F145" i="2" s="1"/>
  <c r="F143" i="2"/>
  <c r="F146" i="2" s="1"/>
  <c r="N100" i="2"/>
  <c r="M101" i="2"/>
  <c r="L101" i="2"/>
  <c r="K101" i="2"/>
  <c r="F118" i="2"/>
  <c r="G118" i="2"/>
  <c r="F217" i="2"/>
  <c r="M94" i="2"/>
  <c r="M100" i="2" s="1"/>
  <c r="L100" i="2"/>
  <c r="G117" i="2"/>
  <c r="I113" i="2"/>
  <c r="D220" i="2"/>
  <c r="G41" i="2"/>
  <c r="G42" i="2" s="1"/>
  <c r="G40" i="2"/>
  <c r="G164" i="2"/>
  <c r="H164" i="2" s="1"/>
  <c r="I154" i="2"/>
  <c r="C122" i="2"/>
  <c r="K38" i="2"/>
  <c r="L28" i="2"/>
  <c r="D219" i="2"/>
  <c r="E146" i="2"/>
  <c r="H143" i="2"/>
  <c r="H117" i="2"/>
  <c r="E218" i="2"/>
  <c r="H21" i="2"/>
  <c r="F165" i="2"/>
  <c r="F40" i="2"/>
  <c r="F41" i="2"/>
  <c r="F42" i="2" s="1"/>
  <c r="H42" i="2" s="1"/>
  <c r="F218" i="2"/>
  <c r="L63" i="2"/>
  <c r="N63" i="2" s="1"/>
  <c r="I104" i="2"/>
  <c r="I105" i="2" s="1"/>
  <c r="E145" i="2"/>
  <c r="N211" i="2" l="1"/>
  <c r="K83" i="2"/>
  <c r="M83" i="2"/>
  <c r="J213" i="2"/>
  <c r="N213" i="2" s="1"/>
  <c r="N212" i="2"/>
  <c r="F119" i="2"/>
  <c r="F122" i="2" s="1"/>
  <c r="F120" i="2"/>
  <c r="F121" i="2" s="1"/>
  <c r="I39" i="2"/>
  <c r="J39" i="2"/>
  <c r="F43" i="2"/>
  <c r="H40" i="2"/>
  <c r="K11" i="2"/>
  <c r="J21" i="2"/>
  <c r="G191" i="2"/>
  <c r="G192" i="2"/>
  <c r="G193" i="2" s="1"/>
  <c r="F166" i="2"/>
  <c r="F167" i="2"/>
  <c r="M103" i="2"/>
  <c r="M104" i="2" s="1"/>
  <c r="M102" i="2"/>
  <c r="M105" i="2" s="1"/>
  <c r="G165" i="2"/>
  <c r="H41" i="2"/>
  <c r="G217" i="2"/>
  <c r="H217" i="2" s="1"/>
  <c r="J179" i="2"/>
  <c r="I189" i="2"/>
  <c r="H144" i="2"/>
  <c r="J113" i="2"/>
  <c r="I117" i="2"/>
  <c r="E194" i="2"/>
  <c r="G146" i="2"/>
  <c r="H146" i="2" s="1"/>
  <c r="H145" i="2"/>
  <c r="L38" i="2"/>
  <c r="N38" i="2" s="1"/>
  <c r="M28" i="2"/>
  <c r="M38" i="2" s="1"/>
  <c r="E193" i="2"/>
  <c r="L214" i="2"/>
  <c r="J154" i="2"/>
  <c r="I164" i="2"/>
  <c r="L80" i="2"/>
  <c r="L83" i="2" s="1"/>
  <c r="M73" i="2"/>
  <c r="M80" i="2" s="1"/>
  <c r="M214" i="2"/>
  <c r="K102" i="2"/>
  <c r="K103" i="2"/>
  <c r="I142" i="2"/>
  <c r="I86" i="2"/>
  <c r="I87" i="2" s="1"/>
  <c r="K214" i="2"/>
  <c r="G119" i="2"/>
  <c r="G120" i="2"/>
  <c r="G121" i="2" s="1"/>
  <c r="G43" i="2"/>
  <c r="E121" i="2"/>
  <c r="L103" i="2"/>
  <c r="L104" i="2" s="1"/>
  <c r="L102" i="2"/>
  <c r="L105" i="2" s="1"/>
  <c r="N80" i="2"/>
  <c r="C220" i="2"/>
  <c r="K130" i="2"/>
  <c r="J140" i="2"/>
  <c r="L84" i="2" l="1"/>
  <c r="L85" i="2"/>
  <c r="L86" i="2" s="1"/>
  <c r="K104" i="2"/>
  <c r="N104" i="2" s="1"/>
  <c r="N103" i="2"/>
  <c r="G166" i="2"/>
  <c r="G167" i="2"/>
  <c r="G168" i="2" s="1"/>
  <c r="K105" i="2"/>
  <c r="N105" i="2" s="1"/>
  <c r="N102" i="2"/>
  <c r="M85" i="2"/>
  <c r="M86" i="2" s="1"/>
  <c r="M84" i="2"/>
  <c r="M87" i="2" s="1"/>
  <c r="I118" i="2"/>
  <c r="F168" i="2"/>
  <c r="H167" i="2"/>
  <c r="K85" i="2"/>
  <c r="K84" i="2"/>
  <c r="I144" i="2"/>
  <c r="I143" i="2"/>
  <c r="K142" i="2"/>
  <c r="J165" i="2"/>
  <c r="I165" i="2"/>
  <c r="H120" i="2"/>
  <c r="K154" i="2"/>
  <c r="J164" i="2"/>
  <c r="I190" i="2"/>
  <c r="J190" i="2"/>
  <c r="G194" i="2"/>
  <c r="H194" i="2" s="1"/>
  <c r="J41" i="2"/>
  <c r="J42" i="2" s="1"/>
  <c r="J40" i="2"/>
  <c r="J214" i="2"/>
  <c r="N214" i="2" s="1"/>
  <c r="H121" i="2"/>
  <c r="J189" i="2"/>
  <c r="K179" i="2"/>
  <c r="H119" i="2"/>
  <c r="I41" i="2"/>
  <c r="I40" i="2"/>
  <c r="G218" i="2"/>
  <c r="E122" i="2"/>
  <c r="J142" i="2"/>
  <c r="H192" i="2"/>
  <c r="H191" i="2"/>
  <c r="F219" i="2"/>
  <c r="K113" i="2"/>
  <c r="J117" i="2"/>
  <c r="H193" i="2"/>
  <c r="K21" i="2"/>
  <c r="L11" i="2"/>
  <c r="I217" i="2"/>
  <c r="K140" i="2"/>
  <c r="L130" i="2"/>
  <c r="G122" i="2"/>
  <c r="G219" i="2"/>
  <c r="H43" i="2"/>
  <c r="L21" i="2" l="1"/>
  <c r="M11" i="2"/>
  <c r="M21" i="2" s="1"/>
  <c r="J43" i="2"/>
  <c r="I145" i="2"/>
  <c r="H122" i="2"/>
  <c r="E220" i="2"/>
  <c r="K86" i="2"/>
  <c r="N86" i="2" s="1"/>
  <c r="N85" i="2"/>
  <c r="H168" i="2"/>
  <c r="K164" i="2"/>
  <c r="L154" i="2"/>
  <c r="L39" i="2"/>
  <c r="K39" i="2"/>
  <c r="M39" i="2"/>
  <c r="J143" i="2"/>
  <c r="J144" i="2"/>
  <c r="J145" i="2" s="1"/>
  <c r="N84" i="2"/>
  <c r="I167" i="2"/>
  <c r="I166" i="2"/>
  <c r="K117" i="2"/>
  <c r="L113" i="2"/>
  <c r="I42" i="2"/>
  <c r="I43" i="2" s="1"/>
  <c r="J166" i="2"/>
  <c r="J169" i="2" s="1"/>
  <c r="J167" i="2"/>
  <c r="J168" i="2" s="1"/>
  <c r="G169" i="2"/>
  <c r="G220" i="2" s="1"/>
  <c r="H219" i="2"/>
  <c r="I218" i="2"/>
  <c r="I120" i="2"/>
  <c r="I119" i="2"/>
  <c r="J118" i="2"/>
  <c r="L179" i="2"/>
  <c r="K189" i="2"/>
  <c r="J192" i="2"/>
  <c r="J193" i="2" s="1"/>
  <c r="J191" i="2"/>
  <c r="J194" i="2" s="1"/>
  <c r="K118" i="2"/>
  <c r="L140" i="2"/>
  <c r="L142" i="2" s="1"/>
  <c r="M130" i="2"/>
  <c r="M140" i="2" s="1"/>
  <c r="N140" i="2" s="1"/>
  <c r="I192" i="2"/>
  <c r="I191" i="2"/>
  <c r="K143" i="2"/>
  <c r="K144" i="2"/>
  <c r="K145" i="2" s="1"/>
  <c r="L87" i="2"/>
  <c r="J217" i="2"/>
  <c r="M142" i="2"/>
  <c r="H166" i="2"/>
  <c r="F169" i="2"/>
  <c r="M144" i="2" l="1"/>
  <c r="M145" i="2" s="1"/>
  <c r="M143" i="2"/>
  <c r="M146" i="2" s="1"/>
  <c r="J146" i="2"/>
  <c r="N145" i="2"/>
  <c r="M190" i="2"/>
  <c r="L190" i="2"/>
  <c r="K190" i="2"/>
  <c r="L117" i="2"/>
  <c r="N117" i="2" s="1"/>
  <c r="M113" i="2"/>
  <c r="M117" i="2" s="1"/>
  <c r="K41" i="2"/>
  <c r="K40" i="2"/>
  <c r="L189" i="2"/>
  <c r="M179" i="2"/>
  <c r="M189" i="2" s="1"/>
  <c r="N189" i="2" s="1"/>
  <c r="L41" i="2"/>
  <c r="L42" i="2" s="1"/>
  <c r="L40" i="2"/>
  <c r="J119" i="2"/>
  <c r="J120" i="2"/>
  <c r="J121" i="2" s="1"/>
  <c r="J218" i="2"/>
  <c r="K217" i="2"/>
  <c r="N143" i="2"/>
  <c r="K146" i="2"/>
  <c r="L164" i="2"/>
  <c r="L165" i="2" s="1"/>
  <c r="M154" i="2"/>
  <c r="M164" i="2" s="1"/>
  <c r="N164" i="2" s="1"/>
  <c r="I146" i="2"/>
  <c r="N146" i="2" s="1"/>
  <c r="I194" i="2"/>
  <c r="I121" i="2"/>
  <c r="I219" i="2"/>
  <c r="K165" i="2"/>
  <c r="I193" i="2"/>
  <c r="I169" i="2"/>
  <c r="H169" i="2"/>
  <c r="F220" i="2"/>
  <c r="N21" i="2"/>
  <c r="I168" i="2"/>
  <c r="K119" i="2"/>
  <c r="K120" i="2"/>
  <c r="K121" i="2" s="1"/>
  <c r="M41" i="2"/>
  <c r="M42" i="2" s="1"/>
  <c r="M40" i="2"/>
  <c r="L118" i="2"/>
  <c r="N144" i="2"/>
  <c r="L144" i="2"/>
  <c r="L145" i="2" s="1"/>
  <c r="L143" i="2"/>
  <c r="L146" i="2" s="1"/>
  <c r="K87" i="2"/>
  <c r="N87" i="2" s="1"/>
  <c r="H220" i="2"/>
  <c r="L166" i="2" l="1"/>
  <c r="L169" i="2" s="1"/>
  <c r="L167" i="2"/>
  <c r="L168" i="2" s="1"/>
  <c r="L218" i="2"/>
  <c r="M43" i="2"/>
  <c r="L217" i="2"/>
  <c r="L192" i="2"/>
  <c r="L193" i="2" s="1"/>
  <c r="L191" i="2"/>
  <c r="L194" i="2" s="1"/>
  <c r="M192" i="2"/>
  <c r="M193" i="2" s="1"/>
  <c r="M191" i="2"/>
  <c r="K122" i="2"/>
  <c r="M217" i="2"/>
  <c r="N217" i="2" s="1"/>
  <c r="M165" i="2"/>
  <c r="I122" i="2"/>
  <c r="K219" i="2"/>
  <c r="K43" i="2"/>
  <c r="N40" i="2"/>
  <c r="K166" i="2"/>
  <c r="K167" i="2"/>
  <c r="K42" i="2"/>
  <c r="N42" i="2" s="1"/>
  <c r="N41" i="2"/>
  <c r="M118" i="2"/>
  <c r="L120" i="2"/>
  <c r="L119" i="2"/>
  <c r="K192" i="2"/>
  <c r="K191" i="2"/>
  <c r="J122" i="2"/>
  <c r="J220" i="2" s="1"/>
  <c r="J219" i="2"/>
  <c r="L219" i="2"/>
  <c r="L43" i="2"/>
  <c r="K218" i="2"/>
  <c r="J231" i="2" l="1"/>
  <c r="J229" i="2"/>
  <c r="C10" i="1" s="1"/>
  <c r="E10" i="1" s="1"/>
  <c r="F10" i="1" s="1"/>
  <c r="N43" i="2"/>
  <c r="N191" i="2"/>
  <c r="I220" i="2"/>
  <c r="L122" i="2"/>
  <c r="L220" i="2" s="1"/>
  <c r="M120" i="2"/>
  <c r="M121" i="2" s="1"/>
  <c r="M119" i="2"/>
  <c r="M218" i="2"/>
  <c r="N119" i="2"/>
  <c r="M194" i="2"/>
  <c r="K193" i="2"/>
  <c r="N193" i="2" s="1"/>
  <c r="N192" i="2"/>
  <c r="M167" i="2"/>
  <c r="M168" i="2" s="1"/>
  <c r="M166" i="2"/>
  <c r="M169" i="2" s="1"/>
  <c r="L121" i="2"/>
  <c r="K168" i="2"/>
  <c r="N168" i="2" s="1"/>
  <c r="N167" i="2"/>
  <c r="L229" i="2" l="1"/>
  <c r="C12" i="1" s="1"/>
  <c r="E12" i="1" s="1"/>
  <c r="F12" i="1" s="1"/>
  <c r="N121" i="2"/>
  <c r="K194" i="2"/>
  <c r="N194" i="2" s="1"/>
  <c r="N120" i="2"/>
  <c r="I229" i="2"/>
  <c r="N166" i="2"/>
  <c r="K169" i="2"/>
  <c r="M122" i="2"/>
  <c r="M220" i="2" s="1"/>
  <c r="M219" i="2"/>
  <c r="N219" i="2" s="1"/>
  <c r="M229" i="2" l="1"/>
  <c r="C13" i="1" s="1"/>
  <c r="E13" i="1" s="1"/>
  <c r="F13" i="1" s="1"/>
  <c r="N169" i="2"/>
  <c r="K220" i="2"/>
  <c r="N122" i="2"/>
  <c r="C9" i="1"/>
  <c r="I231" i="2"/>
  <c r="L231" i="2"/>
  <c r="E9" i="1" l="1"/>
  <c r="F9" i="1" s="1"/>
  <c r="K229" i="2"/>
  <c r="N220" i="2"/>
  <c r="M231" i="2"/>
  <c r="C11" i="1" l="1"/>
  <c r="N229" i="2"/>
  <c r="K231" i="2"/>
  <c r="N231" i="2" l="1"/>
  <c r="N232" i="2"/>
  <c r="E11" i="1"/>
  <c r="F11" i="1" s="1"/>
  <c r="C20" i="1"/>
  <c r="E20" i="1" s="1"/>
  <c r="F20" i="1" s="1"/>
</calcChain>
</file>

<file path=xl/sharedStrings.xml><?xml version="1.0" encoding="utf-8"?>
<sst xmlns="http://schemas.openxmlformats.org/spreadsheetml/2006/main" count="320" uniqueCount="144">
  <si>
    <t>Table B - Capital Related Revenue Requirement from 1-Staff-8</t>
  </si>
  <si>
    <t>Capital Related Revenue Requirement</t>
  </si>
  <si>
    <t>Year</t>
  </si>
  <si>
    <t>Required Revenue Requirement</t>
  </si>
  <si>
    <t>Proposed Revenue Requirement</t>
  </si>
  <si>
    <t>Stretch</t>
  </si>
  <si>
    <t>$000</t>
  </si>
  <si>
    <t>%</t>
  </si>
  <si>
    <t>2026-2030</t>
  </si>
  <si>
    <t>Required</t>
  </si>
  <si>
    <t>Proposed</t>
  </si>
  <si>
    <t>Stretch $</t>
  </si>
  <si>
    <t>Average Stretch %</t>
  </si>
  <si>
    <t>2021-2025</t>
  </si>
  <si>
    <t>Capital Expenditures</t>
  </si>
  <si>
    <t xml:space="preserve">Revenue Requirement supporting calculations for Productivity Benefits </t>
  </si>
  <si>
    <t>Debt</t>
  </si>
  <si>
    <t>Initiative</t>
  </si>
  <si>
    <t>Short Term</t>
  </si>
  <si>
    <t>Long Term</t>
  </si>
  <si>
    <t>ROE</t>
  </si>
  <si>
    <t xml:space="preserve">Tax Rate </t>
  </si>
  <si>
    <t>2021-
2025</t>
  </si>
  <si>
    <t>2026-
2030</t>
  </si>
  <si>
    <t xml:space="preserve">Deemed </t>
  </si>
  <si>
    <t>3.1.1 Distribution Capital Program Delivery Optimization</t>
  </si>
  <si>
    <t>[Methodology]</t>
  </si>
  <si>
    <t>2021-2023</t>
  </si>
  <si>
    <t>Rates</t>
  </si>
  <si>
    <t>Regular Time</t>
  </si>
  <si>
    <t>2024-2025</t>
  </si>
  <si>
    <t xml:space="preserve">Capital Program Regular Labour Without Efficiency; </t>
  </si>
  <si>
    <t>A</t>
  </si>
  <si>
    <t>Capital Program Regular Labour Efficiency</t>
  </si>
  <si>
    <t>B</t>
  </si>
  <si>
    <t>3.1.1 Distribution Capital Program Delivery Optimization  - Capital Program Regular Labour Savings</t>
  </si>
  <si>
    <r>
      <rPr>
        <sz val="10"/>
        <color rgb="FF000000"/>
        <rFont val="Arial"/>
      </rPr>
      <t>Capital Expense (</t>
    </r>
    <r>
      <rPr>
        <sz val="10"/>
        <color rgb="FF000000"/>
        <rFont val="Arial"/>
      </rPr>
      <t>A-B</t>
    </r>
    <r>
      <rPr>
        <sz val="10"/>
        <color rgb="FF000000"/>
        <rFont val="Arial"/>
      </rPr>
      <t>) = C</t>
    </r>
  </si>
  <si>
    <t>Estimated useful life (years)</t>
  </si>
  <si>
    <t>D</t>
  </si>
  <si>
    <t xml:space="preserve">3.1.1 Distribution Capital Program Delivery Optimization </t>
  </si>
  <si>
    <t>Full Year Depreciation = C/D</t>
  </si>
  <si>
    <t>2021 depn carried forward</t>
  </si>
  <si>
    <t>2022 depn carried forward</t>
  </si>
  <si>
    <t>2023 depn carried forward</t>
  </si>
  <si>
    <t>2024 depn carried forward</t>
  </si>
  <si>
    <t>2025 depn carried forward</t>
  </si>
  <si>
    <t>2026 depn carried forward</t>
  </si>
  <si>
    <t>2027 depn carried forward</t>
  </si>
  <si>
    <t>2028 depn carried forward</t>
  </si>
  <si>
    <t>2029 depn carried forward</t>
  </si>
  <si>
    <t>2030 depn carried forward</t>
  </si>
  <si>
    <t>Total Annual Dep</t>
  </si>
  <si>
    <t>Overtime</t>
  </si>
  <si>
    <t>Capital Program Overtime Labour Without Efficiency</t>
  </si>
  <si>
    <t>E</t>
  </si>
  <si>
    <t>Capital Program Overtime Labour Efficiency</t>
  </si>
  <si>
    <t>F</t>
  </si>
  <si>
    <t>3.1.1 Distribution Capital Program Delivery Optimization  - Capital Program Overtime Labour Savings</t>
  </si>
  <si>
    <r>
      <rPr>
        <sz val="10"/>
        <color rgb="FF000000"/>
        <rFont val="Arial"/>
      </rPr>
      <t>Capital Expense (</t>
    </r>
    <r>
      <rPr>
        <sz val="10"/>
        <color rgb="FF000000"/>
        <rFont val="Arial"/>
      </rPr>
      <t>E-F</t>
    </r>
    <r>
      <rPr>
        <sz val="10"/>
        <color rgb="FF000000"/>
        <rFont val="Arial"/>
      </rPr>
      <t>) = G</t>
    </r>
  </si>
  <si>
    <t>H</t>
  </si>
  <si>
    <t>Full Year Depreciation = H/G</t>
  </si>
  <si>
    <t>RateBase</t>
  </si>
  <si>
    <t>Cost of Capital</t>
  </si>
  <si>
    <t>PILs Adjustment - Based on ROE Change</t>
  </si>
  <si>
    <t>Grossed-up PILs</t>
  </si>
  <si>
    <t>Revenue Requirement</t>
  </si>
  <si>
    <t>3.1.2 Fleet Pooling</t>
  </si>
  <si>
    <t>Savings by year ($) - 2026 representing 17 Light Duty, 2028 representing 4 Heavy Duty</t>
  </si>
  <si>
    <t>Estimated useful life (years) - 10 years for light duty</t>
  </si>
  <si>
    <t>Estimated useful life (years) - 13.5 average for Heavy Duty</t>
  </si>
  <si>
    <t xml:space="preserve">3.1.2 Fleet Pooling </t>
  </si>
  <si>
    <t>Capital Expense (A)</t>
  </si>
  <si>
    <t xml:space="preserve">Full Year Depreciation = A/B </t>
  </si>
  <si>
    <t xml:space="preserve">OMA Pooling Savings estimated on operating costs per vehicles includes fuel  and contracted services
</t>
  </si>
  <si>
    <t>C</t>
  </si>
  <si>
    <t>Number of vehicles saving due to pooling</t>
  </si>
  <si>
    <t>Annual OMA pooling savings</t>
  </si>
  <si>
    <t>C*D = E</t>
  </si>
  <si>
    <t>Less annual cost to support pooling (i.e. subscription cost)</t>
  </si>
  <si>
    <t>OM&amp;A = E - F</t>
  </si>
  <si>
    <t>3.1.4 Service Layout Process Improvements</t>
  </si>
  <si>
    <t>Hours per year</t>
  </si>
  <si>
    <t>Hourly rate ($)</t>
  </si>
  <si>
    <t xml:space="preserve">Annual </t>
  </si>
  <si>
    <t>A*B = C</t>
  </si>
  <si>
    <t>Assumption: 60% to capital expenditures</t>
  </si>
  <si>
    <t xml:space="preserve">3.1.4 Service Layout Process Improvements </t>
  </si>
  <si>
    <t>Capital Expense (C x D) = E</t>
  </si>
  <si>
    <t>Full Year Depreciation = E/F</t>
  </si>
  <si>
    <t>Assumption: 40% to Services to Third Parties</t>
  </si>
  <si>
    <t>G</t>
  </si>
  <si>
    <t>Services to Third Parties = C * G</t>
  </si>
  <si>
    <t>3.1.5 Major Projects Consulting Procurement</t>
  </si>
  <si>
    <t>Savings based on projected avoided design costs by utilizing similar station design elements which developed various process efficiencies.</t>
  </si>
  <si>
    <t xml:space="preserve">3.1.5 Major Projects Consulting Procurement </t>
  </si>
  <si>
    <t xml:space="preserve">Estimated useful life (years) </t>
  </si>
  <si>
    <t>2023 CapEx depn starting 2025 and carried forward</t>
  </si>
  <si>
    <t>2024 CapEx depn starting 2027 and carried forward</t>
  </si>
  <si>
    <t>2025 CapEx depn starting 2027 and carried forward</t>
  </si>
  <si>
    <t>2026 CapEx depn starting 2028 and carried forward - Stn1</t>
  </si>
  <si>
    <t>2026 CapEx depn starting 2028 and carried forward - Stn2</t>
  </si>
  <si>
    <t>3.1.6 Vendor and Supplier Engagement</t>
  </si>
  <si>
    <t>Material Costs as per FRED annual average increases</t>
  </si>
  <si>
    <t>Material Costs paid</t>
  </si>
  <si>
    <t xml:space="preserve">3.1.6 Vendor and Supplier Engagement </t>
  </si>
  <si>
    <t>Capital Expense (A-B) = C</t>
  </si>
  <si>
    <t>3.2.4 Customer Relationship Management (CRM) Platform Implementation</t>
  </si>
  <si>
    <t>Savings by year ($)</t>
  </si>
  <si>
    <t xml:space="preserve">3.2.4 Customer Relationship Management (CRM) Platform Implementation </t>
  </si>
  <si>
    <t>Capital Expense (A x B) = D</t>
  </si>
  <si>
    <t>Full Year Depreciation = D/C = E</t>
  </si>
  <si>
    <t>Services to Third Parties = A - D = F</t>
  </si>
  <si>
    <t>3.2.7 Blue Beam for Plant Inspectors</t>
  </si>
  <si>
    <t>Useful life (years)</t>
  </si>
  <si>
    <t xml:space="preserve">3.2.7 Blue Beam for Plant Inspectors </t>
  </si>
  <si>
    <t>Capital Expense = A x B = D</t>
  </si>
  <si>
    <t>Full Year Depreciation  = D/C = E</t>
  </si>
  <si>
    <t>3.2.10 Damage to Plant Process Automation</t>
  </si>
  <si>
    <t>Damage to plant cases per year</t>
  </si>
  <si>
    <t>Time saved per case (20 minutes per case = 0.33 of a hour)</t>
  </si>
  <si>
    <t>Total labour hours saved</t>
  </si>
  <si>
    <t>C = A x B</t>
  </si>
  <si>
    <t>Hourly labour rate ($)</t>
  </si>
  <si>
    <t xml:space="preserve">3.2.10 Damage to Plant Process Automation </t>
  </si>
  <si>
    <t>Capital Expense (C x D) = F</t>
  </si>
  <si>
    <t>Full Year Depreciation (F/E)</t>
  </si>
  <si>
    <t>3.3.1 Protection Relays Design Standard</t>
  </si>
  <si>
    <t>Optimized the placement of protection relays in substations, reducing wiring costs and eliminating the need for separate relay buildings.</t>
  </si>
  <si>
    <t>2023 CapEx depn starting 2026 and carried forward</t>
  </si>
  <si>
    <t>2027 CapEx depn starting 2027 and carried forward</t>
  </si>
  <si>
    <t>2028 CapEx depn starting 2028 and carried forward</t>
  </si>
  <si>
    <t>2029 CapEx depn starting after 2030</t>
  </si>
  <si>
    <t>Total Capital</t>
  </si>
  <si>
    <t>Depreciation</t>
  </si>
  <si>
    <t>Total RateBase</t>
  </si>
  <si>
    <t>Total Cost of Capital</t>
  </si>
  <si>
    <t>From Revenue Requirement models 1-Staff--1</t>
  </si>
  <si>
    <t>Amortization/Depreciation</t>
  </si>
  <si>
    <t>Deemed Interest Expense</t>
  </si>
  <si>
    <t>Return on Deemed Equity</t>
  </si>
  <si>
    <t>Income Taxes (Grossed up)</t>
  </si>
  <si>
    <t>Capital Related Revenue Requirement Proposed</t>
  </si>
  <si>
    <t>Capital Related Revenue Requirement Proposed - Without Productivity</t>
  </si>
  <si>
    <t>Table A – 2026-2030 Capital Related Revenue Requirement Savings ($’000s) from Schedule 1-3-1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</si>
</sst>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&quot;$&quot;#,##0"/>
    <numFmt numFmtId="165" formatCode="&quot;$&quot;#,##0.000"/>
    <numFmt numFmtId="166" formatCode="&quot;$&quot;#,##0.0"/>
    <numFmt numFmtId="167" formatCode="#,##0;\(#,##0\)"/>
    <numFmt numFmtId="168" formatCode="#,##0.00;\(#,##0.00\)"/>
  </numFmts>
  <fonts count="10" x14ac:knownFonts="1">
    <font>
      <sz val="10"/>
      <color rgb="FF000000"/>
      <name val="Arial"/>
      <scheme val="minor"/>
    </font>
    <font>
      <b/>
      <sz val="10"/>
      <color rgb="FF005B9B"/>
      <name val="Arial"/>
    </font>
    <font>
      <b/>
      <sz val="10"/>
      <color rgb="FFFFFFFF"/>
      <name val="Arial"/>
    </font>
    <font>
      <sz val="1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  <scheme val="minor"/>
    </font>
    <font>
      <b/>
      <sz val="10"/>
      <color theme="1"/>
      <name val="Arial"/>
    </font>
    <font>
      <i/>
      <sz val="10"/>
      <color theme="1"/>
      <name val="Arial"/>
    </font>
  </fonts>
  <fills count="7">
    <fill>
      <patternFill patternType="none"/>
    </fill>
    <fill>
      <patternFill patternType="gray125"/>
    </fill>
    <fill>
      <patternFill patternType="solid">
        <fgColor rgb="FF005B9B"/>
        <bgColor rgb="FF005B9B"/>
      </patternFill>
    </fill>
    <fill>
      <patternFill patternType="solid">
        <fgColor rgb="FFBBC7D6"/>
        <bgColor rgb="FFBBC7D6"/>
      </patternFill>
    </fill>
    <fill>
      <patternFill patternType="solid">
        <fgColor rgb="FFCFE2F3"/>
        <bgColor rgb="FFCFE2F3"/>
      </patternFill>
    </fill>
    <fill>
      <patternFill patternType="solid">
        <fgColor rgb="FFEFEFEF"/>
        <bgColor rgb="FFEFEFEF"/>
      </patternFill>
    </fill>
    <fill>
      <patternFill patternType="solid">
        <fgColor rgb="FFBFBFBF"/>
        <bgColor rgb="FFBFBFBF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44">
    <xf numFmtId="0" fontId="0" fillId="0" borderId="0" xfId="0" applyFont="1" applyAlignment="1"/>
    <xf numFmtId="0" fontId="4" fillId="3" borderId="5" xfId="0" applyFont="1" applyFill="1" applyBorder="1" applyAlignment="1">
      <alignment horizontal="center" vertical="center" wrapText="1"/>
    </xf>
    <xf numFmtId="6" fontId="4" fillId="3" borderId="7" xfId="0" quotePrefix="1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6" fontId="5" fillId="0" borderId="8" xfId="0" applyNumberFormat="1" applyFont="1" applyBorder="1" applyAlignment="1">
      <alignment horizontal="right" vertical="center" wrapText="1"/>
    </xf>
    <xf numFmtId="10" fontId="5" fillId="0" borderId="8" xfId="0" applyNumberFormat="1" applyFont="1" applyBorder="1" applyAlignment="1">
      <alignment horizontal="right" vertical="center" wrapText="1"/>
    </xf>
    <xf numFmtId="0" fontId="5" fillId="0" borderId="0" xfId="0" applyFont="1"/>
    <xf numFmtId="0" fontId="4" fillId="3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wrapText="1"/>
    </xf>
    <xf numFmtId="0" fontId="6" fillId="2" borderId="10" xfId="0" applyFont="1" applyFill="1" applyBorder="1"/>
    <xf numFmtId="0" fontId="6" fillId="2" borderId="11" xfId="0" applyFont="1" applyFill="1" applyBorder="1"/>
    <xf numFmtId="0" fontId="6" fillId="2" borderId="12" xfId="0" applyFont="1" applyFill="1" applyBorder="1"/>
    <xf numFmtId="0" fontId="7" fillId="0" borderId="0" xfId="0" applyFont="1" applyAlignment="1"/>
    <xf numFmtId="0" fontId="6" fillId="2" borderId="13" xfId="0" applyFont="1" applyFill="1" applyBorder="1" applyAlignment="1">
      <alignment wrapText="1"/>
    </xf>
    <xf numFmtId="0" fontId="6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9" fontId="5" fillId="0" borderId="0" xfId="0" applyNumberFormat="1" applyFont="1" applyAlignment="1"/>
    <xf numFmtId="9" fontId="5" fillId="0" borderId="0" xfId="0" applyNumberFormat="1" applyFont="1"/>
    <xf numFmtId="10" fontId="5" fillId="0" borderId="0" xfId="0" applyNumberFormat="1" applyFont="1" applyAlignment="1"/>
    <xf numFmtId="0" fontId="8" fillId="4" borderId="14" xfId="0" applyFont="1" applyFill="1" applyBorder="1" applyAlignment="1">
      <alignment vertical="top" wrapText="1"/>
    </xf>
    <xf numFmtId="0" fontId="8" fillId="4" borderId="14" xfId="0" applyFont="1" applyFill="1" applyBorder="1" applyAlignment="1">
      <alignment horizontal="center" vertical="top"/>
    </xf>
    <xf numFmtId="0" fontId="6" fillId="4" borderId="14" xfId="0" applyFont="1" applyFill="1" applyBorder="1" applyAlignment="1">
      <alignment vertical="top"/>
    </xf>
    <xf numFmtId="0" fontId="6" fillId="0" borderId="0" xfId="0" applyFont="1"/>
    <xf numFmtId="10" fontId="5" fillId="0" borderId="0" xfId="0" applyNumberFormat="1" applyFont="1"/>
    <xf numFmtId="0" fontId="6" fillId="0" borderId="15" xfId="0" applyFont="1" applyBorder="1" applyAlignment="1">
      <alignment wrapText="1"/>
    </xf>
    <xf numFmtId="0" fontId="6" fillId="0" borderId="15" xfId="0" applyFont="1" applyBorder="1" applyAlignment="1">
      <alignment vertical="top"/>
    </xf>
    <xf numFmtId="164" fontId="6" fillId="0" borderId="15" xfId="0" applyNumberFormat="1" applyFont="1" applyBorder="1"/>
    <xf numFmtId="0" fontId="6" fillId="0" borderId="8" xfId="0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164" fontId="6" fillId="0" borderId="8" xfId="0" applyNumberFormat="1" applyFont="1" applyBorder="1" applyAlignment="1">
      <alignment horizontal="right"/>
    </xf>
    <xf numFmtId="164" fontId="6" fillId="4" borderId="8" xfId="0" applyNumberFormat="1" applyFont="1" applyFill="1" applyBorder="1" applyAlignment="1">
      <alignment vertical="top"/>
    </xf>
    <xf numFmtId="164" fontId="6" fillId="0" borderId="8" xfId="0" applyNumberFormat="1" applyFont="1" applyBorder="1" applyAlignment="1">
      <alignment horizontal="right" vertical="top"/>
    </xf>
    <xf numFmtId="0" fontId="6" fillId="5" borderId="14" xfId="0" applyFont="1" applyFill="1" applyBorder="1" applyAlignment="1">
      <alignment vertical="top" wrapText="1"/>
    </xf>
    <xf numFmtId="0" fontId="6" fillId="5" borderId="14" xfId="0" applyFont="1" applyFill="1" applyBorder="1" applyAlignment="1">
      <alignment vertical="top"/>
    </xf>
    <xf numFmtId="164" fontId="6" fillId="5" borderId="14" xfId="0" applyNumberFormat="1" applyFont="1" applyFill="1" applyBorder="1" applyAlignment="1">
      <alignment horizontal="right" vertical="top"/>
    </xf>
    <xf numFmtId="164" fontId="6" fillId="4" borderId="8" xfId="0" applyNumberFormat="1" applyFont="1" applyFill="1" applyBorder="1" applyAlignment="1">
      <alignment horizontal="right" vertical="top"/>
    </xf>
    <xf numFmtId="3" fontId="6" fillId="0" borderId="8" xfId="0" applyNumberFormat="1" applyFont="1" applyBorder="1" applyAlignment="1">
      <alignment horizontal="right" vertical="top"/>
    </xf>
    <xf numFmtId="3" fontId="6" fillId="4" borderId="8" xfId="0" applyNumberFormat="1" applyFont="1" applyFill="1" applyBorder="1" applyAlignment="1">
      <alignment vertical="top"/>
    </xf>
    <xf numFmtId="165" fontId="6" fillId="4" borderId="8" xfId="0" applyNumberFormat="1" applyFont="1" applyFill="1" applyBorder="1" applyAlignment="1">
      <alignment vertical="top"/>
    </xf>
    <xf numFmtId="0" fontId="6" fillId="5" borderId="8" xfId="0" applyFont="1" applyFill="1" applyBorder="1" applyAlignment="1">
      <alignment vertical="top" wrapText="1"/>
    </xf>
    <xf numFmtId="166" fontId="6" fillId="4" borderId="8" xfId="0" applyNumberFormat="1" applyFont="1" applyFill="1" applyBorder="1" applyAlignment="1">
      <alignment vertical="top"/>
    </xf>
    <xf numFmtId="0" fontId="6" fillId="0" borderId="0" xfId="0" applyFont="1" applyAlignment="1">
      <alignment wrapText="1"/>
    </xf>
    <xf numFmtId="0" fontId="9" fillId="0" borderId="8" xfId="0" applyFont="1" applyBorder="1" applyAlignment="1">
      <alignment vertical="top"/>
    </xf>
    <xf numFmtId="164" fontId="9" fillId="0" borderId="8" xfId="0" applyNumberFormat="1" applyFont="1" applyBorder="1" applyAlignment="1">
      <alignment horizontal="right" vertical="top"/>
    </xf>
    <xf numFmtId="164" fontId="6" fillId="0" borderId="8" xfId="0" applyNumberFormat="1" applyFont="1" applyBorder="1" applyAlignment="1">
      <alignment vertical="top"/>
    </xf>
    <xf numFmtId="0" fontId="6" fillId="0" borderId="0" xfId="0" applyFont="1" applyAlignment="1">
      <alignment vertical="top" wrapText="1"/>
    </xf>
    <xf numFmtId="165" fontId="6" fillId="0" borderId="15" xfId="0" applyNumberFormat="1" applyFont="1" applyBorder="1" applyAlignment="1">
      <alignment vertical="top"/>
    </xf>
    <xf numFmtId="165" fontId="6" fillId="4" borderId="14" xfId="0" applyNumberFormat="1" applyFont="1" applyFill="1" applyBorder="1" applyAlignment="1">
      <alignment vertical="top"/>
    </xf>
    <xf numFmtId="0" fontId="9" fillId="0" borderId="4" xfId="0" applyFont="1" applyBorder="1" applyAlignment="1">
      <alignment vertical="top"/>
    </xf>
    <xf numFmtId="164" fontId="6" fillId="0" borderId="4" xfId="0" applyNumberFormat="1" applyFont="1" applyBorder="1" applyAlignment="1">
      <alignment vertical="top"/>
    </xf>
    <xf numFmtId="164" fontId="6" fillId="4" borderId="5" xfId="0" applyNumberFormat="1" applyFont="1" applyFill="1" applyBorder="1" applyAlignment="1">
      <alignment vertical="top"/>
    </xf>
    <xf numFmtId="164" fontId="9" fillId="0" borderId="4" xfId="0" applyNumberFormat="1" applyFont="1" applyBorder="1" applyAlignment="1">
      <alignment horizontal="right" vertical="top"/>
    </xf>
    <xf numFmtId="0" fontId="6" fillId="0" borderId="3" xfId="0" applyFont="1" applyBorder="1" applyAlignment="1">
      <alignment wrapText="1"/>
    </xf>
    <xf numFmtId="0" fontId="6" fillId="5" borderId="12" xfId="0" applyFont="1" applyFill="1" applyBorder="1" applyAlignment="1">
      <alignment vertical="top"/>
    </xf>
    <xf numFmtId="164" fontId="6" fillId="5" borderId="12" xfId="0" applyNumberFormat="1" applyFont="1" applyFill="1" applyBorder="1" applyAlignment="1">
      <alignment horizontal="right" vertical="top"/>
    </xf>
    <xf numFmtId="0" fontId="6" fillId="6" borderId="14" xfId="0" applyFont="1" applyFill="1" applyBorder="1" applyAlignment="1">
      <alignment wrapText="1"/>
    </xf>
    <xf numFmtId="0" fontId="6" fillId="6" borderId="14" xfId="0" applyFont="1" applyFill="1" applyBorder="1" applyAlignment="1">
      <alignment vertical="top"/>
    </xf>
    <xf numFmtId="164" fontId="6" fillId="6" borderId="14" xfId="0" applyNumberFormat="1" applyFont="1" applyFill="1" applyBorder="1" applyAlignment="1">
      <alignment horizontal="right" vertical="top"/>
    </xf>
    <xf numFmtId="164" fontId="6" fillId="4" borderId="14" xfId="0" applyNumberFormat="1" applyFont="1" applyFill="1" applyBorder="1" applyAlignment="1">
      <alignment horizontal="right" vertical="top"/>
    </xf>
    <xf numFmtId="0" fontId="6" fillId="0" borderId="15" xfId="0" applyFont="1" applyBorder="1" applyAlignment="1">
      <alignment wrapText="1"/>
    </xf>
    <xf numFmtId="164" fontId="6" fillId="5" borderId="14" xfId="0" applyNumberFormat="1" applyFont="1" applyFill="1" applyBorder="1" applyAlignment="1">
      <alignment horizontal="right" vertical="top"/>
    </xf>
    <xf numFmtId="0" fontId="8" fillId="0" borderId="15" xfId="0" applyFont="1" applyBorder="1" applyAlignment="1">
      <alignment wrapText="1"/>
    </xf>
    <xf numFmtId="0" fontId="8" fillId="5" borderId="14" xfId="0" applyFont="1" applyFill="1" applyBorder="1" applyAlignment="1">
      <alignment vertical="top"/>
    </xf>
    <xf numFmtId="164" fontId="8" fillId="5" borderId="14" xfId="0" applyNumberFormat="1" applyFont="1" applyFill="1" applyBorder="1" applyAlignment="1">
      <alignment horizontal="right" vertical="top"/>
    </xf>
    <xf numFmtId="164" fontId="8" fillId="4" borderId="14" xfId="0" applyNumberFormat="1" applyFont="1" applyFill="1" applyBorder="1" applyAlignment="1">
      <alignment horizontal="right" vertical="top"/>
    </xf>
    <xf numFmtId="165" fontId="6" fillId="5" borderId="14" xfId="0" applyNumberFormat="1" applyFont="1" applyFill="1" applyBorder="1" applyAlignment="1">
      <alignment horizontal="right" vertical="top"/>
    </xf>
    <xf numFmtId="165" fontId="6" fillId="4" borderId="14" xfId="0" applyNumberFormat="1" applyFont="1" applyFill="1" applyBorder="1" applyAlignment="1">
      <alignment horizontal="right" vertical="top"/>
    </xf>
    <xf numFmtId="166" fontId="6" fillId="0" borderId="8" xfId="0" applyNumberFormat="1" applyFont="1" applyBorder="1"/>
    <xf numFmtId="164" fontId="6" fillId="0" borderId="8" xfId="0" applyNumberFormat="1" applyFont="1" applyBorder="1"/>
    <xf numFmtId="166" fontId="6" fillId="0" borderId="8" xfId="0" applyNumberFormat="1" applyFont="1" applyBorder="1" applyAlignment="1">
      <alignment vertical="top"/>
    </xf>
    <xf numFmtId="3" fontId="6" fillId="0" borderId="8" xfId="0" applyNumberFormat="1" applyFont="1" applyBorder="1" applyAlignment="1">
      <alignment vertical="top"/>
    </xf>
    <xf numFmtId="166" fontId="6" fillId="5" borderId="14" xfId="0" applyNumberFormat="1" applyFont="1" applyFill="1" applyBorder="1" applyAlignment="1">
      <alignment vertical="top"/>
    </xf>
    <xf numFmtId="164" fontId="6" fillId="5" borderId="14" xfId="0" applyNumberFormat="1" applyFont="1" applyFill="1" applyBorder="1" applyAlignment="1">
      <alignment vertical="top"/>
    </xf>
    <xf numFmtId="166" fontId="6" fillId="5" borderId="14" xfId="0" applyNumberFormat="1" applyFont="1" applyFill="1" applyBorder="1" applyAlignment="1">
      <alignment horizontal="right" vertical="top"/>
    </xf>
    <xf numFmtId="166" fontId="6" fillId="4" borderId="8" xfId="0" applyNumberFormat="1" applyFont="1" applyFill="1" applyBorder="1" applyAlignment="1">
      <alignment horizontal="right" vertical="top"/>
    </xf>
    <xf numFmtId="0" fontId="6" fillId="0" borderId="16" xfId="0" applyFont="1" applyBorder="1" applyAlignment="1">
      <alignment vertical="top" wrapText="1"/>
    </xf>
    <xf numFmtId="166" fontId="6" fillId="0" borderId="15" xfId="0" applyNumberFormat="1" applyFont="1" applyBorder="1" applyAlignment="1">
      <alignment vertical="top"/>
    </xf>
    <xf numFmtId="164" fontId="9" fillId="0" borderId="15" xfId="0" applyNumberFormat="1" applyFont="1" applyBorder="1" applyAlignment="1">
      <alignment horizontal="right" vertical="top"/>
    </xf>
    <xf numFmtId="164" fontId="6" fillId="0" borderId="15" xfId="0" applyNumberFormat="1" applyFont="1" applyBorder="1" applyAlignment="1">
      <alignment vertical="top"/>
    </xf>
    <xf numFmtId="3" fontId="6" fillId="0" borderId="8" xfId="0" applyNumberFormat="1" applyFont="1" applyBorder="1" applyAlignment="1">
      <alignment horizontal="right"/>
    </xf>
    <xf numFmtId="9" fontId="9" fillId="0" borderId="15" xfId="0" applyNumberFormat="1" applyFont="1" applyBorder="1" applyAlignment="1">
      <alignment horizontal="right" vertical="top"/>
    </xf>
    <xf numFmtId="9" fontId="9" fillId="0" borderId="8" xfId="0" applyNumberFormat="1" applyFont="1" applyBorder="1" applyAlignment="1">
      <alignment horizontal="right" vertical="top"/>
    </xf>
    <xf numFmtId="9" fontId="6" fillId="4" borderId="8" xfId="0" applyNumberFormat="1" applyFont="1" applyFill="1" applyBorder="1" applyAlignment="1">
      <alignment vertical="top"/>
    </xf>
    <xf numFmtId="164" fontId="6" fillId="4" borderId="14" xfId="0" applyNumberFormat="1" applyFont="1" applyFill="1" applyBorder="1" applyAlignment="1">
      <alignment vertical="top"/>
    </xf>
    <xf numFmtId="0" fontId="6" fillId="0" borderId="15" xfId="0" applyFont="1" applyBorder="1" applyAlignment="1">
      <alignment vertical="top" wrapText="1"/>
    </xf>
    <xf numFmtId="164" fontId="6" fillId="5" borderId="12" xfId="0" applyNumberFormat="1" applyFont="1" applyFill="1" applyBorder="1" applyAlignment="1">
      <alignment vertical="top"/>
    </xf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6" fillId="5" borderId="8" xfId="0" applyFont="1" applyFill="1" applyBorder="1" applyAlignment="1">
      <alignment vertical="top"/>
    </xf>
    <xf numFmtId="164" fontId="8" fillId="4" borderId="12" xfId="0" applyNumberFormat="1" applyFont="1" applyFill="1" applyBorder="1" applyAlignment="1">
      <alignment vertical="top" wrapText="1"/>
    </xf>
    <xf numFmtId="164" fontId="8" fillId="4" borderId="12" xfId="0" applyNumberFormat="1" applyFont="1" applyFill="1" applyBorder="1" applyAlignment="1">
      <alignment horizontal="center" vertical="top" wrapText="1"/>
    </xf>
    <xf numFmtId="164" fontId="6" fillId="4" borderId="12" xfId="0" applyNumberFormat="1" applyFont="1" applyFill="1" applyBorder="1" applyAlignment="1">
      <alignment vertical="top"/>
    </xf>
    <xf numFmtId="9" fontId="6" fillId="0" borderId="8" xfId="0" applyNumberFormat="1" applyFont="1" applyBorder="1" applyAlignment="1">
      <alignment horizontal="right" vertical="top" wrapText="1"/>
    </xf>
    <xf numFmtId="3" fontId="6" fillId="0" borderId="8" xfId="0" applyNumberFormat="1" applyFont="1" applyBorder="1" applyAlignment="1">
      <alignment horizontal="right" vertical="top" wrapText="1"/>
    </xf>
    <xf numFmtId="164" fontId="6" fillId="5" borderId="12" xfId="0" applyNumberFormat="1" applyFont="1" applyFill="1" applyBorder="1" applyAlignment="1">
      <alignment horizontal="right" vertical="top" wrapText="1"/>
    </xf>
    <xf numFmtId="164" fontId="6" fillId="4" borderId="8" xfId="0" applyNumberFormat="1" applyFont="1" applyFill="1" applyBorder="1" applyAlignment="1">
      <alignment horizontal="right" vertical="top" wrapText="1"/>
    </xf>
    <xf numFmtId="164" fontId="6" fillId="5" borderId="14" xfId="0" applyNumberFormat="1" applyFont="1" applyFill="1" applyBorder="1" applyAlignment="1">
      <alignment horizontal="right" vertical="top" wrapText="1"/>
    </xf>
    <xf numFmtId="0" fontId="8" fillId="4" borderId="12" xfId="0" applyFont="1" applyFill="1" applyBorder="1" applyAlignment="1">
      <alignment vertical="top" wrapText="1"/>
    </xf>
    <xf numFmtId="3" fontId="6" fillId="0" borderId="3" xfId="0" applyNumberFormat="1" applyFont="1" applyBorder="1" applyAlignment="1">
      <alignment horizontal="right" vertical="top" wrapText="1"/>
    </xf>
    <xf numFmtId="164" fontId="6" fillId="0" borderId="3" xfId="0" applyNumberFormat="1" applyFont="1" applyBorder="1" applyAlignment="1">
      <alignment horizontal="right" vertical="top" wrapText="1"/>
    </xf>
    <xf numFmtId="164" fontId="6" fillId="4" borderId="12" xfId="0" applyNumberFormat="1" applyFont="1" applyFill="1" applyBorder="1" applyAlignment="1">
      <alignment horizontal="right" vertical="top" wrapText="1"/>
    </xf>
    <xf numFmtId="0" fontId="6" fillId="0" borderId="18" xfId="0" applyFont="1" applyBorder="1" applyAlignment="1">
      <alignment vertical="top" wrapText="1"/>
    </xf>
    <xf numFmtId="167" fontId="6" fillId="0" borderId="3" xfId="0" applyNumberFormat="1" applyFont="1" applyBorder="1" applyAlignment="1">
      <alignment horizontal="right" vertical="top"/>
    </xf>
    <xf numFmtId="167" fontId="6" fillId="4" borderId="12" xfId="0" applyNumberFormat="1" applyFont="1" applyFill="1" applyBorder="1" applyAlignment="1">
      <alignment vertical="top"/>
    </xf>
    <xf numFmtId="168" fontId="6" fillId="0" borderId="3" xfId="0" applyNumberFormat="1" applyFont="1" applyBorder="1" applyAlignment="1">
      <alignment horizontal="right" vertical="top"/>
    </xf>
    <xf numFmtId="4" fontId="6" fillId="0" borderId="3" xfId="0" applyNumberFormat="1" applyFont="1" applyBorder="1" applyAlignment="1">
      <alignment horizontal="right" vertical="top"/>
    </xf>
    <xf numFmtId="3" fontId="6" fillId="0" borderId="3" xfId="0" applyNumberFormat="1" applyFont="1" applyBorder="1" applyAlignment="1">
      <alignment horizontal="right" vertical="top"/>
    </xf>
    <xf numFmtId="3" fontId="6" fillId="4" borderId="12" xfId="0" applyNumberFormat="1" applyFont="1" applyFill="1" applyBorder="1" applyAlignment="1">
      <alignment vertical="top"/>
    </xf>
    <xf numFmtId="164" fontId="6" fillId="0" borderId="3" xfId="0" applyNumberFormat="1" applyFont="1" applyBorder="1" applyAlignment="1">
      <alignment horizontal="right" vertical="top"/>
    </xf>
    <xf numFmtId="164" fontId="9" fillId="5" borderId="12" xfId="0" applyNumberFormat="1" applyFont="1" applyFill="1" applyBorder="1" applyAlignment="1">
      <alignment horizontal="right" vertical="top" wrapText="1"/>
    </xf>
    <xf numFmtId="0" fontId="8" fillId="4" borderId="12" xfId="0" applyFont="1" applyFill="1" applyBorder="1" applyAlignment="1">
      <alignment vertical="top" wrapText="1"/>
    </xf>
    <xf numFmtId="0" fontId="6" fillId="5" borderId="14" xfId="0" applyFont="1" applyFill="1" applyBorder="1" applyAlignment="1">
      <alignment vertical="top" wrapText="1"/>
    </xf>
    <xf numFmtId="166" fontId="9" fillId="0" borderId="8" xfId="0" applyNumberFormat="1" applyFont="1" applyBorder="1" applyAlignment="1">
      <alignment horizontal="right" vertical="top"/>
    </xf>
    <xf numFmtId="0" fontId="6" fillId="0" borderId="15" xfId="0" applyFont="1" applyBorder="1"/>
    <xf numFmtId="164" fontId="5" fillId="0" borderId="15" xfId="0" applyNumberFormat="1" applyFont="1" applyBorder="1"/>
    <xf numFmtId="164" fontId="6" fillId="4" borderId="15" xfId="0" applyNumberFormat="1" applyFont="1" applyFill="1" applyBorder="1" applyAlignment="1">
      <alignment horizontal="right" vertical="top"/>
    </xf>
    <xf numFmtId="0" fontId="6" fillId="0" borderId="8" xfId="0" applyFont="1" applyBorder="1" applyAlignment="1">
      <alignment wrapText="1"/>
    </xf>
    <xf numFmtId="0" fontId="6" fillId="0" borderId="8" xfId="0" applyFont="1" applyBorder="1"/>
    <xf numFmtId="164" fontId="5" fillId="0" borderId="8" xfId="0" applyNumberFormat="1" applyFont="1" applyBorder="1"/>
    <xf numFmtId="0" fontId="6" fillId="6" borderId="14" xfId="0" applyFont="1" applyFill="1" applyBorder="1" applyAlignment="1">
      <alignment wrapText="1"/>
    </xf>
    <xf numFmtId="0" fontId="5" fillId="0" borderId="0" xfId="0" applyFont="1" applyAlignment="1">
      <alignment wrapText="1"/>
    </xf>
    <xf numFmtId="164" fontId="6" fillId="0" borderId="0" xfId="0" applyNumberFormat="1" applyFont="1"/>
    <xf numFmtId="164" fontId="9" fillId="0" borderId="0" xfId="0" applyNumberFormat="1" applyFont="1" applyAlignment="1">
      <alignment horizontal="right" vertical="top"/>
    </xf>
    <xf numFmtId="0" fontId="4" fillId="0" borderId="0" xfId="0" applyFont="1" applyAlignment="1">
      <alignment wrapText="1"/>
    </xf>
    <xf numFmtId="164" fontId="8" fillId="5" borderId="8" xfId="0" applyNumberFormat="1" applyFont="1" applyFill="1" applyBorder="1" applyAlignment="1">
      <alignment horizontal="right" vertical="top"/>
    </xf>
    <xf numFmtId="164" fontId="8" fillId="5" borderId="19" xfId="0" applyNumberFormat="1" applyFont="1" applyFill="1" applyBorder="1" applyAlignment="1">
      <alignment horizontal="right" vertical="top"/>
    </xf>
    <xf numFmtId="6" fontId="5" fillId="0" borderId="0" xfId="0" applyNumberFormat="1" applyFont="1"/>
    <xf numFmtId="6" fontId="5" fillId="0" borderId="8" xfId="0" applyNumberFormat="1" applyFont="1" applyBorder="1" applyAlignment="1"/>
    <xf numFmtId="6" fontId="8" fillId="4" borderId="8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1" fillId="0" borderId="0" xfId="0" applyFont="1" applyAlignment="1">
      <alignment horizontal="center" wrapText="1"/>
    </xf>
    <xf numFmtId="0" fontId="5" fillId="2" borderId="4" xfId="0" applyFont="1" applyFill="1" applyBorder="1" applyAlignment="1">
      <alignment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001"/>
  <sheetViews>
    <sheetView tabSelected="1" workbookViewId="0">
      <selection activeCell="G12" sqref="G12"/>
    </sheetView>
  </sheetViews>
  <sheetFormatPr defaultColWidth="12.5703125" defaultRowHeight="15" customHeight="1" x14ac:dyDescent="0.2"/>
  <cols>
    <col min="1" max="1" width="8.5703125" customWidth="1"/>
    <col min="2" max="2" width="17.85546875" customWidth="1"/>
    <col min="3" max="3" width="13.42578125" customWidth="1"/>
    <col min="4" max="4" width="13.5703125" customWidth="1"/>
    <col min="5" max="5" width="12.140625" customWidth="1"/>
    <col min="6" max="8" width="8.5703125" customWidth="1"/>
    <col min="9" max="9" width="25.42578125" customWidth="1"/>
    <col min="10" max="14" width="12.42578125" customWidth="1"/>
    <col min="15" max="16" width="14.140625" customWidth="1"/>
    <col min="17" max="26" width="8.5703125" customWidth="1"/>
  </cols>
  <sheetData>
    <row r="1" spans="2:6" ht="12" customHeight="1" x14ac:dyDescent="0.2"/>
    <row r="2" spans="2:6" ht="12" customHeight="1" x14ac:dyDescent="0.2"/>
    <row r="3" spans="2:6" ht="12" customHeight="1" x14ac:dyDescent="0.2"/>
    <row r="4" spans="2:6" ht="12" customHeight="1" x14ac:dyDescent="0.2"/>
    <row r="5" spans="2:6" ht="12" customHeight="1" x14ac:dyDescent="0.2">
      <c r="B5" s="133" t="s">
        <v>0</v>
      </c>
      <c r="C5" s="134"/>
      <c r="D5" s="134"/>
      <c r="E5" s="134"/>
      <c r="F5" s="134"/>
    </row>
    <row r="6" spans="2:6" ht="12.75" customHeight="1" x14ac:dyDescent="0.2">
      <c r="B6" s="135" t="s">
        <v>1</v>
      </c>
      <c r="C6" s="136"/>
      <c r="D6" s="136"/>
      <c r="E6" s="136"/>
      <c r="F6" s="137"/>
    </row>
    <row r="7" spans="2:6" ht="12" customHeight="1" x14ac:dyDescent="0.2">
      <c r="B7" s="138" t="s">
        <v>2</v>
      </c>
      <c r="C7" s="1" t="s">
        <v>3</v>
      </c>
      <c r="D7" s="1" t="s">
        <v>4</v>
      </c>
      <c r="E7" s="1" t="s">
        <v>5</v>
      </c>
      <c r="F7" s="1" t="s">
        <v>5</v>
      </c>
    </row>
    <row r="8" spans="2:6" ht="12" customHeight="1" x14ac:dyDescent="0.2">
      <c r="B8" s="139"/>
      <c r="C8" s="2" t="s">
        <v>6</v>
      </c>
      <c r="D8" s="2" t="s">
        <v>6</v>
      </c>
      <c r="E8" s="2" t="s">
        <v>6</v>
      </c>
      <c r="F8" s="3" t="s">
        <v>7</v>
      </c>
    </row>
    <row r="9" spans="2:6" ht="12" customHeight="1" x14ac:dyDescent="0.2">
      <c r="B9" s="4">
        <v>2026</v>
      </c>
      <c r="C9" s="5">
        <f>+'Capital Related Productivity'!I229</f>
        <v>163925.0129248478</v>
      </c>
      <c r="D9" s="5">
        <f>+'Capital Related Productivity'!I227</f>
        <v>163111.90299999999</v>
      </c>
      <c r="E9" s="5">
        <f t="shared" ref="E9:E13" si="0">D9-C9</f>
        <v>-813.10992484781309</v>
      </c>
      <c r="F9" s="6">
        <f t="shared" ref="F9:F13" si="1">E9/C9</f>
        <v>-4.9602553651808294E-3</v>
      </c>
    </row>
    <row r="10" spans="2:6" ht="12" customHeight="1" x14ac:dyDescent="0.2">
      <c r="B10" s="4">
        <v>2027</v>
      </c>
      <c r="C10" s="5">
        <f>+'Capital Related Productivity'!J229</f>
        <v>181184.63503589484</v>
      </c>
      <c r="D10" s="5">
        <f>+'Capital Related Productivity'!J227</f>
        <v>179836.723</v>
      </c>
      <c r="E10" s="5">
        <f t="shared" si="0"/>
        <v>-1347.9120358948421</v>
      </c>
      <c r="F10" s="6">
        <f t="shared" si="1"/>
        <v>-7.4394389768635992E-3</v>
      </c>
    </row>
    <row r="11" spans="2:6" ht="12" customHeight="1" x14ac:dyDescent="0.2">
      <c r="B11" s="4">
        <v>2028</v>
      </c>
      <c r="C11" s="5">
        <f>+'Capital Related Productivity'!K229</f>
        <v>210023.67953695863</v>
      </c>
      <c r="D11" s="5">
        <f>+'Capital Related Productivity'!K227</f>
        <v>207880.94399999999</v>
      </c>
      <c r="E11" s="5">
        <f t="shared" si="0"/>
        <v>-2142.7355369586439</v>
      </c>
      <c r="F11" s="6">
        <f t="shared" si="1"/>
        <v>-1.0202352142781019E-2</v>
      </c>
    </row>
    <row r="12" spans="2:6" ht="12" customHeight="1" x14ac:dyDescent="0.2">
      <c r="B12" s="4">
        <v>2029</v>
      </c>
      <c r="C12" s="5">
        <f>+'Capital Related Productivity'!L229</f>
        <v>226826.37370360777</v>
      </c>
      <c r="D12" s="5">
        <f>+'Capital Related Productivity'!L227</f>
        <v>224291.826</v>
      </c>
      <c r="E12" s="5">
        <f t="shared" si="0"/>
        <v>-2534.5477036077646</v>
      </c>
      <c r="F12" s="6">
        <f t="shared" si="1"/>
        <v>-1.1173955048629565E-2</v>
      </c>
    </row>
    <row r="13" spans="2:6" ht="12" customHeight="1" x14ac:dyDescent="0.2">
      <c r="B13" s="4">
        <v>2030</v>
      </c>
      <c r="C13" s="5">
        <f>+'Capital Related Productivity'!M229</f>
        <v>242882.35740058337</v>
      </c>
      <c r="D13" s="5">
        <f>+'Capital Related Productivity'!M227</f>
        <v>239993.00899999999</v>
      </c>
      <c r="E13" s="5">
        <f t="shared" si="0"/>
        <v>-2889.3484005833743</v>
      </c>
      <c r="F13" s="6">
        <f t="shared" si="1"/>
        <v>-1.1896081837751607E-2</v>
      </c>
    </row>
    <row r="14" spans="2:6" ht="12" customHeight="1" x14ac:dyDescent="0.2"/>
    <row r="15" spans="2:6" ht="12" customHeight="1" x14ac:dyDescent="0.2"/>
    <row r="16" spans="2:6" ht="12" customHeight="1" x14ac:dyDescent="0.2"/>
    <row r="17" spans="2:16" ht="12" customHeight="1" x14ac:dyDescent="0.2">
      <c r="B17" s="140" t="s">
        <v>143</v>
      </c>
      <c r="C17" s="134"/>
      <c r="D17" s="134"/>
      <c r="E17" s="134"/>
      <c r="F17" s="134"/>
    </row>
    <row r="18" spans="2:16" ht="12.75" customHeight="1" x14ac:dyDescent="0.2">
      <c r="B18" s="141"/>
      <c r="C18" s="135" t="s">
        <v>8</v>
      </c>
      <c r="D18" s="136"/>
      <c r="E18" s="136"/>
      <c r="F18" s="137"/>
      <c r="I18" s="7"/>
      <c r="J18" s="7"/>
      <c r="K18" s="7"/>
      <c r="L18" s="7"/>
      <c r="M18" s="7"/>
      <c r="N18" s="7"/>
      <c r="O18" s="7"/>
      <c r="P18" s="7"/>
    </row>
    <row r="19" spans="2:16" ht="12" customHeight="1" x14ac:dyDescent="0.2">
      <c r="B19" s="139"/>
      <c r="C19" s="8" t="s">
        <v>9</v>
      </c>
      <c r="D19" s="8" t="s">
        <v>10</v>
      </c>
      <c r="E19" s="8" t="s">
        <v>11</v>
      </c>
      <c r="F19" s="8" t="s">
        <v>12</v>
      </c>
      <c r="I19" s="7"/>
      <c r="J19" s="7"/>
      <c r="K19" s="7"/>
      <c r="L19" s="7"/>
      <c r="M19" s="7"/>
      <c r="N19" s="7"/>
      <c r="O19" s="7"/>
      <c r="P19" s="7"/>
    </row>
    <row r="20" spans="2:16" ht="12" customHeight="1" x14ac:dyDescent="0.2">
      <c r="B20" s="9" t="s">
        <v>1</v>
      </c>
      <c r="C20" s="5">
        <f t="shared" ref="C20:D20" si="2">SUM(C9:C13)</f>
        <v>1024842.0586018923</v>
      </c>
      <c r="D20" s="5">
        <f t="shared" si="2"/>
        <v>1015114.4049999999</v>
      </c>
      <c r="E20" s="5">
        <f>D20-C20</f>
        <v>-9727.6536018924089</v>
      </c>
      <c r="F20" s="6">
        <f>E20/C20</f>
        <v>-9.4918563501999974E-3</v>
      </c>
      <c r="I20" s="7"/>
      <c r="J20" s="7"/>
      <c r="K20" s="7"/>
      <c r="L20" s="7"/>
      <c r="M20" s="7"/>
      <c r="N20" s="7"/>
      <c r="O20" s="7"/>
      <c r="P20" s="7"/>
    </row>
    <row r="21" spans="2:16" ht="12" customHeight="1" x14ac:dyDescent="0.2">
      <c r="I21" s="7"/>
      <c r="J21" s="7"/>
      <c r="K21" s="7"/>
      <c r="L21" s="7"/>
      <c r="M21" s="7"/>
      <c r="N21" s="7"/>
      <c r="O21" s="7"/>
      <c r="P21" s="7"/>
    </row>
    <row r="22" spans="2:16" ht="12" customHeight="1" x14ac:dyDescent="0.2">
      <c r="C22" s="7"/>
      <c r="I22" s="7"/>
      <c r="J22" s="7"/>
      <c r="K22" s="7"/>
      <c r="L22" s="7"/>
      <c r="M22" s="7"/>
      <c r="N22" s="7"/>
      <c r="O22" s="7"/>
      <c r="P22" s="7"/>
    </row>
    <row r="23" spans="2:16" ht="12" customHeight="1" x14ac:dyDescent="0.2">
      <c r="C23" s="7"/>
      <c r="I23" s="7"/>
      <c r="J23" s="7"/>
      <c r="K23" s="7"/>
      <c r="L23" s="7"/>
      <c r="M23" s="7"/>
      <c r="N23" s="7"/>
      <c r="O23" s="7"/>
      <c r="P23" s="7"/>
    </row>
    <row r="24" spans="2:16" ht="12" customHeight="1" x14ac:dyDescent="0.2">
      <c r="C24" s="10" t="s">
        <v>13</v>
      </c>
      <c r="D24" s="7"/>
      <c r="E24" s="7"/>
      <c r="F24" s="7"/>
      <c r="I24" s="7"/>
      <c r="J24" s="7"/>
      <c r="K24" s="7"/>
      <c r="L24" s="7"/>
      <c r="M24" s="7"/>
      <c r="N24" s="7"/>
      <c r="O24" s="7"/>
      <c r="P24" s="7"/>
    </row>
    <row r="25" spans="2:16" ht="12" customHeight="1" x14ac:dyDescent="0.2">
      <c r="B25" s="7" t="s">
        <v>14</v>
      </c>
      <c r="C25" s="5">
        <f>+'Capital Related Productivity'!H216</f>
        <v>23558.821333333333</v>
      </c>
    </row>
    <row r="26" spans="2:16" ht="12" customHeight="1" x14ac:dyDescent="0.2"/>
    <row r="27" spans="2:16" ht="12" customHeight="1" x14ac:dyDescent="0.2"/>
    <row r="28" spans="2:16" ht="12" customHeight="1" x14ac:dyDescent="0.2"/>
    <row r="29" spans="2:16" ht="12" customHeight="1" x14ac:dyDescent="0.2"/>
    <row r="30" spans="2:16" ht="12" customHeight="1" x14ac:dyDescent="0.2"/>
    <row r="31" spans="2:16" ht="12" customHeight="1" x14ac:dyDescent="0.2"/>
    <row r="32" spans="2:16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  <row r="1001" ht="12" customHeight="1" x14ac:dyDescent="0.2"/>
  </sheetData>
  <mergeCells count="6">
    <mergeCell ref="B5:F5"/>
    <mergeCell ref="B6:F6"/>
    <mergeCell ref="B7:B8"/>
    <mergeCell ref="B17:F17"/>
    <mergeCell ref="B18:B19"/>
    <mergeCell ref="C18:F18"/>
  </mergeCell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Z1034"/>
  <sheetViews>
    <sheetView showGridLines="0" workbookViewId="0">
      <pane ySplit="4" topLeftCell="A5" activePane="bottomLeft" state="frozen"/>
      <selection pane="bottomLeft" activeCell="M23" sqref="M23"/>
    </sheetView>
  </sheetViews>
  <sheetFormatPr defaultColWidth="12.5703125" defaultRowHeight="15" customHeight="1" x14ac:dyDescent="0.2"/>
  <cols>
    <col min="1" max="1" width="49" customWidth="1"/>
    <col min="2" max="2" width="49.42578125" customWidth="1"/>
    <col min="3" max="14" width="11.85546875" customWidth="1"/>
    <col min="15" max="26" width="12.42578125" customWidth="1"/>
  </cols>
  <sheetData>
    <row r="1" spans="1:20" ht="15.75" customHeight="1" x14ac:dyDescent="0.2">
      <c r="A1" s="142" t="s">
        <v>15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Q1" s="143" t="s">
        <v>16</v>
      </c>
      <c r="R1" s="134"/>
    </row>
    <row r="2" spans="1:20" ht="15.75" customHeight="1" x14ac:dyDescent="0.2">
      <c r="A2" s="11" t="s">
        <v>17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Q2" s="15" t="s">
        <v>18</v>
      </c>
      <c r="R2" s="15" t="s">
        <v>19</v>
      </c>
      <c r="S2" s="15" t="s">
        <v>20</v>
      </c>
      <c r="T2" s="15" t="s">
        <v>21</v>
      </c>
    </row>
    <row r="3" spans="1:20" ht="15.75" customHeight="1" x14ac:dyDescent="0.2">
      <c r="A3" s="16"/>
      <c r="B3" s="17"/>
      <c r="C3" s="18">
        <v>2021</v>
      </c>
      <c r="D3" s="18">
        <v>2022</v>
      </c>
      <c r="E3" s="18">
        <v>2023</v>
      </c>
      <c r="F3" s="18">
        <v>2024</v>
      </c>
      <c r="G3" s="18">
        <v>2025</v>
      </c>
      <c r="H3" s="19" t="s">
        <v>22</v>
      </c>
      <c r="I3" s="18">
        <v>2026</v>
      </c>
      <c r="J3" s="18">
        <v>2027</v>
      </c>
      <c r="K3" s="18">
        <v>2028</v>
      </c>
      <c r="L3" s="18">
        <v>2029</v>
      </c>
      <c r="M3" s="18">
        <v>2030</v>
      </c>
      <c r="N3" s="19" t="s">
        <v>23</v>
      </c>
      <c r="P3" s="7" t="s">
        <v>24</v>
      </c>
      <c r="Q3" s="20">
        <v>0.04</v>
      </c>
      <c r="R3" s="21">
        <v>0.56000000000000005</v>
      </c>
      <c r="S3" s="20">
        <v>0.4</v>
      </c>
      <c r="T3" s="22">
        <v>0.26500000000000001</v>
      </c>
    </row>
    <row r="4" spans="1:20" ht="15.75" customHeight="1" x14ac:dyDescent="0.2">
      <c r="A4" s="23" t="s">
        <v>25</v>
      </c>
      <c r="B4" s="24" t="s">
        <v>26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6" t="s">
        <v>27</v>
      </c>
      <c r="P4" s="26" t="s">
        <v>28</v>
      </c>
      <c r="Q4" s="26">
        <v>1.75</v>
      </c>
      <c r="R4" s="27">
        <v>3.3000000000000002E-2</v>
      </c>
      <c r="S4" s="27">
        <v>8.3400000000000002E-2</v>
      </c>
    </row>
    <row r="5" spans="1:20" ht="15.75" customHeight="1" x14ac:dyDescent="0.2">
      <c r="A5" s="28" t="s">
        <v>29</v>
      </c>
      <c r="B5" s="29"/>
      <c r="C5" s="30"/>
      <c r="D5" s="30"/>
      <c r="E5" s="30"/>
      <c r="F5" s="30"/>
      <c r="G5" s="30"/>
      <c r="H5" s="25"/>
      <c r="I5" s="30"/>
      <c r="J5" s="30"/>
      <c r="K5" s="30"/>
      <c r="L5" s="30"/>
      <c r="M5" s="30"/>
      <c r="N5" s="25"/>
      <c r="O5" s="26" t="s">
        <v>30</v>
      </c>
      <c r="P5" s="26" t="s">
        <v>28</v>
      </c>
      <c r="Q5" s="26">
        <v>1.75</v>
      </c>
      <c r="R5" s="27">
        <v>3.3000000000000002E-2</v>
      </c>
      <c r="S5" s="27">
        <v>9.2100000000000001E-2</v>
      </c>
    </row>
    <row r="6" spans="1:20" ht="15.75" customHeight="1" x14ac:dyDescent="0.2">
      <c r="A6" s="31" t="s">
        <v>31</v>
      </c>
      <c r="B6" s="32" t="s">
        <v>32</v>
      </c>
      <c r="C6" s="33">
        <v>13791.602000000001</v>
      </c>
      <c r="D6" s="33">
        <v>13231.782999999999</v>
      </c>
      <c r="E6" s="33">
        <v>10617.804</v>
      </c>
      <c r="F6" s="33">
        <v>16616.477999999999</v>
      </c>
      <c r="G6" s="33">
        <v>16302.632</v>
      </c>
      <c r="H6" s="34"/>
      <c r="I6" s="33">
        <v>14752.621999999999</v>
      </c>
      <c r="J6" s="33">
        <v>24233.879000000001</v>
      </c>
      <c r="K6" s="33">
        <v>26066.217000000001</v>
      </c>
      <c r="L6" s="33">
        <v>20522.256000000001</v>
      </c>
      <c r="M6" s="33">
        <v>22454.682000000001</v>
      </c>
      <c r="N6" s="34"/>
      <c r="O6" s="26" t="s">
        <v>8</v>
      </c>
      <c r="P6" s="26" t="s">
        <v>28</v>
      </c>
      <c r="Q6" s="27">
        <v>3.9100000000000003E-2</v>
      </c>
      <c r="R6" s="27">
        <v>3.9600000000000003E-2</v>
      </c>
      <c r="S6" s="27">
        <v>0.09</v>
      </c>
    </row>
    <row r="7" spans="1:20" ht="15.75" customHeight="1" x14ac:dyDescent="0.2">
      <c r="A7" s="31" t="s">
        <v>33</v>
      </c>
      <c r="B7" s="32" t="s">
        <v>34</v>
      </c>
      <c r="C7" s="33">
        <v>11325.013999999999</v>
      </c>
      <c r="D7" s="33">
        <v>10865.316999999999</v>
      </c>
      <c r="E7" s="33">
        <v>8718.84</v>
      </c>
      <c r="F7" s="33">
        <v>13644.669</v>
      </c>
      <c r="G7" s="33">
        <v>13386.954</v>
      </c>
      <c r="H7" s="34"/>
      <c r="I7" s="35">
        <v>12114.157999999999</v>
      </c>
      <c r="J7" s="35">
        <v>19899.72</v>
      </c>
      <c r="K7" s="35">
        <v>21404.35</v>
      </c>
      <c r="L7" s="35">
        <v>16851.91</v>
      </c>
      <c r="M7" s="35">
        <v>18438.726999999999</v>
      </c>
      <c r="N7" s="34"/>
    </row>
    <row r="8" spans="1:20" ht="25.5" x14ac:dyDescent="0.2">
      <c r="A8" s="36" t="s">
        <v>35</v>
      </c>
      <c r="B8" s="37" t="s">
        <v>36</v>
      </c>
      <c r="C8" s="38">
        <f t="shared" ref="C8:G8" si="0">C6-C7</f>
        <v>2466.5880000000016</v>
      </c>
      <c r="D8" s="38">
        <f t="shared" si="0"/>
        <v>2366.4660000000003</v>
      </c>
      <c r="E8" s="38">
        <f t="shared" si="0"/>
        <v>1898.9639999999999</v>
      </c>
      <c r="F8" s="38">
        <f t="shared" si="0"/>
        <v>2971.8089999999993</v>
      </c>
      <c r="G8" s="38">
        <f t="shared" si="0"/>
        <v>2915.6779999999999</v>
      </c>
      <c r="H8" s="39">
        <f>SUM(C8:G8)</f>
        <v>12619.505000000001</v>
      </c>
      <c r="I8" s="38">
        <f t="shared" ref="I8:M8" si="1">I6-I7</f>
        <v>2638.4639999999999</v>
      </c>
      <c r="J8" s="38">
        <f t="shared" si="1"/>
        <v>4334.1589999999997</v>
      </c>
      <c r="K8" s="38">
        <f t="shared" si="1"/>
        <v>4661.867000000002</v>
      </c>
      <c r="L8" s="38">
        <f t="shared" si="1"/>
        <v>3670.3460000000014</v>
      </c>
      <c r="M8" s="38">
        <f t="shared" si="1"/>
        <v>4015.9550000000017</v>
      </c>
      <c r="N8" s="39">
        <f>SUM(I8:M8)</f>
        <v>19320.791000000005</v>
      </c>
    </row>
    <row r="9" spans="1:20" ht="15.75" customHeight="1" x14ac:dyDescent="0.2">
      <c r="A9" s="31" t="s">
        <v>37</v>
      </c>
      <c r="B9" s="32" t="s">
        <v>38</v>
      </c>
      <c r="C9" s="40">
        <v>36</v>
      </c>
      <c r="D9" s="40">
        <f t="shared" ref="D9:G9" si="2">C9</f>
        <v>36</v>
      </c>
      <c r="E9" s="40">
        <f t="shared" si="2"/>
        <v>36</v>
      </c>
      <c r="F9" s="40">
        <f t="shared" si="2"/>
        <v>36</v>
      </c>
      <c r="G9" s="40">
        <f t="shared" si="2"/>
        <v>36</v>
      </c>
      <c r="H9" s="41"/>
      <c r="I9" s="40">
        <f>G9</f>
        <v>36</v>
      </c>
      <c r="J9" s="40">
        <f t="shared" ref="J9:M9" si="3">I9</f>
        <v>36</v>
      </c>
      <c r="K9" s="40">
        <f t="shared" si="3"/>
        <v>36</v>
      </c>
      <c r="L9" s="40">
        <f t="shared" si="3"/>
        <v>36</v>
      </c>
      <c r="M9" s="40">
        <f t="shared" si="3"/>
        <v>36</v>
      </c>
      <c r="N9" s="42"/>
    </row>
    <row r="10" spans="1:20" ht="12.75" x14ac:dyDescent="0.2">
      <c r="A10" s="43" t="s">
        <v>39</v>
      </c>
      <c r="B10" s="37" t="s">
        <v>40</v>
      </c>
      <c r="C10" s="38">
        <f t="shared" ref="C10:G10" si="4">C8/C9</f>
        <v>68.516333333333378</v>
      </c>
      <c r="D10" s="38">
        <f t="shared" si="4"/>
        <v>65.735166666666672</v>
      </c>
      <c r="E10" s="38">
        <f t="shared" si="4"/>
        <v>52.748999999999995</v>
      </c>
      <c r="F10" s="38">
        <f t="shared" si="4"/>
        <v>82.550249999999977</v>
      </c>
      <c r="G10" s="38">
        <f t="shared" si="4"/>
        <v>80.991055555555548</v>
      </c>
      <c r="H10" s="34"/>
      <c r="I10" s="38">
        <f t="shared" ref="I10:M10" si="5">I8/I9</f>
        <v>73.290666666666667</v>
      </c>
      <c r="J10" s="38">
        <f t="shared" si="5"/>
        <v>120.39330555555554</v>
      </c>
      <c r="K10" s="38">
        <f t="shared" si="5"/>
        <v>129.49630555555561</v>
      </c>
      <c r="L10" s="38">
        <f t="shared" si="5"/>
        <v>101.9540555555556</v>
      </c>
      <c r="M10" s="38">
        <f t="shared" si="5"/>
        <v>111.5543055555556</v>
      </c>
      <c r="N10" s="44"/>
    </row>
    <row r="11" spans="1:20" ht="15.75" customHeight="1" x14ac:dyDescent="0.2">
      <c r="A11" s="45"/>
      <c r="B11" s="46" t="s">
        <v>41</v>
      </c>
      <c r="C11" s="47">
        <f>C10/2</f>
        <v>34.258166666666689</v>
      </c>
      <c r="D11" s="47">
        <f>C11*2</f>
        <v>68.516333333333378</v>
      </c>
      <c r="E11" s="47">
        <f t="shared" ref="E11:G11" si="6">D11</f>
        <v>68.516333333333378</v>
      </c>
      <c r="F11" s="47">
        <f t="shared" si="6"/>
        <v>68.516333333333378</v>
      </c>
      <c r="G11" s="47">
        <f t="shared" si="6"/>
        <v>68.516333333333378</v>
      </c>
      <c r="H11" s="34"/>
      <c r="I11" s="47">
        <f t="shared" ref="I11:I14" si="7">G11</f>
        <v>68.516333333333378</v>
      </c>
      <c r="J11" s="47">
        <f t="shared" ref="J11:M11" si="8">I11</f>
        <v>68.516333333333378</v>
      </c>
      <c r="K11" s="47">
        <f t="shared" si="8"/>
        <v>68.516333333333378</v>
      </c>
      <c r="L11" s="47">
        <f t="shared" si="8"/>
        <v>68.516333333333378</v>
      </c>
      <c r="M11" s="47">
        <f t="shared" si="8"/>
        <v>68.516333333333378</v>
      </c>
      <c r="N11" s="44"/>
    </row>
    <row r="12" spans="1:20" ht="15.75" customHeight="1" x14ac:dyDescent="0.2">
      <c r="A12" s="45"/>
      <c r="B12" s="46" t="s">
        <v>42</v>
      </c>
      <c r="C12" s="48"/>
      <c r="D12" s="47">
        <f>D10/2</f>
        <v>32.867583333333336</v>
      </c>
      <c r="E12" s="47">
        <f>D12*2</f>
        <v>65.735166666666672</v>
      </c>
      <c r="F12" s="47">
        <f t="shared" ref="F12:G12" si="9">E12</f>
        <v>65.735166666666672</v>
      </c>
      <c r="G12" s="47">
        <f t="shared" si="9"/>
        <v>65.735166666666672</v>
      </c>
      <c r="H12" s="34"/>
      <c r="I12" s="47">
        <f t="shared" si="7"/>
        <v>65.735166666666672</v>
      </c>
      <c r="J12" s="47">
        <f t="shared" ref="J12:M12" si="10">I12</f>
        <v>65.735166666666672</v>
      </c>
      <c r="K12" s="47">
        <f t="shared" si="10"/>
        <v>65.735166666666672</v>
      </c>
      <c r="L12" s="47">
        <f t="shared" si="10"/>
        <v>65.735166666666672</v>
      </c>
      <c r="M12" s="47">
        <f t="shared" si="10"/>
        <v>65.735166666666672</v>
      </c>
      <c r="N12" s="44"/>
    </row>
    <row r="13" spans="1:20" ht="15.75" customHeight="1" x14ac:dyDescent="0.2">
      <c r="A13" s="45"/>
      <c r="B13" s="46" t="s">
        <v>43</v>
      </c>
      <c r="C13" s="48"/>
      <c r="D13" s="48"/>
      <c r="E13" s="47">
        <f>E10/2</f>
        <v>26.374499999999998</v>
      </c>
      <c r="F13" s="47">
        <f>E13*2</f>
        <v>52.748999999999995</v>
      </c>
      <c r="G13" s="47">
        <f>F13</f>
        <v>52.748999999999995</v>
      </c>
      <c r="H13" s="34"/>
      <c r="I13" s="47">
        <f t="shared" si="7"/>
        <v>52.748999999999995</v>
      </c>
      <c r="J13" s="47">
        <f t="shared" ref="J13:M13" si="11">I13</f>
        <v>52.748999999999995</v>
      </c>
      <c r="K13" s="47">
        <f t="shared" si="11"/>
        <v>52.748999999999995</v>
      </c>
      <c r="L13" s="47">
        <f t="shared" si="11"/>
        <v>52.748999999999995</v>
      </c>
      <c r="M13" s="47">
        <f t="shared" si="11"/>
        <v>52.748999999999995</v>
      </c>
      <c r="N13" s="44"/>
    </row>
    <row r="14" spans="1:20" ht="15.75" customHeight="1" x14ac:dyDescent="0.2">
      <c r="A14" s="45"/>
      <c r="B14" s="46" t="s">
        <v>44</v>
      </c>
      <c r="C14" s="48"/>
      <c r="D14" s="48"/>
      <c r="E14" s="48"/>
      <c r="F14" s="47">
        <f>F10/2</f>
        <v>41.275124999999989</v>
      </c>
      <c r="G14" s="47">
        <f>F14*2</f>
        <v>82.550249999999977</v>
      </c>
      <c r="H14" s="34"/>
      <c r="I14" s="47">
        <f t="shared" si="7"/>
        <v>82.550249999999977</v>
      </c>
      <c r="J14" s="47">
        <f t="shared" ref="J14:M14" si="12">I14</f>
        <v>82.550249999999977</v>
      </c>
      <c r="K14" s="47">
        <f t="shared" si="12"/>
        <v>82.550249999999977</v>
      </c>
      <c r="L14" s="47">
        <f t="shared" si="12"/>
        <v>82.550249999999977</v>
      </c>
      <c r="M14" s="47">
        <f t="shared" si="12"/>
        <v>82.550249999999977</v>
      </c>
      <c r="N14" s="44"/>
    </row>
    <row r="15" spans="1:20" ht="15.75" customHeight="1" x14ac:dyDescent="0.2">
      <c r="A15" s="45"/>
      <c r="B15" s="46" t="s">
        <v>45</v>
      </c>
      <c r="C15" s="48"/>
      <c r="D15" s="48"/>
      <c r="E15" s="48"/>
      <c r="F15" s="48"/>
      <c r="G15" s="47">
        <f>G10/2</f>
        <v>40.495527777777774</v>
      </c>
      <c r="H15" s="34"/>
      <c r="I15" s="47">
        <f>G15*2</f>
        <v>80.991055555555548</v>
      </c>
      <c r="J15" s="47">
        <f t="shared" ref="J15:M15" si="13">I15</f>
        <v>80.991055555555548</v>
      </c>
      <c r="K15" s="47">
        <f t="shared" si="13"/>
        <v>80.991055555555548</v>
      </c>
      <c r="L15" s="47">
        <f t="shared" si="13"/>
        <v>80.991055555555548</v>
      </c>
      <c r="M15" s="47">
        <f t="shared" si="13"/>
        <v>80.991055555555548</v>
      </c>
      <c r="N15" s="44"/>
    </row>
    <row r="16" spans="1:20" ht="15.75" customHeight="1" x14ac:dyDescent="0.2">
      <c r="A16" s="49"/>
      <c r="B16" s="46" t="s">
        <v>46</v>
      </c>
      <c r="C16" s="48"/>
      <c r="D16" s="48"/>
      <c r="E16" s="48"/>
      <c r="F16" s="48"/>
      <c r="G16" s="48"/>
      <c r="H16" s="34"/>
      <c r="I16" s="47">
        <f>I10/2</f>
        <v>36.645333333333333</v>
      </c>
      <c r="J16" s="47">
        <f>I16*2</f>
        <v>73.290666666666667</v>
      </c>
      <c r="K16" s="47">
        <f t="shared" ref="K16:M16" si="14">J16</f>
        <v>73.290666666666667</v>
      </c>
      <c r="L16" s="47">
        <f t="shared" si="14"/>
        <v>73.290666666666667</v>
      </c>
      <c r="M16" s="47">
        <f t="shared" si="14"/>
        <v>73.290666666666667</v>
      </c>
      <c r="N16" s="44"/>
    </row>
    <row r="17" spans="1:14" ht="15.75" customHeight="1" x14ac:dyDescent="0.2">
      <c r="A17" s="49"/>
      <c r="B17" s="46" t="s">
        <v>47</v>
      </c>
      <c r="C17" s="48"/>
      <c r="D17" s="48"/>
      <c r="E17" s="48"/>
      <c r="F17" s="48"/>
      <c r="G17" s="48"/>
      <c r="H17" s="34"/>
      <c r="I17" s="48"/>
      <c r="J17" s="47">
        <f>J10/2</f>
        <v>60.196652777777771</v>
      </c>
      <c r="K17" s="47">
        <f>J17*2</f>
        <v>120.39330555555554</v>
      </c>
      <c r="L17" s="47">
        <f t="shared" ref="L17:M17" si="15">K17</f>
        <v>120.39330555555554</v>
      </c>
      <c r="M17" s="47">
        <f t="shared" si="15"/>
        <v>120.39330555555554</v>
      </c>
      <c r="N17" s="44"/>
    </row>
    <row r="18" spans="1:14" ht="15.75" customHeight="1" x14ac:dyDescent="0.2">
      <c r="A18" s="49"/>
      <c r="B18" s="46" t="s">
        <v>48</v>
      </c>
      <c r="C18" s="48"/>
      <c r="D18" s="48"/>
      <c r="E18" s="48"/>
      <c r="F18" s="48"/>
      <c r="G18" s="48"/>
      <c r="H18" s="34"/>
      <c r="I18" s="48"/>
      <c r="J18" s="48"/>
      <c r="K18" s="47">
        <f>K10/2</f>
        <v>64.748152777777804</v>
      </c>
      <c r="L18" s="47">
        <f>K18*2</f>
        <v>129.49630555555561</v>
      </c>
      <c r="M18" s="47">
        <f>L18</f>
        <v>129.49630555555561</v>
      </c>
      <c r="N18" s="44"/>
    </row>
    <row r="19" spans="1:14" ht="15.75" customHeight="1" x14ac:dyDescent="0.2">
      <c r="A19" s="49"/>
      <c r="B19" s="46" t="s">
        <v>49</v>
      </c>
      <c r="C19" s="48"/>
      <c r="D19" s="48"/>
      <c r="E19" s="48"/>
      <c r="F19" s="48"/>
      <c r="G19" s="48"/>
      <c r="H19" s="34"/>
      <c r="I19" s="48"/>
      <c r="J19" s="48"/>
      <c r="K19" s="48"/>
      <c r="L19" s="47">
        <f>L10/2</f>
        <v>50.977027777777799</v>
      </c>
      <c r="M19" s="47">
        <f>L19*2</f>
        <v>101.9540555555556</v>
      </c>
      <c r="N19" s="44"/>
    </row>
    <row r="20" spans="1:14" ht="15.75" customHeight="1" x14ac:dyDescent="0.2">
      <c r="A20" s="49"/>
      <c r="B20" s="46" t="s">
        <v>50</v>
      </c>
      <c r="C20" s="48"/>
      <c r="D20" s="48"/>
      <c r="E20" s="48"/>
      <c r="F20" s="48"/>
      <c r="G20" s="48"/>
      <c r="H20" s="34"/>
      <c r="I20" s="48"/>
      <c r="J20" s="48"/>
      <c r="K20" s="48"/>
      <c r="L20" s="48"/>
      <c r="M20" s="47">
        <f>M10/2</f>
        <v>55.7771527777778</v>
      </c>
      <c r="N20" s="44"/>
    </row>
    <row r="21" spans="1:14" ht="15.75" customHeight="1" x14ac:dyDescent="0.2">
      <c r="A21" s="28"/>
      <c r="B21" s="37" t="s">
        <v>51</v>
      </c>
      <c r="C21" s="38">
        <f t="shared" ref="C21:G21" si="16">SUM(C11:C20)</f>
        <v>34.258166666666689</v>
      </c>
      <c r="D21" s="38">
        <f t="shared" si="16"/>
        <v>101.38391666666672</v>
      </c>
      <c r="E21" s="38">
        <f t="shared" si="16"/>
        <v>160.62600000000003</v>
      </c>
      <c r="F21" s="38">
        <f t="shared" si="16"/>
        <v>228.27562500000005</v>
      </c>
      <c r="G21" s="38">
        <f t="shared" si="16"/>
        <v>310.04627777777779</v>
      </c>
      <c r="H21" s="39">
        <f>SUM(C21:G21)</f>
        <v>834.58998611111133</v>
      </c>
      <c r="I21" s="38">
        <f t="shared" ref="I21:M21" si="17">SUM(I11:I20)</f>
        <v>387.18713888888885</v>
      </c>
      <c r="J21" s="38">
        <f t="shared" si="17"/>
        <v>484.02912499999996</v>
      </c>
      <c r="K21" s="38">
        <f t="shared" si="17"/>
        <v>608.97393055555551</v>
      </c>
      <c r="L21" s="38">
        <f t="shared" si="17"/>
        <v>724.69911111111116</v>
      </c>
      <c r="M21" s="38">
        <f t="shared" si="17"/>
        <v>831.4532916666667</v>
      </c>
      <c r="N21" s="39">
        <f>SUM(I21:M21)</f>
        <v>3036.3425972222221</v>
      </c>
    </row>
    <row r="22" spans="1:14" ht="15.75" customHeight="1" x14ac:dyDescent="0.2">
      <c r="A22" s="28" t="s">
        <v>52</v>
      </c>
      <c r="B22" s="29"/>
      <c r="C22" s="50"/>
      <c r="D22" s="50"/>
      <c r="E22" s="50"/>
      <c r="F22" s="50"/>
      <c r="G22" s="50"/>
      <c r="H22" s="51"/>
      <c r="I22" s="50"/>
      <c r="J22" s="50"/>
      <c r="K22" s="50"/>
      <c r="L22" s="50"/>
      <c r="M22" s="50"/>
      <c r="N22" s="51"/>
    </row>
    <row r="23" spans="1:14" ht="15.75" customHeight="1" x14ac:dyDescent="0.2">
      <c r="A23" s="31" t="s">
        <v>53</v>
      </c>
      <c r="B23" s="32" t="s">
        <v>54</v>
      </c>
      <c r="C23" s="35">
        <v>2682.0279999999998</v>
      </c>
      <c r="D23" s="35">
        <v>2491.384</v>
      </c>
      <c r="E23" s="35">
        <v>2159.924</v>
      </c>
      <c r="F23" s="35">
        <v>1970.664</v>
      </c>
      <c r="G23" s="35">
        <v>1834.49</v>
      </c>
      <c r="H23" s="34"/>
      <c r="I23" s="35">
        <v>2039.636</v>
      </c>
      <c r="J23" s="35">
        <v>2336.3850000000002</v>
      </c>
      <c r="K23" s="35">
        <v>2430.0569999999998</v>
      </c>
      <c r="L23" s="35">
        <v>2408.7379999999998</v>
      </c>
      <c r="M23" s="35">
        <v>2325.7759999999998</v>
      </c>
      <c r="N23" s="34"/>
    </row>
    <row r="24" spans="1:14" ht="15.75" customHeight="1" x14ac:dyDescent="0.2">
      <c r="A24" s="31" t="s">
        <v>55</v>
      </c>
      <c r="B24" s="32" t="s">
        <v>56</v>
      </c>
      <c r="C24" s="35">
        <v>1747.136</v>
      </c>
      <c r="D24" s="35">
        <v>1622.9459999999999</v>
      </c>
      <c r="E24" s="35">
        <v>1407.0250000000001</v>
      </c>
      <c r="F24" s="35">
        <v>1283.7360000000001</v>
      </c>
      <c r="G24" s="35">
        <v>1195.029</v>
      </c>
      <c r="H24" s="34"/>
      <c r="I24" s="35">
        <v>1328.6669999999999</v>
      </c>
      <c r="J24" s="35">
        <v>1521.9760000000001</v>
      </c>
      <c r="K24" s="35">
        <v>1582.9960000000001</v>
      </c>
      <c r="L24" s="35">
        <v>1569.1079999999999</v>
      </c>
      <c r="M24" s="35">
        <v>1515.0650000000001</v>
      </c>
      <c r="N24" s="34"/>
    </row>
    <row r="25" spans="1:14" ht="25.5" x14ac:dyDescent="0.2">
      <c r="A25" s="36" t="s">
        <v>57</v>
      </c>
      <c r="B25" s="37" t="s">
        <v>58</v>
      </c>
      <c r="C25" s="38">
        <f t="shared" ref="C25:G25" si="18">C23-C24</f>
        <v>934.89199999999983</v>
      </c>
      <c r="D25" s="38">
        <f t="shared" si="18"/>
        <v>868.4380000000001</v>
      </c>
      <c r="E25" s="38">
        <f t="shared" si="18"/>
        <v>752.89899999999989</v>
      </c>
      <c r="F25" s="38">
        <f t="shared" si="18"/>
        <v>686.92799999999988</v>
      </c>
      <c r="G25" s="38">
        <f t="shared" si="18"/>
        <v>639.46100000000001</v>
      </c>
      <c r="H25" s="39">
        <f>SUM(C25:G25)</f>
        <v>3882.6179999999995</v>
      </c>
      <c r="I25" s="38">
        <f t="shared" ref="I25:M25" si="19">I23-I24</f>
        <v>710.96900000000005</v>
      </c>
      <c r="J25" s="38">
        <f t="shared" si="19"/>
        <v>814.40900000000011</v>
      </c>
      <c r="K25" s="38">
        <f t="shared" si="19"/>
        <v>847.06099999999969</v>
      </c>
      <c r="L25" s="38">
        <f t="shared" si="19"/>
        <v>839.62999999999988</v>
      </c>
      <c r="M25" s="38">
        <f t="shared" si="19"/>
        <v>810.71099999999979</v>
      </c>
      <c r="N25" s="39">
        <f>SUM(I25:M25)</f>
        <v>4022.7799999999993</v>
      </c>
    </row>
    <row r="26" spans="1:14" ht="15.75" customHeight="1" x14ac:dyDescent="0.2">
      <c r="A26" s="31" t="s">
        <v>37</v>
      </c>
      <c r="B26" s="32" t="s">
        <v>59</v>
      </c>
      <c r="C26" s="40">
        <v>36</v>
      </c>
      <c r="D26" s="40">
        <f t="shared" ref="D26:G26" si="20">C26</f>
        <v>36</v>
      </c>
      <c r="E26" s="40">
        <f t="shared" si="20"/>
        <v>36</v>
      </c>
      <c r="F26" s="40">
        <f t="shared" si="20"/>
        <v>36</v>
      </c>
      <c r="G26" s="40">
        <f t="shared" si="20"/>
        <v>36</v>
      </c>
      <c r="H26" s="41"/>
      <c r="I26" s="40">
        <f>G26</f>
        <v>36</v>
      </c>
      <c r="J26" s="40">
        <f t="shared" ref="J26:M26" si="21">I26</f>
        <v>36</v>
      </c>
      <c r="K26" s="40">
        <f t="shared" si="21"/>
        <v>36</v>
      </c>
      <c r="L26" s="40">
        <f t="shared" si="21"/>
        <v>36</v>
      </c>
      <c r="M26" s="40">
        <f t="shared" si="21"/>
        <v>36</v>
      </c>
      <c r="N26" s="42"/>
    </row>
    <row r="27" spans="1:14" ht="12.75" x14ac:dyDescent="0.2">
      <c r="A27" s="36" t="s">
        <v>39</v>
      </c>
      <c r="B27" s="37" t="s">
        <v>60</v>
      </c>
      <c r="C27" s="38">
        <f t="shared" ref="C27:G27" si="22">C25/C26</f>
        <v>25.969222222222218</v>
      </c>
      <c r="D27" s="38">
        <f t="shared" si="22"/>
        <v>24.12327777777778</v>
      </c>
      <c r="E27" s="38">
        <f t="shared" si="22"/>
        <v>20.913861111111107</v>
      </c>
      <c r="F27" s="38">
        <f t="shared" si="22"/>
        <v>19.08133333333333</v>
      </c>
      <c r="G27" s="38">
        <f t="shared" si="22"/>
        <v>17.762805555555556</v>
      </c>
      <c r="H27" s="34"/>
      <c r="I27" s="38">
        <f t="shared" ref="I27:M27" si="23">I25/I26</f>
        <v>19.74913888888889</v>
      </c>
      <c r="J27" s="38">
        <f t="shared" si="23"/>
        <v>22.622472222222225</v>
      </c>
      <c r="K27" s="38">
        <f t="shared" si="23"/>
        <v>23.529472222222214</v>
      </c>
      <c r="L27" s="38">
        <f t="shared" si="23"/>
        <v>23.323055555555552</v>
      </c>
      <c r="M27" s="38">
        <f t="shared" si="23"/>
        <v>22.519749999999995</v>
      </c>
      <c r="N27" s="34"/>
    </row>
    <row r="28" spans="1:14" ht="15.75" customHeight="1" x14ac:dyDescent="0.2">
      <c r="A28" s="45"/>
      <c r="B28" s="46" t="s">
        <v>41</v>
      </c>
      <c r="C28" s="47">
        <f>C27/2</f>
        <v>12.984611111111109</v>
      </c>
      <c r="D28" s="47">
        <f>C28*2</f>
        <v>25.969222222222218</v>
      </c>
      <c r="E28" s="47">
        <f t="shared" ref="E28:G28" si="24">D28</f>
        <v>25.969222222222218</v>
      </c>
      <c r="F28" s="47">
        <f t="shared" si="24"/>
        <v>25.969222222222218</v>
      </c>
      <c r="G28" s="47">
        <f t="shared" si="24"/>
        <v>25.969222222222218</v>
      </c>
      <c r="H28" s="34"/>
      <c r="I28" s="47">
        <f t="shared" ref="I28:I31" si="25">G28</f>
        <v>25.969222222222218</v>
      </c>
      <c r="J28" s="47">
        <f t="shared" ref="J28:M28" si="26">I28</f>
        <v>25.969222222222218</v>
      </c>
      <c r="K28" s="47">
        <f t="shared" si="26"/>
        <v>25.969222222222218</v>
      </c>
      <c r="L28" s="47">
        <f t="shared" si="26"/>
        <v>25.969222222222218</v>
      </c>
      <c r="M28" s="47">
        <f t="shared" si="26"/>
        <v>25.969222222222218</v>
      </c>
      <c r="N28" s="34"/>
    </row>
    <row r="29" spans="1:14" ht="15.75" customHeight="1" x14ac:dyDescent="0.2">
      <c r="A29" s="45"/>
      <c r="B29" s="46" t="s">
        <v>42</v>
      </c>
      <c r="C29" s="48"/>
      <c r="D29" s="47">
        <f>D27/2</f>
        <v>12.06163888888889</v>
      </c>
      <c r="E29" s="47">
        <f>D29*2</f>
        <v>24.12327777777778</v>
      </c>
      <c r="F29" s="47">
        <f t="shared" ref="F29:G29" si="27">E29</f>
        <v>24.12327777777778</v>
      </c>
      <c r="G29" s="47">
        <f t="shared" si="27"/>
        <v>24.12327777777778</v>
      </c>
      <c r="H29" s="34"/>
      <c r="I29" s="47">
        <f t="shared" si="25"/>
        <v>24.12327777777778</v>
      </c>
      <c r="J29" s="47">
        <f t="shared" ref="J29:M29" si="28">I29</f>
        <v>24.12327777777778</v>
      </c>
      <c r="K29" s="47">
        <f t="shared" si="28"/>
        <v>24.12327777777778</v>
      </c>
      <c r="L29" s="47">
        <f t="shared" si="28"/>
        <v>24.12327777777778</v>
      </c>
      <c r="M29" s="47">
        <f t="shared" si="28"/>
        <v>24.12327777777778</v>
      </c>
      <c r="N29" s="34"/>
    </row>
    <row r="30" spans="1:14" ht="15.75" customHeight="1" x14ac:dyDescent="0.2">
      <c r="A30" s="45"/>
      <c r="B30" s="46" t="s">
        <v>43</v>
      </c>
      <c r="C30" s="48"/>
      <c r="D30" s="48"/>
      <c r="E30" s="47">
        <f>E27/2</f>
        <v>10.456930555555553</v>
      </c>
      <c r="F30" s="47">
        <f>E30*2</f>
        <v>20.913861111111107</v>
      </c>
      <c r="G30" s="47">
        <f>F30</f>
        <v>20.913861111111107</v>
      </c>
      <c r="H30" s="34"/>
      <c r="I30" s="47">
        <f t="shared" si="25"/>
        <v>20.913861111111107</v>
      </c>
      <c r="J30" s="47">
        <f t="shared" ref="J30:M30" si="29">I30</f>
        <v>20.913861111111107</v>
      </c>
      <c r="K30" s="47">
        <f t="shared" si="29"/>
        <v>20.913861111111107</v>
      </c>
      <c r="L30" s="47">
        <f t="shared" si="29"/>
        <v>20.913861111111107</v>
      </c>
      <c r="M30" s="47">
        <f t="shared" si="29"/>
        <v>20.913861111111107</v>
      </c>
      <c r="N30" s="34"/>
    </row>
    <row r="31" spans="1:14" ht="15.75" customHeight="1" x14ac:dyDescent="0.2">
      <c r="A31" s="45"/>
      <c r="B31" s="46" t="s">
        <v>44</v>
      </c>
      <c r="C31" s="48"/>
      <c r="D31" s="48"/>
      <c r="E31" s="48"/>
      <c r="F31" s="47">
        <f>F27/2</f>
        <v>9.5406666666666649</v>
      </c>
      <c r="G31" s="47">
        <f>F31*2</f>
        <v>19.08133333333333</v>
      </c>
      <c r="H31" s="34"/>
      <c r="I31" s="47">
        <f t="shared" si="25"/>
        <v>19.08133333333333</v>
      </c>
      <c r="J31" s="47">
        <f t="shared" ref="J31:M31" si="30">I31</f>
        <v>19.08133333333333</v>
      </c>
      <c r="K31" s="47">
        <f t="shared" si="30"/>
        <v>19.08133333333333</v>
      </c>
      <c r="L31" s="47">
        <f t="shared" si="30"/>
        <v>19.08133333333333</v>
      </c>
      <c r="M31" s="47">
        <f t="shared" si="30"/>
        <v>19.08133333333333</v>
      </c>
      <c r="N31" s="34"/>
    </row>
    <row r="32" spans="1:14" ht="15.75" customHeight="1" x14ac:dyDescent="0.2">
      <c r="A32" s="45"/>
      <c r="B32" s="46" t="s">
        <v>45</v>
      </c>
      <c r="C32" s="48"/>
      <c r="D32" s="48"/>
      <c r="E32" s="48"/>
      <c r="F32" s="48"/>
      <c r="G32" s="47">
        <f>G27/2</f>
        <v>8.8814027777777778</v>
      </c>
      <c r="H32" s="34"/>
      <c r="I32" s="47">
        <f>G32*2</f>
        <v>17.762805555555556</v>
      </c>
      <c r="J32" s="47">
        <f t="shared" ref="J32:M32" si="31">I32</f>
        <v>17.762805555555556</v>
      </c>
      <c r="K32" s="47">
        <f t="shared" si="31"/>
        <v>17.762805555555556</v>
      </c>
      <c r="L32" s="47">
        <f t="shared" si="31"/>
        <v>17.762805555555556</v>
      </c>
      <c r="M32" s="47">
        <f t="shared" si="31"/>
        <v>17.762805555555556</v>
      </c>
      <c r="N32" s="34"/>
    </row>
    <row r="33" spans="1:26" ht="15.75" customHeight="1" x14ac:dyDescent="0.2">
      <c r="A33" s="49"/>
      <c r="B33" s="46" t="s">
        <v>46</v>
      </c>
      <c r="C33" s="48"/>
      <c r="D33" s="48"/>
      <c r="E33" s="48"/>
      <c r="F33" s="48"/>
      <c r="G33" s="48"/>
      <c r="H33" s="34"/>
      <c r="I33" s="47">
        <f>I27/2</f>
        <v>9.874569444444445</v>
      </c>
      <c r="J33" s="47">
        <f>I33*2</f>
        <v>19.74913888888889</v>
      </c>
      <c r="K33" s="47">
        <f t="shared" ref="K33:M33" si="32">J33</f>
        <v>19.74913888888889</v>
      </c>
      <c r="L33" s="47">
        <f t="shared" si="32"/>
        <v>19.74913888888889</v>
      </c>
      <c r="M33" s="47">
        <f t="shared" si="32"/>
        <v>19.74913888888889</v>
      </c>
      <c r="N33" s="34"/>
    </row>
    <row r="34" spans="1:26" ht="15.75" customHeight="1" x14ac:dyDescent="0.2">
      <c r="A34" s="49"/>
      <c r="B34" s="46" t="s">
        <v>47</v>
      </c>
      <c r="C34" s="48"/>
      <c r="D34" s="48"/>
      <c r="E34" s="48"/>
      <c r="F34" s="48"/>
      <c r="G34" s="48"/>
      <c r="H34" s="34"/>
      <c r="I34" s="48"/>
      <c r="J34" s="47">
        <f>J27/2</f>
        <v>11.311236111111112</v>
      </c>
      <c r="K34" s="47">
        <f>J34*2</f>
        <v>22.622472222222225</v>
      </c>
      <c r="L34" s="47">
        <f t="shared" ref="L34:M34" si="33">K34</f>
        <v>22.622472222222225</v>
      </c>
      <c r="M34" s="47">
        <f t="shared" si="33"/>
        <v>22.622472222222225</v>
      </c>
      <c r="N34" s="34"/>
    </row>
    <row r="35" spans="1:26" ht="15.75" customHeight="1" x14ac:dyDescent="0.2">
      <c r="A35" s="49"/>
      <c r="B35" s="46" t="s">
        <v>48</v>
      </c>
      <c r="C35" s="48"/>
      <c r="D35" s="48"/>
      <c r="E35" s="48"/>
      <c r="F35" s="48"/>
      <c r="G35" s="48"/>
      <c r="H35" s="34"/>
      <c r="I35" s="48"/>
      <c r="J35" s="48"/>
      <c r="K35" s="47">
        <f>K27/2</f>
        <v>11.764736111111107</v>
      </c>
      <c r="L35" s="47">
        <f>K35*2</f>
        <v>23.529472222222214</v>
      </c>
      <c r="M35" s="47">
        <f>L35</f>
        <v>23.529472222222214</v>
      </c>
      <c r="N35" s="34"/>
    </row>
    <row r="36" spans="1:26" ht="15.75" customHeight="1" x14ac:dyDescent="0.2">
      <c r="A36" s="49"/>
      <c r="B36" s="46" t="s">
        <v>49</v>
      </c>
      <c r="C36" s="48"/>
      <c r="D36" s="48"/>
      <c r="E36" s="48"/>
      <c r="F36" s="48"/>
      <c r="G36" s="48"/>
      <c r="H36" s="34"/>
      <c r="I36" s="48"/>
      <c r="J36" s="48"/>
      <c r="K36" s="48"/>
      <c r="L36" s="47">
        <f>L27/2</f>
        <v>11.661527777777776</v>
      </c>
      <c r="M36" s="47">
        <f>L36*2</f>
        <v>23.323055555555552</v>
      </c>
      <c r="N36" s="34"/>
    </row>
    <row r="37" spans="1:26" ht="15.75" customHeight="1" x14ac:dyDescent="0.2">
      <c r="A37" s="49"/>
      <c r="B37" s="52" t="s">
        <v>50</v>
      </c>
      <c r="C37" s="53"/>
      <c r="D37" s="53"/>
      <c r="E37" s="53"/>
      <c r="F37" s="53"/>
      <c r="G37" s="53"/>
      <c r="H37" s="54"/>
      <c r="I37" s="53"/>
      <c r="J37" s="53"/>
      <c r="K37" s="53"/>
      <c r="L37" s="53"/>
      <c r="M37" s="55">
        <f>M27/2</f>
        <v>11.259874999999997</v>
      </c>
      <c r="N37" s="54"/>
    </row>
    <row r="38" spans="1:26" ht="15.75" customHeight="1" x14ac:dyDescent="0.2">
      <c r="A38" s="56"/>
      <c r="B38" s="57" t="s">
        <v>51</v>
      </c>
      <c r="C38" s="58">
        <f t="shared" ref="C38:G38" si="34">SUM(C28:C37)</f>
        <v>12.984611111111109</v>
      </c>
      <c r="D38" s="58">
        <f t="shared" si="34"/>
        <v>38.030861111111108</v>
      </c>
      <c r="E38" s="58">
        <f t="shared" si="34"/>
        <v>60.549430555555553</v>
      </c>
      <c r="F38" s="58">
        <f t="shared" si="34"/>
        <v>80.547027777777771</v>
      </c>
      <c r="G38" s="58">
        <f t="shared" si="34"/>
        <v>98.969097222222217</v>
      </c>
      <c r="H38" s="39">
        <f>SUM(C38:G38)</f>
        <v>291.08102777777776</v>
      </c>
      <c r="I38" s="58">
        <f t="shared" ref="I38:M38" si="35">SUM(I28:I37)</f>
        <v>117.72506944444444</v>
      </c>
      <c r="J38" s="58">
        <f t="shared" si="35"/>
        <v>138.910875</v>
      </c>
      <c r="K38" s="58">
        <f t="shared" si="35"/>
        <v>161.98684722222222</v>
      </c>
      <c r="L38" s="58">
        <f t="shared" si="35"/>
        <v>185.41311111111108</v>
      </c>
      <c r="M38" s="58">
        <f t="shared" si="35"/>
        <v>208.33451388888886</v>
      </c>
      <c r="N38" s="39">
        <f>SUM(I38:M38)</f>
        <v>812.37041666666664</v>
      </c>
    </row>
    <row r="39" spans="1:26" ht="15.75" customHeight="1" x14ac:dyDescent="0.2">
      <c r="A39" s="59" t="s">
        <v>61</v>
      </c>
      <c r="B39" s="60"/>
      <c r="C39" s="61">
        <f>C8-C21+C25-C38</f>
        <v>3354.2372222222239</v>
      </c>
      <c r="D39" s="61">
        <f t="shared" ref="D39:G39" si="36">SUM($C$8:D8)-SUM($C$21:D21)+SUM($C$25:D25)-SUM($C$38:D38)</f>
        <v>6449.7264444444463</v>
      </c>
      <c r="E39" s="61">
        <f t="shared" si="36"/>
        <v>8880.4140138888906</v>
      </c>
      <c r="F39" s="61">
        <f t="shared" si="36"/>
        <v>12230.328361111113</v>
      </c>
      <c r="G39" s="61">
        <f t="shared" si="36"/>
        <v>15376.451986111111</v>
      </c>
      <c r="H39" s="61"/>
      <c r="I39" s="61">
        <f>I8-I21+I25-I38</f>
        <v>2844.5207916666668</v>
      </c>
      <c r="J39" s="61">
        <f t="shared" ref="J39:M39" si="37">SUM($I$8:J8)-SUM($I$21:J21)+SUM($I$25:J25)-SUM($I$38:J38)</f>
        <v>7370.1487916666665</v>
      </c>
      <c r="K39" s="61">
        <f t="shared" si="37"/>
        <v>12108.116013888892</v>
      </c>
      <c r="L39" s="61">
        <f t="shared" si="37"/>
        <v>15707.979791666668</v>
      </c>
      <c r="M39" s="61">
        <f t="shared" si="37"/>
        <v>19494.857986111114</v>
      </c>
      <c r="N39" s="61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 x14ac:dyDescent="0.2">
      <c r="A40" s="28" t="s">
        <v>62</v>
      </c>
      <c r="B40" s="37"/>
      <c r="C40" s="38">
        <f t="shared" ref="C40:E40" si="38">(C39*$Q$3*$Q$4)+(C39*$R$3*$R$4)+(C39*$S$3*$S$4)</f>
        <v>408.68026315555574</v>
      </c>
      <c r="D40" s="38">
        <f t="shared" si="38"/>
        <v>785.83466999111135</v>
      </c>
      <c r="E40" s="38">
        <f t="shared" si="38"/>
        <v>1081.9896434522225</v>
      </c>
      <c r="F40" s="38">
        <f t="shared" ref="F40:G40" si="39">(F39*$Q$3*$Q$5)+(F39*$R$3*$R$5)+(F39*$S$3*$S$5)</f>
        <v>1532.7047502144446</v>
      </c>
      <c r="G40" s="38">
        <f t="shared" si="39"/>
        <v>1926.9769628994445</v>
      </c>
      <c r="H40" s="62">
        <f t="shared" ref="H40:H43" si="40">SUM(C40:G40)</f>
        <v>5736.1862897127794</v>
      </c>
      <c r="I40" s="38">
        <f t="shared" ref="I40:M40" si="41">(I39*$Q$3*$Q$6)+(I39*$R$3*$R$6)+(I39*$S$3*$S$6)</f>
        <v>169.93167209416669</v>
      </c>
      <c r="J40" s="38">
        <f t="shared" si="41"/>
        <v>440.2926888141667</v>
      </c>
      <c r="K40" s="38">
        <f t="shared" si="41"/>
        <v>723.33885066972243</v>
      </c>
      <c r="L40" s="38">
        <f t="shared" si="41"/>
        <v>938.39471275416679</v>
      </c>
      <c r="M40" s="38">
        <f t="shared" si="41"/>
        <v>1164.6228160902779</v>
      </c>
      <c r="N40" s="62">
        <f t="shared" ref="N40:N43" si="42">SUM(I40:M40)</f>
        <v>3436.5807404225006</v>
      </c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 x14ac:dyDescent="0.2">
      <c r="A41" s="63" t="s">
        <v>63</v>
      </c>
      <c r="B41" s="37"/>
      <c r="C41" s="38">
        <f t="shared" ref="C41:E41" si="43">(C39*$S$3*$S$4)*$T$3</f>
        <v>29.652798739333353</v>
      </c>
      <c r="D41" s="38">
        <f t="shared" si="43"/>
        <v>57.018161659466692</v>
      </c>
      <c r="E41" s="38">
        <f t="shared" si="43"/>
        <v>78.506412048383353</v>
      </c>
      <c r="F41" s="38">
        <f t="shared" ref="F41:G41" si="44">(F39*$S$3*$S$5)*$T$3</f>
        <v>119.39980365818334</v>
      </c>
      <c r="G41" s="38">
        <f t="shared" si="44"/>
        <v>150.11415015960836</v>
      </c>
      <c r="H41" s="62">
        <f t="shared" si="40"/>
        <v>434.69132626497515</v>
      </c>
      <c r="I41" s="38">
        <f t="shared" ref="I41:M41" si="45">(I39*$S$3*$S$6)*$T$3</f>
        <v>27.1367283525</v>
      </c>
      <c r="J41" s="38">
        <f t="shared" si="45"/>
        <v>70.311219472499999</v>
      </c>
      <c r="K41" s="38">
        <f t="shared" si="45"/>
        <v>115.51142677250002</v>
      </c>
      <c r="L41" s="38">
        <f t="shared" si="45"/>
        <v>149.8541272125</v>
      </c>
      <c r="M41" s="38">
        <f t="shared" si="45"/>
        <v>185.98094518750003</v>
      </c>
      <c r="N41" s="62">
        <f t="shared" si="42"/>
        <v>548.79444699750002</v>
      </c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 x14ac:dyDescent="0.2">
      <c r="A42" s="63" t="s">
        <v>64</v>
      </c>
      <c r="B42" s="37"/>
      <c r="C42" s="64">
        <f t="shared" ref="C42:G42" si="46">C41/(1-0.265)</f>
        <v>40.343943863038575</v>
      </c>
      <c r="D42" s="64">
        <f t="shared" si="46"/>
        <v>77.575730148934269</v>
      </c>
      <c r="E42" s="64">
        <f t="shared" si="46"/>
        <v>106.81144496378688</v>
      </c>
      <c r="F42" s="64">
        <f t="shared" si="46"/>
        <v>162.4487124601134</v>
      </c>
      <c r="G42" s="64">
        <f t="shared" si="46"/>
        <v>204.23693899266445</v>
      </c>
      <c r="H42" s="62">
        <f t="shared" si="40"/>
        <v>591.41677042853757</v>
      </c>
      <c r="I42" s="64">
        <f t="shared" ref="I42:M42" si="47">I41/(1-0.265)</f>
        <v>36.920718846938776</v>
      </c>
      <c r="J42" s="64">
        <f t="shared" si="47"/>
        <v>95.661523091836742</v>
      </c>
      <c r="K42" s="64">
        <f t="shared" si="47"/>
        <v>157.15840377210887</v>
      </c>
      <c r="L42" s="64">
        <f t="shared" si="47"/>
        <v>203.88316627551021</v>
      </c>
      <c r="M42" s="64">
        <f t="shared" si="47"/>
        <v>253.03529957482996</v>
      </c>
      <c r="N42" s="62">
        <f t="shared" si="42"/>
        <v>746.65911156122456</v>
      </c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 x14ac:dyDescent="0.2">
      <c r="A43" s="65" t="s">
        <v>65</v>
      </c>
      <c r="B43" s="66"/>
      <c r="C43" s="67">
        <f t="shared" ref="C43:G43" si="48">C40+C10+C27+C42</f>
        <v>543.50976257414993</v>
      </c>
      <c r="D43" s="67">
        <f t="shared" si="48"/>
        <v>953.26884458449013</v>
      </c>
      <c r="E43" s="67">
        <f t="shared" si="48"/>
        <v>1262.4639495271206</v>
      </c>
      <c r="F43" s="67">
        <f t="shared" si="48"/>
        <v>1796.7850460078914</v>
      </c>
      <c r="G43" s="67">
        <f t="shared" si="48"/>
        <v>2229.9677630032202</v>
      </c>
      <c r="H43" s="68">
        <f t="shared" si="40"/>
        <v>6785.9953656968728</v>
      </c>
      <c r="I43" s="67">
        <f t="shared" ref="I43:M43" si="49">I40+I10+I27+I42</f>
        <v>299.89219649666097</v>
      </c>
      <c r="J43" s="67">
        <f t="shared" si="49"/>
        <v>678.96998968378125</v>
      </c>
      <c r="K43" s="67">
        <f t="shared" si="49"/>
        <v>1033.5230322196091</v>
      </c>
      <c r="L43" s="67">
        <f t="shared" si="49"/>
        <v>1267.554990140788</v>
      </c>
      <c r="M43" s="67">
        <f t="shared" si="49"/>
        <v>1551.7321712206633</v>
      </c>
      <c r="N43" s="68">
        <f t="shared" si="42"/>
        <v>4831.6723797615023</v>
      </c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 x14ac:dyDescent="0.2">
      <c r="A44" s="28"/>
      <c r="B44" s="37"/>
      <c r="C44" s="69"/>
      <c r="D44" s="69"/>
      <c r="E44" s="69"/>
      <c r="F44" s="69"/>
      <c r="G44" s="69"/>
      <c r="H44" s="70"/>
      <c r="I44" s="69"/>
      <c r="J44" s="69"/>
      <c r="K44" s="69"/>
      <c r="L44" s="69"/>
      <c r="M44" s="69"/>
      <c r="N44" s="70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 x14ac:dyDescent="0.2">
      <c r="A45" s="23" t="s">
        <v>66</v>
      </c>
      <c r="B45" s="24" t="s">
        <v>26</v>
      </c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</row>
    <row r="46" spans="1:26" ht="15.75" customHeight="1" x14ac:dyDescent="0.2">
      <c r="A46" s="31" t="s">
        <v>67</v>
      </c>
      <c r="B46" s="32" t="s">
        <v>32</v>
      </c>
      <c r="C46" s="71"/>
      <c r="D46" s="71"/>
      <c r="E46" s="71"/>
      <c r="F46" s="71"/>
      <c r="G46" s="71"/>
      <c r="H46" s="44"/>
      <c r="I46" s="33">
        <v>1037</v>
      </c>
      <c r="J46" s="72"/>
      <c r="K46" s="33">
        <v>2864</v>
      </c>
      <c r="L46" s="72"/>
      <c r="M46" s="72"/>
      <c r="N46" s="34"/>
    </row>
    <row r="47" spans="1:26" ht="15.75" customHeight="1" x14ac:dyDescent="0.2">
      <c r="A47" s="31" t="s">
        <v>68</v>
      </c>
      <c r="B47" s="32" t="s">
        <v>34</v>
      </c>
      <c r="C47" s="73"/>
      <c r="D47" s="73"/>
      <c r="E47" s="73"/>
      <c r="F47" s="73"/>
      <c r="G47" s="73"/>
      <c r="H47" s="44"/>
      <c r="I47" s="40">
        <v>10</v>
      </c>
      <c r="J47" s="40">
        <v>10</v>
      </c>
      <c r="K47" s="40">
        <v>10</v>
      </c>
      <c r="L47" s="40">
        <v>10</v>
      </c>
      <c r="M47" s="40">
        <v>10</v>
      </c>
      <c r="N47" s="34"/>
    </row>
    <row r="48" spans="1:26" ht="15.75" customHeight="1" x14ac:dyDescent="0.2">
      <c r="A48" s="31" t="s">
        <v>69</v>
      </c>
      <c r="B48" s="29" t="s">
        <v>34</v>
      </c>
      <c r="C48" s="73"/>
      <c r="D48" s="73"/>
      <c r="E48" s="73"/>
      <c r="F48" s="73"/>
      <c r="G48" s="73"/>
      <c r="H48" s="44"/>
      <c r="I48" s="74"/>
      <c r="J48" s="74"/>
      <c r="K48" s="40">
        <v>13.5</v>
      </c>
      <c r="L48" s="40">
        <v>13.5</v>
      </c>
      <c r="M48" s="40">
        <v>13.5</v>
      </c>
      <c r="N48" s="34"/>
    </row>
    <row r="49" spans="1:26" ht="15.75" customHeight="1" x14ac:dyDescent="0.2">
      <c r="A49" s="36" t="s">
        <v>70</v>
      </c>
      <c r="B49" s="37" t="s">
        <v>71</v>
      </c>
      <c r="C49" s="75"/>
      <c r="D49" s="75"/>
      <c r="E49" s="75"/>
      <c r="F49" s="75"/>
      <c r="G49" s="75"/>
      <c r="H49" s="44"/>
      <c r="I49" s="38">
        <f>I46</f>
        <v>1037</v>
      </c>
      <c r="J49" s="76"/>
      <c r="K49" s="38">
        <f>K46</f>
        <v>2864</v>
      </c>
      <c r="L49" s="76"/>
      <c r="M49" s="76"/>
      <c r="N49" s="39">
        <f>SUM(I49:M49)</f>
        <v>3901</v>
      </c>
    </row>
    <row r="50" spans="1:26" ht="15.75" customHeight="1" x14ac:dyDescent="0.2">
      <c r="A50" s="36" t="s">
        <v>70</v>
      </c>
      <c r="B50" s="37" t="s">
        <v>72</v>
      </c>
      <c r="C50" s="75"/>
      <c r="D50" s="75"/>
      <c r="E50" s="75"/>
      <c r="F50" s="75"/>
      <c r="G50" s="75"/>
      <c r="H50" s="44"/>
      <c r="I50" s="38">
        <f>I46/I47</f>
        <v>103.7</v>
      </c>
      <c r="J50" s="76"/>
      <c r="K50" s="38">
        <f>K46/K48</f>
        <v>212.14814814814815</v>
      </c>
      <c r="L50" s="76"/>
      <c r="M50" s="76"/>
      <c r="N50" s="34"/>
    </row>
    <row r="51" spans="1:26" ht="15.75" customHeight="1" x14ac:dyDescent="0.2">
      <c r="A51" s="49"/>
      <c r="B51" s="46" t="s">
        <v>46</v>
      </c>
      <c r="C51" s="73"/>
      <c r="D51" s="73"/>
      <c r="E51" s="73"/>
      <c r="F51" s="73"/>
      <c r="G51" s="73"/>
      <c r="H51" s="44"/>
      <c r="I51" s="47">
        <f>I50/2</f>
        <v>51.85</v>
      </c>
      <c r="J51" s="47">
        <f>I51*2</f>
        <v>103.7</v>
      </c>
      <c r="K51" s="47">
        <f t="shared" ref="K51:M51" si="50">J51</f>
        <v>103.7</v>
      </c>
      <c r="L51" s="47">
        <f t="shared" si="50"/>
        <v>103.7</v>
      </c>
      <c r="M51" s="47">
        <f t="shared" si="50"/>
        <v>103.7</v>
      </c>
      <c r="N51" s="42"/>
    </row>
    <row r="52" spans="1:26" ht="15.75" customHeight="1" x14ac:dyDescent="0.2">
      <c r="A52" s="49"/>
      <c r="B52" s="46" t="s">
        <v>48</v>
      </c>
      <c r="C52" s="73"/>
      <c r="D52" s="73"/>
      <c r="E52" s="73"/>
      <c r="F52" s="73"/>
      <c r="G52" s="73"/>
      <c r="H52" s="44"/>
      <c r="I52" s="48"/>
      <c r="J52" s="48"/>
      <c r="K52" s="47">
        <f>K50/2</f>
        <v>106.07407407407408</v>
      </c>
      <c r="L52" s="47">
        <f>K52*2</f>
        <v>212.14814814814815</v>
      </c>
      <c r="M52" s="47">
        <f>L52</f>
        <v>212.14814814814815</v>
      </c>
      <c r="N52" s="42"/>
    </row>
    <row r="53" spans="1:26" ht="15.75" customHeight="1" x14ac:dyDescent="0.2">
      <c r="A53" s="28"/>
      <c r="B53" s="37" t="s">
        <v>51</v>
      </c>
      <c r="C53" s="77">
        <f t="shared" ref="C53:G53" si="51">SUM(C46:C52)</f>
        <v>0</v>
      </c>
      <c r="D53" s="77">
        <f t="shared" si="51"/>
        <v>0</v>
      </c>
      <c r="E53" s="77">
        <f t="shared" si="51"/>
        <v>0</v>
      </c>
      <c r="F53" s="77">
        <f t="shared" si="51"/>
        <v>0</v>
      </c>
      <c r="G53" s="77">
        <f t="shared" si="51"/>
        <v>0</v>
      </c>
      <c r="H53" s="78">
        <f>SUM(C53:G53)</f>
        <v>0</v>
      </c>
      <c r="I53" s="38">
        <f t="shared" ref="I53:M53" si="52">I51+I52</f>
        <v>51.85</v>
      </c>
      <c r="J53" s="38">
        <f t="shared" si="52"/>
        <v>103.7</v>
      </c>
      <c r="K53" s="38">
        <f t="shared" si="52"/>
        <v>209.77407407407406</v>
      </c>
      <c r="L53" s="38">
        <f t="shared" si="52"/>
        <v>315.84814814814814</v>
      </c>
      <c r="M53" s="38">
        <f t="shared" si="52"/>
        <v>315.84814814814814</v>
      </c>
      <c r="N53" s="39">
        <f>SUM(I53:M53)</f>
        <v>997.0203703703703</v>
      </c>
    </row>
    <row r="54" spans="1:26" ht="15.75" customHeight="1" x14ac:dyDescent="0.2">
      <c r="A54" s="79" t="s">
        <v>73</v>
      </c>
      <c r="B54" s="32" t="s">
        <v>74</v>
      </c>
      <c r="C54" s="80"/>
      <c r="D54" s="80"/>
      <c r="E54" s="80"/>
      <c r="F54" s="80"/>
      <c r="G54" s="80"/>
      <c r="H54" s="44"/>
      <c r="I54" s="33">
        <v>7.7097899999999999</v>
      </c>
      <c r="J54" s="33">
        <v>8.1908100000000008</v>
      </c>
      <c r="K54" s="33">
        <v>9.0729900000000008</v>
      </c>
      <c r="L54" s="33">
        <v>10.15175</v>
      </c>
      <c r="M54" s="33">
        <v>11.47458</v>
      </c>
      <c r="N54" s="42"/>
    </row>
    <row r="55" spans="1:26" ht="15.75" customHeight="1" x14ac:dyDescent="0.2">
      <c r="A55" s="79" t="s">
        <v>75</v>
      </c>
      <c r="B55" s="32" t="s">
        <v>38</v>
      </c>
      <c r="C55" s="80"/>
      <c r="D55" s="80"/>
      <c r="E55" s="80"/>
      <c r="F55" s="80"/>
      <c r="G55" s="80"/>
      <c r="H55" s="44"/>
      <c r="I55" s="40">
        <v>17</v>
      </c>
      <c r="J55" s="40">
        <v>17</v>
      </c>
      <c r="K55" s="40">
        <v>21</v>
      </c>
      <c r="L55" s="40">
        <v>21</v>
      </c>
      <c r="M55" s="40">
        <v>21</v>
      </c>
      <c r="N55" s="42"/>
    </row>
    <row r="56" spans="1:26" ht="15.75" customHeight="1" x14ac:dyDescent="0.2">
      <c r="A56" s="79" t="s">
        <v>76</v>
      </c>
      <c r="B56" s="32" t="s">
        <v>77</v>
      </c>
      <c r="C56" s="80"/>
      <c r="D56" s="80"/>
      <c r="E56" s="80"/>
      <c r="F56" s="80"/>
      <c r="G56" s="80"/>
      <c r="H56" s="44"/>
      <c r="I56" s="81">
        <f t="shared" ref="I56:M56" si="53">I54*I55</f>
        <v>131.06643</v>
      </c>
      <c r="J56" s="81">
        <f t="shared" si="53"/>
        <v>139.24377000000001</v>
      </c>
      <c r="K56" s="81">
        <f t="shared" si="53"/>
        <v>190.53279000000001</v>
      </c>
      <c r="L56" s="81">
        <f t="shared" si="53"/>
        <v>213.18674999999999</v>
      </c>
      <c r="M56" s="81">
        <f t="shared" si="53"/>
        <v>240.96617999999998</v>
      </c>
      <c r="N56" s="42"/>
    </row>
    <row r="57" spans="1:26" ht="15.75" customHeight="1" x14ac:dyDescent="0.2">
      <c r="A57" s="79" t="s">
        <v>78</v>
      </c>
      <c r="B57" s="32" t="s">
        <v>56</v>
      </c>
      <c r="C57" s="80"/>
      <c r="D57" s="80"/>
      <c r="E57" s="80"/>
      <c r="F57" s="80"/>
      <c r="G57" s="80"/>
      <c r="H57" s="44"/>
      <c r="I57" s="33">
        <v>9</v>
      </c>
      <c r="J57" s="33">
        <v>9</v>
      </c>
      <c r="K57" s="33">
        <v>9</v>
      </c>
      <c r="L57" s="33">
        <v>9</v>
      </c>
      <c r="M57" s="33">
        <v>9</v>
      </c>
      <c r="N57" s="42"/>
    </row>
    <row r="58" spans="1:26" ht="15.75" customHeight="1" x14ac:dyDescent="0.2">
      <c r="A58" s="36" t="s">
        <v>70</v>
      </c>
      <c r="B58" s="37" t="s">
        <v>79</v>
      </c>
      <c r="C58" s="75"/>
      <c r="D58" s="75"/>
      <c r="E58" s="75"/>
      <c r="F58" s="75"/>
      <c r="G58" s="75"/>
      <c r="H58" s="44"/>
      <c r="I58" s="38">
        <f t="shared" ref="I58:M58" si="54">I56-I57</f>
        <v>122.06643</v>
      </c>
      <c r="J58" s="38">
        <f t="shared" si="54"/>
        <v>130.24377000000001</v>
      </c>
      <c r="K58" s="38">
        <f t="shared" si="54"/>
        <v>181.53279000000001</v>
      </c>
      <c r="L58" s="38">
        <f t="shared" si="54"/>
        <v>204.18674999999999</v>
      </c>
      <c r="M58" s="38">
        <f t="shared" si="54"/>
        <v>231.96617999999998</v>
      </c>
      <c r="N58" s="39">
        <f>SUM(I58:M58)</f>
        <v>869.99591999999996</v>
      </c>
    </row>
    <row r="59" spans="1:26" ht="15.75" customHeight="1" x14ac:dyDescent="0.2">
      <c r="A59" s="59" t="s">
        <v>61</v>
      </c>
      <c r="B59" s="60"/>
      <c r="C59" s="61">
        <f>C49-C53</f>
        <v>0</v>
      </c>
      <c r="D59" s="61">
        <f t="shared" ref="D59:G59" si="55">SUM($C49:D49)-SUM($C$53:D53)</f>
        <v>0</v>
      </c>
      <c r="E59" s="61">
        <f t="shared" si="55"/>
        <v>0</v>
      </c>
      <c r="F59" s="61">
        <f t="shared" si="55"/>
        <v>0</v>
      </c>
      <c r="G59" s="61">
        <f t="shared" si="55"/>
        <v>0</v>
      </c>
      <c r="H59" s="61"/>
      <c r="I59" s="61">
        <f>I49-I53</f>
        <v>985.15</v>
      </c>
      <c r="J59" s="61">
        <f t="shared" ref="J59:M59" si="56">SUM($I$49:J49)-SUM($I$53:J53)</f>
        <v>881.45</v>
      </c>
      <c r="K59" s="61">
        <f t="shared" si="56"/>
        <v>3535.6759259259261</v>
      </c>
      <c r="L59" s="61">
        <f t="shared" si="56"/>
        <v>3219.8277777777776</v>
      </c>
      <c r="M59" s="61">
        <f t="shared" si="56"/>
        <v>2903.9796296296299</v>
      </c>
      <c r="N59" s="61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 x14ac:dyDescent="0.2">
      <c r="A60" s="28" t="s">
        <v>62</v>
      </c>
      <c r="B60" s="37"/>
      <c r="C60" s="38">
        <f t="shared" ref="C60:E60" si="57">(C59*$Q$3*$Q$4)+(C59*$R$3*$R$4)+(C59*$S$3*$S$4)</f>
        <v>0</v>
      </c>
      <c r="D60" s="38">
        <f t="shared" si="57"/>
        <v>0</v>
      </c>
      <c r="E60" s="38">
        <f t="shared" si="57"/>
        <v>0</v>
      </c>
      <c r="F60" s="38">
        <f t="shared" ref="F60:G60" si="58">(F59*$Q$3*$Q$5)+(F59*$R$3*$R$5)+(F59*$S$3*$S$5)</f>
        <v>0</v>
      </c>
      <c r="G60" s="38">
        <f t="shared" si="58"/>
        <v>0</v>
      </c>
      <c r="H60" s="62">
        <f t="shared" ref="H60:H63" si="59">SUM(C60:G60)</f>
        <v>0</v>
      </c>
      <c r="I60" s="38">
        <f t="shared" ref="I60:M60" si="60">(I59*$Q$3*$Q$6)+(I59*$R$3*$R$6)+(I59*$S$3*$S$6)</f>
        <v>58.852861000000004</v>
      </c>
      <c r="J60" s="38">
        <f t="shared" si="60"/>
        <v>52.657823000000008</v>
      </c>
      <c r="K60" s="38">
        <f t="shared" si="60"/>
        <v>211.22127981481484</v>
      </c>
      <c r="L60" s="38">
        <f t="shared" si="60"/>
        <v>192.35251144444442</v>
      </c>
      <c r="M60" s="38">
        <f t="shared" si="60"/>
        <v>173.48374307407408</v>
      </c>
      <c r="N60" s="62">
        <f t="shared" ref="N60:N63" si="61">SUM(I60:M60)</f>
        <v>688.56821833333333</v>
      </c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 x14ac:dyDescent="0.2">
      <c r="A61" s="63" t="s">
        <v>63</v>
      </c>
      <c r="B61" s="37"/>
      <c r="C61" s="38">
        <f t="shared" ref="C61:E61" si="62">(C59*$S$3*$S$4)*$T$3</f>
        <v>0</v>
      </c>
      <c r="D61" s="38">
        <f t="shared" si="62"/>
        <v>0</v>
      </c>
      <c r="E61" s="38">
        <f t="shared" si="62"/>
        <v>0</v>
      </c>
      <c r="F61" s="38">
        <f t="shared" ref="F61:G61" si="63">(F59*$S$3*$S$5)*$T$3</f>
        <v>0</v>
      </c>
      <c r="G61" s="38">
        <f t="shared" si="63"/>
        <v>0</v>
      </c>
      <c r="H61" s="62">
        <f t="shared" si="59"/>
        <v>0</v>
      </c>
      <c r="I61" s="38">
        <f t="shared" ref="I61:M61" si="64">(I59*$S$3*$S$6)*$T$3</f>
        <v>9.3983309999999989</v>
      </c>
      <c r="J61" s="38">
        <f t="shared" si="64"/>
        <v>8.4090330000000009</v>
      </c>
      <c r="K61" s="38">
        <f t="shared" si="64"/>
        <v>33.730348333333339</v>
      </c>
      <c r="L61" s="38">
        <f t="shared" si="64"/>
        <v>30.717156999999997</v>
      </c>
      <c r="M61" s="38">
        <f t="shared" si="64"/>
        <v>27.703965666666669</v>
      </c>
      <c r="N61" s="62">
        <f t="shared" si="61"/>
        <v>109.95883499999999</v>
      </c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 x14ac:dyDescent="0.2">
      <c r="A62" s="63" t="s">
        <v>64</v>
      </c>
      <c r="B62" s="37"/>
      <c r="C62" s="64">
        <f t="shared" ref="C62:G62" si="65">C61/(1-0.265)</f>
        <v>0</v>
      </c>
      <c r="D62" s="64">
        <f t="shared" si="65"/>
        <v>0</v>
      </c>
      <c r="E62" s="64">
        <f t="shared" si="65"/>
        <v>0</v>
      </c>
      <c r="F62" s="64">
        <f t="shared" si="65"/>
        <v>0</v>
      </c>
      <c r="G62" s="64">
        <f t="shared" si="65"/>
        <v>0</v>
      </c>
      <c r="H62" s="62">
        <f t="shared" si="59"/>
        <v>0</v>
      </c>
      <c r="I62" s="64">
        <f t="shared" ref="I62:M62" si="66">I61/(1-0.265)</f>
        <v>12.786844897959183</v>
      </c>
      <c r="J62" s="64">
        <f t="shared" si="66"/>
        <v>11.440861224489797</v>
      </c>
      <c r="K62" s="64">
        <f t="shared" si="66"/>
        <v>45.891630385487538</v>
      </c>
      <c r="L62" s="64">
        <f t="shared" si="66"/>
        <v>41.792050340136051</v>
      </c>
      <c r="M62" s="64">
        <f t="shared" si="66"/>
        <v>37.692470294784584</v>
      </c>
      <c r="N62" s="62">
        <f t="shared" si="61"/>
        <v>149.60385714285715</v>
      </c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 x14ac:dyDescent="0.2">
      <c r="A63" s="65" t="s">
        <v>65</v>
      </c>
      <c r="B63" s="66"/>
      <c r="C63" s="67">
        <f t="shared" ref="C63:G63" si="67">C60+C53+C62</f>
        <v>0</v>
      </c>
      <c r="D63" s="67">
        <f t="shared" si="67"/>
        <v>0</v>
      </c>
      <c r="E63" s="67">
        <f t="shared" si="67"/>
        <v>0</v>
      </c>
      <c r="F63" s="67">
        <f t="shared" si="67"/>
        <v>0</v>
      </c>
      <c r="G63" s="67">
        <f t="shared" si="67"/>
        <v>0</v>
      </c>
      <c r="H63" s="68">
        <f t="shared" si="59"/>
        <v>0</v>
      </c>
      <c r="I63" s="67">
        <f t="shared" ref="I63:M63" si="68">I60+I53+I62</f>
        <v>123.4897058979592</v>
      </c>
      <c r="J63" s="67">
        <f t="shared" si="68"/>
        <v>167.79868422448979</v>
      </c>
      <c r="K63" s="67">
        <f t="shared" si="68"/>
        <v>466.8869842743764</v>
      </c>
      <c r="L63" s="67">
        <f t="shared" si="68"/>
        <v>549.99270993272864</v>
      </c>
      <c r="M63" s="67">
        <f t="shared" si="68"/>
        <v>527.02436151700681</v>
      </c>
      <c r="N63" s="68">
        <f t="shared" si="61"/>
        <v>1835.1924458465608</v>
      </c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 x14ac:dyDescent="0.2">
      <c r="A64" s="28"/>
      <c r="B64" s="37"/>
      <c r="C64" s="69"/>
      <c r="D64" s="69"/>
      <c r="E64" s="69"/>
      <c r="F64" s="69"/>
      <c r="G64" s="69"/>
      <c r="H64" s="70"/>
      <c r="I64" s="69"/>
      <c r="J64" s="69"/>
      <c r="K64" s="69"/>
      <c r="L64" s="69"/>
      <c r="M64" s="69"/>
      <c r="N64" s="70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14" ht="15.75" customHeight="1" x14ac:dyDescent="0.2">
      <c r="A65" s="23" t="s">
        <v>80</v>
      </c>
      <c r="B65" s="24" t="s">
        <v>26</v>
      </c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</row>
    <row r="66" spans="1:14" ht="15.75" customHeight="1" x14ac:dyDescent="0.2">
      <c r="A66" s="31" t="s">
        <v>81</v>
      </c>
      <c r="B66" s="32" t="s">
        <v>32</v>
      </c>
      <c r="C66" s="82"/>
      <c r="D66" s="82"/>
      <c r="E66" s="82"/>
      <c r="F66" s="83">
        <v>2800</v>
      </c>
      <c r="G66" s="83">
        <v>3903</v>
      </c>
      <c r="H66" s="41"/>
      <c r="I66" s="83">
        <v>3903</v>
      </c>
      <c r="J66" s="83">
        <v>3903</v>
      </c>
      <c r="K66" s="83">
        <v>3903</v>
      </c>
      <c r="L66" s="83">
        <v>3903</v>
      </c>
      <c r="M66" s="83">
        <v>3903</v>
      </c>
      <c r="N66" s="42"/>
    </row>
    <row r="67" spans="1:14" ht="15.75" customHeight="1" x14ac:dyDescent="0.2">
      <c r="A67" s="31" t="s">
        <v>82</v>
      </c>
      <c r="B67" s="32" t="s">
        <v>34</v>
      </c>
      <c r="C67" s="82"/>
      <c r="D67" s="82"/>
      <c r="E67" s="82"/>
      <c r="F67" s="33">
        <v>115</v>
      </c>
      <c r="G67" s="33">
        <v>119</v>
      </c>
      <c r="H67" s="42"/>
      <c r="I67" s="33">
        <v>123</v>
      </c>
      <c r="J67" s="33">
        <v>127</v>
      </c>
      <c r="K67" s="33">
        <v>131</v>
      </c>
      <c r="L67" s="33">
        <v>135</v>
      </c>
      <c r="M67" s="33">
        <v>139</v>
      </c>
      <c r="N67" s="42"/>
    </row>
    <row r="68" spans="1:14" ht="15.75" customHeight="1" x14ac:dyDescent="0.2">
      <c r="A68" s="79" t="s">
        <v>83</v>
      </c>
      <c r="B68" s="32" t="s">
        <v>84</v>
      </c>
      <c r="C68" s="82"/>
      <c r="D68" s="82"/>
      <c r="E68" s="82"/>
      <c r="F68" s="47">
        <f t="shared" ref="F68:G68" si="69">(F66*F67)/1000</f>
        <v>322</v>
      </c>
      <c r="G68" s="47">
        <f t="shared" si="69"/>
        <v>464.45699999999999</v>
      </c>
      <c r="H68" s="42"/>
      <c r="I68" s="47">
        <f t="shared" ref="I68:M68" si="70">(I66*I67)/1000</f>
        <v>480.06900000000002</v>
      </c>
      <c r="J68" s="47">
        <f t="shared" si="70"/>
        <v>495.68099999999998</v>
      </c>
      <c r="K68" s="47">
        <f t="shared" si="70"/>
        <v>511.29300000000001</v>
      </c>
      <c r="L68" s="47">
        <f t="shared" si="70"/>
        <v>526.90499999999997</v>
      </c>
      <c r="M68" s="47">
        <f t="shared" si="70"/>
        <v>542.51700000000005</v>
      </c>
      <c r="N68" s="42"/>
    </row>
    <row r="69" spans="1:14" ht="15.75" customHeight="1" x14ac:dyDescent="0.2">
      <c r="A69" s="31" t="s">
        <v>85</v>
      </c>
      <c r="B69" s="32" t="s">
        <v>38</v>
      </c>
      <c r="C69" s="82"/>
      <c r="D69" s="82"/>
      <c r="E69" s="82"/>
      <c r="F69" s="84">
        <v>0.6</v>
      </c>
      <c r="G69" s="84">
        <v>0.6</v>
      </c>
      <c r="H69" s="42"/>
      <c r="I69" s="85">
        <v>0.6</v>
      </c>
      <c r="J69" s="85">
        <v>0.6</v>
      </c>
      <c r="K69" s="85">
        <v>0.6</v>
      </c>
      <c r="L69" s="85">
        <v>0.6</v>
      </c>
      <c r="M69" s="85">
        <v>0.6</v>
      </c>
      <c r="N69" s="42"/>
    </row>
    <row r="70" spans="1:14" ht="15.75" customHeight="1" x14ac:dyDescent="0.2">
      <c r="A70" s="36" t="s">
        <v>86</v>
      </c>
      <c r="B70" s="37" t="s">
        <v>87</v>
      </c>
      <c r="C70" s="76"/>
      <c r="D70" s="76"/>
      <c r="E70" s="76"/>
      <c r="F70" s="38">
        <f t="shared" ref="F70:G70" si="71">F68*F69</f>
        <v>193.2</v>
      </c>
      <c r="G70" s="38">
        <f t="shared" si="71"/>
        <v>278.67419999999998</v>
      </c>
      <c r="H70" s="39">
        <f>SUM(C70:G70)</f>
        <v>471.87419999999997</v>
      </c>
      <c r="I70" s="38">
        <f t="shared" ref="I70:M70" si="72">I68*I69</f>
        <v>288.04140000000001</v>
      </c>
      <c r="J70" s="38">
        <f t="shared" si="72"/>
        <v>297.40859999999998</v>
      </c>
      <c r="K70" s="38">
        <f t="shared" si="72"/>
        <v>306.7758</v>
      </c>
      <c r="L70" s="38">
        <f t="shared" si="72"/>
        <v>316.14299999999997</v>
      </c>
      <c r="M70" s="38">
        <f t="shared" si="72"/>
        <v>325.5102</v>
      </c>
      <c r="N70" s="39">
        <f>SUM(I70:M70)</f>
        <v>1533.8789999999999</v>
      </c>
    </row>
    <row r="71" spans="1:14" ht="15.75" customHeight="1" x14ac:dyDescent="0.2">
      <c r="A71" s="31" t="s">
        <v>37</v>
      </c>
      <c r="B71" s="32" t="s">
        <v>56</v>
      </c>
      <c r="C71" s="82"/>
      <c r="D71" s="82"/>
      <c r="E71" s="82"/>
      <c r="F71" s="40">
        <v>36</v>
      </c>
      <c r="G71" s="40">
        <f>F71</f>
        <v>36</v>
      </c>
      <c r="H71" s="41"/>
      <c r="I71" s="40">
        <f>G71</f>
        <v>36</v>
      </c>
      <c r="J71" s="40">
        <f t="shared" ref="J71:M71" si="73">I71</f>
        <v>36</v>
      </c>
      <c r="K71" s="40">
        <f t="shared" si="73"/>
        <v>36</v>
      </c>
      <c r="L71" s="40">
        <f t="shared" si="73"/>
        <v>36</v>
      </c>
      <c r="M71" s="40">
        <f t="shared" si="73"/>
        <v>36</v>
      </c>
      <c r="N71" s="42"/>
    </row>
    <row r="72" spans="1:14" ht="15.75" customHeight="1" x14ac:dyDescent="0.2">
      <c r="A72" s="36" t="s">
        <v>86</v>
      </c>
      <c r="B72" s="37" t="s">
        <v>88</v>
      </c>
      <c r="C72" s="76"/>
      <c r="D72" s="76"/>
      <c r="E72" s="76"/>
      <c r="F72" s="38">
        <f t="shared" ref="F72:G72" si="74">F70/F71</f>
        <v>5.3666666666666663</v>
      </c>
      <c r="G72" s="38">
        <f t="shared" si="74"/>
        <v>7.7409499999999998</v>
      </c>
      <c r="H72" s="42"/>
      <c r="I72" s="38">
        <f t="shared" ref="I72:M72" si="75">I70/I71</f>
        <v>8.0011500000000009</v>
      </c>
      <c r="J72" s="38">
        <f t="shared" si="75"/>
        <v>8.2613500000000002</v>
      </c>
      <c r="K72" s="38">
        <f t="shared" si="75"/>
        <v>8.5215499999999995</v>
      </c>
      <c r="L72" s="38">
        <f t="shared" si="75"/>
        <v>8.7817499999999988</v>
      </c>
      <c r="M72" s="38">
        <f t="shared" si="75"/>
        <v>9.0419499999999999</v>
      </c>
      <c r="N72" s="42"/>
    </row>
    <row r="73" spans="1:14" ht="15.75" customHeight="1" x14ac:dyDescent="0.2">
      <c r="A73" s="45"/>
      <c r="B73" s="46" t="s">
        <v>44</v>
      </c>
      <c r="C73" s="48"/>
      <c r="D73" s="48"/>
      <c r="E73" s="48"/>
      <c r="F73" s="47">
        <f>F72/2</f>
        <v>2.6833333333333331</v>
      </c>
      <c r="G73" s="47">
        <f>F73*2</f>
        <v>5.3666666666666663</v>
      </c>
      <c r="H73" s="42"/>
      <c r="I73" s="47">
        <f>G73</f>
        <v>5.3666666666666663</v>
      </c>
      <c r="J73" s="47">
        <f t="shared" ref="J73:M73" si="76">I73</f>
        <v>5.3666666666666663</v>
      </c>
      <c r="K73" s="47">
        <f t="shared" si="76"/>
        <v>5.3666666666666663</v>
      </c>
      <c r="L73" s="47">
        <f t="shared" si="76"/>
        <v>5.3666666666666663</v>
      </c>
      <c r="M73" s="47">
        <f t="shared" si="76"/>
        <v>5.3666666666666663</v>
      </c>
      <c r="N73" s="42"/>
    </row>
    <row r="74" spans="1:14" ht="15.75" customHeight="1" x14ac:dyDescent="0.2">
      <c r="A74" s="45"/>
      <c r="B74" s="46" t="s">
        <v>45</v>
      </c>
      <c r="C74" s="48"/>
      <c r="D74" s="48"/>
      <c r="E74" s="48"/>
      <c r="F74" s="48"/>
      <c r="G74" s="47">
        <f>G72/2</f>
        <v>3.8704749999999999</v>
      </c>
      <c r="H74" s="42"/>
      <c r="I74" s="47">
        <f>G74*2</f>
        <v>7.7409499999999998</v>
      </c>
      <c r="J74" s="47">
        <f t="shared" ref="J74:M74" si="77">I74</f>
        <v>7.7409499999999998</v>
      </c>
      <c r="K74" s="47">
        <f t="shared" si="77"/>
        <v>7.7409499999999998</v>
      </c>
      <c r="L74" s="47">
        <f t="shared" si="77"/>
        <v>7.7409499999999998</v>
      </c>
      <c r="M74" s="47">
        <f t="shared" si="77"/>
        <v>7.7409499999999998</v>
      </c>
      <c r="N74" s="42"/>
    </row>
    <row r="75" spans="1:14" ht="15.75" customHeight="1" x14ac:dyDescent="0.2">
      <c r="A75" s="49"/>
      <c r="B75" s="46" t="s">
        <v>46</v>
      </c>
      <c r="C75" s="48"/>
      <c r="D75" s="48"/>
      <c r="E75" s="48"/>
      <c r="F75" s="48"/>
      <c r="G75" s="48"/>
      <c r="H75" s="42"/>
      <c r="I75" s="47">
        <f>I72/2</f>
        <v>4.0005750000000004</v>
      </c>
      <c r="J75" s="47">
        <f>I75*2</f>
        <v>8.0011500000000009</v>
      </c>
      <c r="K75" s="47">
        <f t="shared" ref="K75:M75" si="78">J75</f>
        <v>8.0011500000000009</v>
      </c>
      <c r="L75" s="47">
        <f t="shared" si="78"/>
        <v>8.0011500000000009</v>
      </c>
      <c r="M75" s="47">
        <f t="shared" si="78"/>
        <v>8.0011500000000009</v>
      </c>
      <c r="N75" s="42"/>
    </row>
    <row r="76" spans="1:14" ht="15.75" customHeight="1" x14ac:dyDescent="0.2">
      <c r="A76" s="49"/>
      <c r="B76" s="46" t="s">
        <v>47</v>
      </c>
      <c r="C76" s="48"/>
      <c r="D76" s="48"/>
      <c r="E76" s="48"/>
      <c r="F76" s="48"/>
      <c r="G76" s="48"/>
      <c r="H76" s="42"/>
      <c r="I76" s="48"/>
      <c r="J76" s="47">
        <f>J72/2</f>
        <v>4.1306750000000001</v>
      </c>
      <c r="K76" s="47">
        <f>J76*2</f>
        <v>8.2613500000000002</v>
      </c>
      <c r="L76" s="47">
        <f t="shared" ref="L76:M76" si="79">K76</f>
        <v>8.2613500000000002</v>
      </c>
      <c r="M76" s="47">
        <f t="shared" si="79"/>
        <v>8.2613500000000002</v>
      </c>
      <c r="N76" s="42"/>
    </row>
    <row r="77" spans="1:14" ht="15.75" customHeight="1" x14ac:dyDescent="0.2">
      <c r="A77" s="49"/>
      <c r="B77" s="46" t="s">
        <v>48</v>
      </c>
      <c r="C77" s="48"/>
      <c r="D77" s="48"/>
      <c r="E77" s="48"/>
      <c r="F77" s="48"/>
      <c r="G77" s="48"/>
      <c r="H77" s="42"/>
      <c r="I77" s="48"/>
      <c r="J77" s="48"/>
      <c r="K77" s="47">
        <f>K72/2</f>
        <v>4.2607749999999998</v>
      </c>
      <c r="L77" s="47">
        <f>K77*2</f>
        <v>8.5215499999999995</v>
      </c>
      <c r="M77" s="47">
        <f>L77</f>
        <v>8.5215499999999995</v>
      </c>
      <c r="N77" s="42"/>
    </row>
    <row r="78" spans="1:14" ht="15.75" customHeight="1" x14ac:dyDescent="0.2">
      <c r="A78" s="49"/>
      <c r="B78" s="46" t="s">
        <v>49</v>
      </c>
      <c r="C78" s="48"/>
      <c r="D78" s="48"/>
      <c r="E78" s="48"/>
      <c r="F78" s="48"/>
      <c r="G78" s="48"/>
      <c r="H78" s="42"/>
      <c r="I78" s="48"/>
      <c r="J78" s="48"/>
      <c r="K78" s="48"/>
      <c r="L78" s="47">
        <f>L72/2</f>
        <v>4.3908749999999994</v>
      </c>
      <c r="M78" s="47">
        <f>L78*2</f>
        <v>8.7817499999999988</v>
      </c>
      <c r="N78" s="42"/>
    </row>
    <row r="79" spans="1:14" ht="15.75" customHeight="1" x14ac:dyDescent="0.2">
      <c r="A79" s="49"/>
      <c r="B79" s="46" t="s">
        <v>50</v>
      </c>
      <c r="C79" s="48"/>
      <c r="D79" s="48"/>
      <c r="E79" s="48"/>
      <c r="F79" s="48"/>
      <c r="G79" s="48"/>
      <c r="H79" s="42"/>
      <c r="I79" s="48"/>
      <c r="J79" s="48"/>
      <c r="K79" s="48"/>
      <c r="L79" s="48"/>
      <c r="M79" s="47">
        <f>M72/2</f>
        <v>4.520975</v>
      </c>
      <c r="N79" s="42"/>
    </row>
    <row r="80" spans="1:14" ht="15.75" customHeight="1" x14ac:dyDescent="0.2">
      <c r="A80" s="28"/>
      <c r="B80" s="37" t="s">
        <v>51</v>
      </c>
      <c r="C80" s="38">
        <f t="shared" ref="C80:G80" si="80">SUM(C73:C79)</f>
        <v>0</v>
      </c>
      <c r="D80" s="38">
        <f t="shared" si="80"/>
        <v>0</v>
      </c>
      <c r="E80" s="38">
        <f t="shared" si="80"/>
        <v>0</v>
      </c>
      <c r="F80" s="38">
        <f t="shared" si="80"/>
        <v>2.6833333333333331</v>
      </c>
      <c r="G80" s="38">
        <f t="shared" si="80"/>
        <v>9.2371416666666661</v>
      </c>
      <c r="H80" s="39">
        <f>SUM(C80:G80)</f>
        <v>11.920475</v>
      </c>
      <c r="I80" s="38">
        <f t="shared" ref="I80:M80" si="81">SUM(I73:I79)</f>
        <v>17.108191666666666</v>
      </c>
      <c r="J80" s="38">
        <f t="shared" si="81"/>
        <v>25.239441666666668</v>
      </c>
      <c r="K80" s="38">
        <f t="shared" si="81"/>
        <v>33.63089166666667</v>
      </c>
      <c r="L80" s="38">
        <f t="shared" si="81"/>
        <v>42.282541666666667</v>
      </c>
      <c r="M80" s="38">
        <f t="shared" si="81"/>
        <v>51.194391666666668</v>
      </c>
      <c r="N80" s="39">
        <f>SUM(I80:M80)</f>
        <v>169.45545833333333</v>
      </c>
    </row>
    <row r="81" spans="1:26" ht="15.75" customHeight="1" x14ac:dyDescent="0.2">
      <c r="A81" s="31" t="s">
        <v>89</v>
      </c>
      <c r="B81" s="29" t="s">
        <v>90</v>
      </c>
      <c r="C81" s="82"/>
      <c r="D81" s="82"/>
      <c r="E81" s="82"/>
      <c r="F81" s="84">
        <v>0.4</v>
      </c>
      <c r="G81" s="84">
        <v>0.4</v>
      </c>
      <c r="H81" s="86"/>
      <c r="I81" s="84">
        <v>0.4</v>
      </c>
      <c r="J81" s="84">
        <v>0.4</v>
      </c>
      <c r="K81" s="84">
        <v>0.4</v>
      </c>
      <c r="L81" s="84">
        <v>0.4</v>
      </c>
      <c r="M81" s="84">
        <v>0.4</v>
      </c>
      <c r="N81" s="42"/>
    </row>
    <row r="82" spans="1:26" ht="15.75" customHeight="1" x14ac:dyDescent="0.2">
      <c r="A82" s="36" t="s">
        <v>86</v>
      </c>
      <c r="B82" s="37" t="s">
        <v>91</v>
      </c>
      <c r="C82" s="76"/>
      <c r="D82" s="76"/>
      <c r="E82" s="76"/>
      <c r="F82" s="38">
        <f t="shared" ref="F82:G82" si="82">F68*F81</f>
        <v>128.80000000000001</v>
      </c>
      <c r="G82" s="38">
        <f t="shared" si="82"/>
        <v>185.78280000000001</v>
      </c>
      <c r="H82" s="39">
        <f>SUM(C82:G82)</f>
        <v>314.58280000000002</v>
      </c>
      <c r="I82" s="38">
        <f t="shared" ref="I82:M82" si="83">I68*I81</f>
        <v>192.02760000000001</v>
      </c>
      <c r="J82" s="38">
        <f t="shared" si="83"/>
        <v>198.2724</v>
      </c>
      <c r="K82" s="38">
        <f t="shared" si="83"/>
        <v>204.5172</v>
      </c>
      <c r="L82" s="38">
        <f t="shared" si="83"/>
        <v>210.762</v>
      </c>
      <c r="M82" s="38">
        <f t="shared" si="83"/>
        <v>217.00680000000003</v>
      </c>
      <c r="N82" s="39">
        <f>SUM(I82:M82)</f>
        <v>1022.5859999999999</v>
      </c>
    </row>
    <row r="83" spans="1:26" ht="15.75" customHeight="1" x14ac:dyDescent="0.2">
      <c r="A83" s="59" t="s">
        <v>61</v>
      </c>
      <c r="B83" s="60"/>
      <c r="C83" s="61">
        <f>C70-C80</f>
        <v>0</v>
      </c>
      <c r="D83" s="61">
        <f t="shared" ref="D83:G83" si="84">SUM($C70:D70)-SUM($C$80:D80)</f>
        <v>0</v>
      </c>
      <c r="E83" s="61">
        <f t="shared" si="84"/>
        <v>0</v>
      </c>
      <c r="F83" s="61">
        <f t="shared" si="84"/>
        <v>190.51666666666665</v>
      </c>
      <c r="G83" s="61">
        <f t="shared" si="84"/>
        <v>459.95372499999996</v>
      </c>
      <c r="H83" s="61"/>
      <c r="I83" s="61">
        <f>I70-I80</f>
        <v>270.93320833333337</v>
      </c>
      <c r="J83" s="61">
        <f t="shared" ref="J83:M83" si="85">SUM($I70:J70)-SUM($I$80:J80)</f>
        <v>543.10236666666674</v>
      </c>
      <c r="K83" s="61">
        <f t="shared" si="85"/>
        <v>816.24727500000006</v>
      </c>
      <c r="L83" s="61">
        <f t="shared" si="85"/>
        <v>1090.1077333333333</v>
      </c>
      <c r="M83" s="61">
        <f t="shared" si="85"/>
        <v>1364.4235416666666</v>
      </c>
      <c r="N83" s="61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 x14ac:dyDescent="0.2">
      <c r="A84" s="28" t="s">
        <v>62</v>
      </c>
      <c r="B84" s="37"/>
      <c r="C84" s="38">
        <f t="shared" ref="C84:E84" si="86">(C83*$Q$3*$Q$4)+(C83*$R$3*$R$4)+(C83*$S$3*$S$4)</f>
        <v>0</v>
      </c>
      <c r="D84" s="38">
        <f t="shared" si="86"/>
        <v>0</v>
      </c>
      <c r="E84" s="38">
        <f t="shared" si="86"/>
        <v>0</v>
      </c>
      <c r="F84" s="38">
        <f t="shared" ref="F84:G84" si="87">(F83*$Q$3*$Q$5)+(F83*$R$3*$R$5)+(F83*$S$3*$S$5)</f>
        <v>23.875548666666663</v>
      </c>
      <c r="G84" s="38">
        <f t="shared" si="87"/>
        <v>57.641400817000005</v>
      </c>
      <c r="H84" s="62">
        <f t="shared" ref="H84:H87" si="88">SUM(C84:G84)</f>
        <v>81.516949483666664</v>
      </c>
      <c r="I84" s="38">
        <f t="shared" ref="I84:M84" si="89">(I83*$Q$3*$Q$6)+(I83*$R$3*$R$6)+(I83*$S$3*$S$6)</f>
        <v>16.185549865833337</v>
      </c>
      <c r="J84" s="38">
        <f t="shared" si="89"/>
        <v>32.444935384666671</v>
      </c>
      <c r="K84" s="38">
        <f t="shared" si="89"/>
        <v>48.762612208500002</v>
      </c>
      <c r="L84" s="38">
        <f t="shared" si="89"/>
        <v>65.123035989333331</v>
      </c>
      <c r="M84" s="38">
        <f t="shared" si="89"/>
        <v>81.510662379166661</v>
      </c>
      <c r="N84" s="62">
        <f t="shared" ref="N84:N87" si="90">SUM(I84:M84)</f>
        <v>244.0267958275</v>
      </c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" customHeight="1" x14ac:dyDescent="0.2">
      <c r="A85" s="63" t="s">
        <v>63</v>
      </c>
      <c r="B85" s="37"/>
      <c r="C85" s="38">
        <f t="shared" ref="C85:E85" si="91">(C83*$S$3*$S$4)*$T$3</f>
        <v>0</v>
      </c>
      <c r="D85" s="38">
        <f t="shared" si="91"/>
        <v>0</v>
      </c>
      <c r="E85" s="38">
        <f t="shared" si="91"/>
        <v>0</v>
      </c>
      <c r="F85" s="38">
        <f t="shared" ref="F85:G85" si="92">(F83*$S$3*$S$5)*$T$3</f>
        <v>1.85993801</v>
      </c>
      <c r="G85" s="38">
        <f t="shared" si="92"/>
        <v>4.4903442356850007</v>
      </c>
      <c r="H85" s="62">
        <f t="shared" si="88"/>
        <v>6.3502822456850012</v>
      </c>
      <c r="I85" s="38">
        <f t="shared" ref="I85:M85" si="93">(I83*$S$3*$S$6)*$T$3</f>
        <v>2.5847028075000003</v>
      </c>
      <c r="J85" s="38">
        <f t="shared" si="93"/>
        <v>5.1811965780000007</v>
      </c>
      <c r="K85" s="38">
        <f t="shared" si="93"/>
        <v>7.786999003500001</v>
      </c>
      <c r="L85" s="38">
        <f t="shared" si="93"/>
        <v>10.399627776000001</v>
      </c>
      <c r="M85" s="38">
        <f t="shared" si="93"/>
        <v>13.016600587499999</v>
      </c>
      <c r="N85" s="62">
        <f t="shared" si="90"/>
        <v>38.969126752500003</v>
      </c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" customHeight="1" x14ac:dyDescent="0.2">
      <c r="A86" s="63" t="s">
        <v>64</v>
      </c>
      <c r="B86" s="37"/>
      <c r="C86" s="64">
        <f t="shared" ref="C86:G86" si="94">C85/(1-0.265)</f>
        <v>0</v>
      </c>
      <c r="D86" s="64">
        <f t="shared" si="94"/>
        <v>0</v>
      </c>
      <c r="E86" s="64">
        <f t="shared" si="94"/>
        <v>0</v>
      </c>
      <c r="F86" s="64">
        <f t="shared" si="94"/>
        <v>2.5305279047619047</v>
      </c>
      <c r="G86" s="64">
        <f t="shared" si="94"/>
        <v>6.1093118852857158</v>
      </c>
      <c r="H86" s="62">
        <f t="shared" si="88"/>
        <v>8.6398397900476205</v>
      </c>
      <c r="I86" s="64">
        <f t="shared" ref="I86:M86" si="95">I85/(1-0.265)</f>
        <v>3.516602459183674</v>
      </c>
      <c r="J86" s="64">
        <f t="shared" si="95"/>
        <v>7.0492470448979603</v>
      </c>
      <c r="K86" s="64">
        <f t="shared" si="95"/>
        <v>10.594556467346941</v>
      </c>
      <c r="L86" s="64">
        <f t="shared" si="95"/>
        <v>14.149153436734695</v>
      </c>
      <c r="M86" s="64">
        <f t="shared" si="95"/>
        <v>17.709660663265307</v>
      </c>
      <c r="N86" s="62">
        <f t="shared" si="90"/>
        <v>53.019220071428578</v>
      </c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" customHeight="1" x14ac:dyDescent="0.2">
      <c r="A87" s="65" t="s">
        <v>65</v>
      </c>
      <c r="B87" s="66"/>
      <c r="C87" s="67">
        <f t="shared" ref="C87:G87" si="96">C84+C80+C86</f>
        <v>0</v>
      </c>
      <c r="D87" s="67">
        <f t="shared" si="96"/>
        <v>0</v>
      </c>
      <c r="E87" s="67">
        <f t="shared" si="96"/>
        <v>0</v>
      </c>
      <c r="F87" s="67">
        <f t="shared" si="96"/>
        <v>29.089409904761901</v>
      </c>
      <c r="G87" s="67">
        <f t="shared" si="96"/>
        <v>72.987854368952398</v>
      </c>
      <c r="H87" s="68">
        <f t="shared" si="88"/>
        <v>102.07726427371429</v>
      </c>
      <c r="I87" s="67">
        <f t="shared" ref="I87:M87" si="97">I84+I80+I86</f>
        <v>36.810343991683681</v>
      </c>
      <c r="J87" s="67">
        <f t="shared" si="97"/>
        <v>64.733624096231296</v>
      </c>
      <c r="K87" s="67">
        <f t="shared" si="97"/>
        <v>92.98806034251362</v>
      </c>
      <c r="L87" s="67">
        <f t="shared" si="97"/>
        <v>121.55473109273468</v>
      </c>
      <c r="M87" s="67">
        <f t="shared" si="97"/>
        <v>150.41471470909863</v>
      </c>
      <c r="N87" s="68">
        <f t="shared" si="90"/>
        <v>466.5014742322619</v>
      </c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 x14ac:dyDescent="0.2">
      <c r="A88" s="28"/>
      <c r="B88" s="37"/>
      <c r="C88" s="69"/>
      <c r="D88" s="69"/>
      <c r="E88" s="69"/>
      <c r="F88" s="69"/>
      <c r="G88" s="69"/>
      <c r="H88" s="70"/>
      <c r="I88" s="69"/>
      <c r="J88" s="69"/>
      <c r="K88" s="69"/>
      <c r="L88" s="69"/>
      <c r="M88" s="69"/>
      <c r="N88" s="70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 x14ac:dyDescent="0.2">
      <c r="A89" s="23" t="s">
        <v>92</v>
      </c>
      <c r="B89" s="24" t="s">
        <v>26</v>
      </c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</row>
    <row r="90" spans="1:26" ht="15.75" customHeight="1" x14ac:dyDescent="0.2">
      <c r="A90" s="31" t="s">
        <v>93</v>
      </c>
      <c r="B90" s="32" t="s">
        <v>32</v>
      </c>
      <c r="C90" s="82"/>
      <c r="D90" s="82"/>
      <c r="E90" s="81">
        <v>290</v>
      </c>
      <c r="F90" s="81">
        <v>480</v>
      </c>
      <c r="G90" s="81">
        <v>500</v>
      </c>
      <c r="H90" s="87"/>
      <c r="I90" s="81">
        <f>500+500</f>
        <v>1000</v>
      </c>
      <c r="J90" s="81">
        <f t="shared" ref="J90:L90" si="98">500-500</f>
        <v>0</v>
      </c>
      <c r="K90" s="81">
        <f t="shared" si="98"/>
        <v>0</v>
      </c>
      <c r="L90" s="81">
        <f t="shared" si="98"/>
        <v>0</v>
      </c>
      <c r="M90" s="82">
        <v>0</v>
      </c>
      <c r="N90" s="87"/>
    </row>
    <row r="91" spans="1:26" ht="15.75" customHeight="1" x14ac:dyDescent="0.2">
      <c r="A91" s="36" t="s">
        <v>94</v>
      </c>
      <c r="B91" s="37" t="s">
        <v>71</v>
      </c>
      <c r="C91" s="76"/>
      <c r="D91" s="76"/>
      <c r="E91" s="38">
        <f t="shared" ref="E91:G91" si="99">E90</f>
        <v>290</v>
      </c>
      <c r="F91" s="38">
        <f t="shared" si="99"/>
        <v>480</v>
      </c>
      <c r="G91" s="38">
        <f t="shared" si="99"/>
        <v>500</v>
      </c>
      <c r="H91" s="39">
        <f>SUM(C91:G91)</f>
        <v>1270</v>
      </c>
      <c r="I91" s="38">
        <f t="shared" ref="I91:L91" si="100">I90</f>
        <v>1000</v>
      </c>
      <c r="J91" s="38">
        <f t="shared" si="100"/>
        <v>0</v>
      </c>
      <c r="K91" s="38">
        <f t="shared" si="100"/>
        <v>0</v>
      </c>
      <c r="L91" s="38">
        <f t="shared" si="100"/>
        <v>0</v>
      </c>
      <c r="M91" s="76">
        <v>0</v>
      </c>
      <c r="N91" s="39">
        <f>SUM(I91:M91)</f>
        <v>1000</v>
      </c>
    </row>
    <row r="92" spans="1:26" ht="15.75" customHeight="1" x14ac:dyDescent="0.2">
      <c r="A92" s="31" t="s">
        <v>95</v>
      </c>
      <c r="B92" s="32" t="s">
        <v>34</v>
      </c>
      <c r="C92" s="50"/>
      <c r="D92" s="50"/>
      <c r="E92" s="40">
        <v>43.76</v>
      </c>
      <c r="F92" s="40">
        <f t="shared" ref="F92:G92" si="101">E92</f>
        <v>43.76</v>
      </c>
      <c r="G92" s="40">
        <f t="shared" si="101"/>
        <v>43.76</v>
      </c>
      <c r="H92" s="41"/>
      <c r="I92" s="40">
        <f t="shared" ref="I92:J92" si="102">E92</f>
        <v>43.76</v>
      </c>
      <c r="J92" s="40">
        <f t="shared" si="102"/>
        <v>43.76</v>
      </c>
      <c r="K92" s="40">
        <f t="shared" ref="K92:M92" si="103">J92</f>
        <v>43.76</v>
      </c>
      <c r="L92" s="40">
        <f t="shared" si="103"/>
        <v>43.76</v>
      </c>
      <c r="M92" s="40">
        <f t="shared" si="103"/>
        <v>43.76</v>
      </c>
      <c r="N92" s="42"/>
    </row>
    <row r="93" spans="1:26" ht="15.75" customHeight="1" x14ac:dyDescent="0.2">
      <c r="A93" s="36" t="s">
        <v>94</v>
      </c>
      <c r="B93" s="37" t="s">
        <v>72</v>
      </c>
      <c r="C93" s="76"/>
      <c r="D93" s="76"/>
      <c r="E93" s="38">
        <f t="shared" ref="E93:G93" si="104">E91/E92</f>
        <v>6.6270566727605118</v>
      </c>
      <c r="F93" s="38">
        <f t="shared" si="104"/>
        <v>10.96892138939671</v>
      </c>
      <c r="G93" s="38">
        <f t="shared" si="104"/>
        <v>11.425959780621573</v>
      </c>
      <c r="H93" s="34"/>
      <c r="I93" s="38">
        <f t="shared" ref="I93:M93" si="105">I91/I92</f>
        <v>22.851919561243147</v>
      </c>
      <c r="J93" s="38">
        <f t="shared" si="105"/>
        <v>0</v>
      </c>
      <c r="K93" s="38">
        <f t="shared" si="105"/>
        <v>0</v>
      </c>
      <c r="L93" s="38">
        <f t="shared" si="105"/>
        <v>0</v>
      </c>
      <c r="M93" s="38">
        <f t="shared" si="105"/>
        <v>0</v>
      </c>
      <c r="N93" s="34"/>
    </row>
    <row r="94" spans="1:26" ht="15.75" customHeight="1" x14ac:dyDescent="0.2">
      <c r="A94" s="45"/>
      <c r="B94" s="46" t="s">
        <v>96</v>
      </c>
      <c r="C94" s="48"/>
      <c r="D94" s="48"/>
      <c r="E94" s="48"/>
      <c r="F94" s="48"/>
      <c r="G94" s="47">
        <f>(E93/12)*2</f>
        <v>1.1045094454600852</v>
      </c>
      <c r="H94" s="34"/>
      <c r="I94" s="47">
        <f>(G94/2)*12</f>
        <v>6.6270566727605118</v>
      </c>
      <c r="J94" s="47">
        <f t="shared" ref="J94:M94" si="106">I94</f>
        <v>6.6270566727605118</v>
      </c>
      <c r="K94" s="47">
        <f t="shared" si="106"/>
        <v>6.6270566727605118</v>
      </c>
      <c r="L94" s="47">
        <f t="shared" si="106"/>
        <v>6.6270566727605118</v>
      </c>
      <c r="M94" s="47">
        <f t="shared" si="106"/>
        <v>6.6270566727605118</v>
      </c>
      <c r="N94" s="34"/>
    </row>
    <row r="95" spans="1:26" ht="15.75" customHeight="1" x14ac:dyDescent="0.2">
      <c r="A95" s="45"/>
      <c r="B95" s="46" t="s">
        <v>97</v>
      </c>
      <c r="C95" s="48"/>
      <c r="D95" s="48"/>
      <c r="E95" s="48"/>
      <c r="F95" s="48"/>
      <c r="G95" s="48"/>
      <c r="H95" s="34"/>
      <c r="I95" s="48"/>
      <c r="J95" s="47">
        <f>(F93/12)*10</f>
        <v>9.1407678244972583</v>
      </c>
      <c r="K95" s="47">
        <f>(J95/10)*12</f>
        <v>10.968921389396709</v>
      </c>
      <c r="L95" s="47">
        <f t="shared" ref="L95:M95" si="107">K95</f>
        <v>10.968921389396709</v>
      </c>
      <c r="M95" s="47">
        <f t="shared" si="107"/>
        <v>10.968921389396709</v>
      </c>
      <c r="N95" s="34"/>
    </row>
    <row r="96" spans="1:26" ht="15.75" customHeight="1" x14ac:dyDescent="0.2">
      <c r="A96" s="49"/>
      <c r="B96" s="46" t="s">
        <v>98</v>
      </c>
      <c r="C96" s="48"/>
      <c r="D96" s="48"/>
      <c r="E96" s="48"/>
      <c r="F96" s="48"/>
      <c r="G96" s="48"/>
      <c r="H96" s="34"/>
      <c r="I96" s="48"/>
      <c r="J96" s="47">
        <f>G93/12</f>
        <v>0.95216331505179774</v>
      </c>
      <c r="K96" s="47">
        <f>J96*12</f>
        <v>11.425959780621573</v>
      </c>
      <c r="L96" s="47">
        <f t="shared" ref="L96:M96" si="108">K96</f>
        <v>11.425959780621573</v>
      </c>
      <c r="M96" s="47">
        <f t="shared" si="108"/>
        <v>11.425959780621573</v>
      </c>
      <c r="N96" s="34"/>
    </row>
    <row r="97" spans="1:26" ht="15.75" customHeight="1" x14ac:dyDescent="0.2">
      <c r="A97" s="49"/>
      <c r="B97" s="46" t="s">
        <v>99</v>
      </c>
      <c r="C97" s="48"/>
      <c r="D97" s="48"/>
      <c r="E97" s="48"/>
      <c r="F97" s="48"/>
      <c r="G97" s="48"/>
      <c r="H97" s="34"/>
      <c r="I97" s="48"/>
      <c r="J97" s="48"/>
      <c r="K97" s="47">
        <f>(I93/2)/12*10</f>
        <v>9.5216331505179781</v>
      </c>
      <c r="L97" s="47">
        <f t="shared" ref="L97:L98" si="109">(K97/10)*12</f>
        <v>11.425959780621575</v>
      </c>
      <c r="M97" s="47">
        <f t="shared" ref="M97:M98" si="110">L97</f>
        <v>11.425959780621575</v>
      </c>
      <c r="N97" s="34"/>
    </row>
    <row r="98" spans="1:26" ht="15.75" customHeight="1" x14ac:dyDescent="0.2">
      <c r="A98" s="49"/>
      <c r="B98" s="46" t="s">
        <v>100</v>
      </c>
      <c r="C98" s="48"/>
      <c r="D98" s="48"/>
      <c r="E98" s="48"/>
      <c r="F98" s="48"/>
      <c r="G98" s="48"/>
      <c r="H98" s="34"/>
      <c r="I98" s="48"/>
      <c r="J98" s="48"/>
      <c r="K98" s="47">
        <f>(I93/2)/12*10</f>
        <v>9.5216331505179781</v>
      </c>
      <c r="L98" s="47">
        <f t="shared" si="109"/>
        <v>11.425959780621575</v>
      </c>
      <c r="M98" s="47">
        <f t="shared" si="110"/>
        <v>11.425959780621575</v>
      </c>
      <c r="N98" s="34"/>
    </row>
    <row r="99" spans="1:26" ht="15.75" customHeight="1" x14ac:dyDescent="0.2">
      <c r="A99" s="45"/>
      <c r="B99" s="46" t="s">
        <v>50</v>
      </c>
      <c r="C99" s="48"/>
      <c r="D99" s="48"/>
      <c r="E99" s="48"/>
      <c r="F99" s="48"/>
      <c r="G99" s="48"/>
      <c r="H99" s="34"/>
      <c r="I99" s="48"/>
      <c r="J99" s="48"/>
      <c r="K99" s="48"/>
      <c r="L99" s="48"/>
      <c r="M99" s="47">
        <f>M93</f>
        <v>0</v>
      </c>
      <c r="N99" s="34"/>
    </row>
    <row r="100" spans="1:26" ht="15.75" customHeight="1" x14ac:dyDescent="0.2">
      <c r="A100" s="28"/>
      <c r="B100" s="37" t="s">
        <v>51</v>
      </c>
      <c r="C100" s="38">
        <f t="shared" ref="C100:G100" si="111">SUM(C94:C99)</f>
        <v>0</v>
      </c>
      <c r="D100" s="38">
        <f t="shared" si="111"/>
        <v>0</v>
      </c>
      <c r="E100" s="38">
        <f t="shared" si="111"/>
        <v>0</v>
      </c>
      <c r="F100" s="38">
        <f t="shared" si="111"/>
        <v>0</v>
      </c>
      <c r="G100" s="38">
        <f t="shared" si="111"/>
        <v>1.1045094454600852</v>
      </c>
      <c r="H100" s="39">
        <f>SUM(C100:G100)</f>
        <v>1.1045094454600852</v>
      </c>
      <c r="I100" s="38">
        <f t="shared" ref="I100:M100" si="112">SUM(I94:I99)</f>
        <v>6.6270566727605118</v>
      </c>
      <c r="J100" s="38">
        <f t="shared" si="112"/>
        <v>16.719987812309569</v>
      </c>
      <c r="K100" s="38">
        <f t="shared" si="112"/>
        <v>48.065204143814753</v>
      </c>
      <c r="L100" s="38">
        <f t="shared" si="112"/>
        <v>51.873857404021948</v>
      </c>
      <c r="M100" s="38">
        <f t="shared" si="112"/>
        <v>51.873857404021948</v>
      </c>
      <c r="N100" s="39">
        <f>SUM(I100:M100)</f>
        <v>175.15996343692873</v>
      </c>
    </row>
    <row r="101" spans="1:26" ht="15.75" customHeight="1" x14ac:dyDescent="0.2">
      <c r="A101" s="59" t="s">
        <v>61</v>
      </c>
      <c r="B101" s="60"/>
      <c r="C101" s="61">
        <f>C91-C100</f>
        <v>0</v>
      </c>
      <c r="D101" s="61">
        <f t="shared" ref="D101:G101" si="113">SUM($C91:D91)-SUM($C$100:D100)</f>
        <v>0</v>
      </c>
      <c r="E101" s="61">
        <f t="shared" si="113"/>
        <v>290</v>
      </c>
      <c r="F101" s="61">
        <f t="shared" si="113"/>
        <v>770</v>
      </c>
      <c r="G101" s="61">
        <f t="shared" si="113"/>
        <v>1268.8954905545399</v>
      </c>
      <c r="H101" s="61"/>
      <c r="I101" s="61">
        <f>I91-I100</f>
        <v>993.37294332723945</v>
      </c>
      <c r="J101" s="61">
        <f t="shared" ref="J101:M101" si="114">SUM($I91:J91)-SUM($I$100:J100)</f>
        <v>976.65295551492989</v>
      </c>
      <c r="K101" s="61">
        <f t="shared" si="114"/>
        <v>928.58775137111513</v>
      </c>
      <c r="L101" s="61">
        <f t="shared" si="114"/>
        <v>876.71389396709321</v>
      </c>
      <c r="M101" s="61">
        <f t="shared" si="114"/>
        <v>824.84003656307129</v>
      </c>
      <c r="N101" s="61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 x14ac:dyDescent="0.2">
      <c r="A102" s="28" t="s">
        <v>62</v>
      </c>
      <c r="B102" s="37"/>
      <c r="C102" s="38">
        <f t="shared" ref="C102:E102" si="115">(C101*$Q$3*$Q$4)+(C101*$R$3*$R$4)+(C101*$S$3*$S$4)</f>
        <v>0</v>
      </c>
      <c r="D102" s="38">
        <f t="shared" si="115"/>
        <v>0</v>
      </c>
      <c r="E102" s="38">
        <f t="shared" si="115"/>
        <v>35.333600000000004</v>
      </c>
      <c r="F102" s="38">
        <f t="shared" ref="F102:G102" si="116">(F101*$Q$3*$Q$5)+(F101*$R$3*$R$5)+(F101*$S$3*$S$5)</f>
        <v>96.496399999999994</v>
      </c>
      <c r="G102" s="38">
        <f t="shared" si="116"/>
        <v>159.01798287629495</v>
      </c>
      <c r="H102" s="62">
        <f t="shared" ref="H102:H105" si="117">SUM(C102:G102)</f>
        <v>290.84798287629496</v>
      </c>
      <c r="I102" s="38">
        <f t="shared" ref="I102:M102" si="118">(I101*$Q$3*$Q$6)+(I101*$R$3*$R$6)+(I101*$S$3*$S$6)</f>
        <v>59.344099634369293</v>
      </c>
      <c r="J102" s="38">
        <f t="shared" si="118"/>
        <v>58.345247562461914</v>
      </c>
      <c r="K102" s="38">
        <f t="shared" si="118"/>
        <v>55.473832266910421</v>
      </c>
      <c r="L102" s="38">
        <f t="shared" si="118"/>
        <v>52.374888025594153</v>
      </c>
      <c r="M102" s="38">
        <f t="shared" si="118"/>
        <v>49.275943784277885</v>
      </c>
      <c r="N102" s="62">
        <f t="shared" ref="N102:N105" si="119">SUM(I102:M102)</f>
        <v>274.81401127361369</v>
      </c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" customHeight="1" x14ac:dyDescent="0.2">
      <c r="A103" s="63" t="s">
        <v>63</v>
      </c>
      <c r="B103" s="37"/>
      <c r="C103" s="38">
        <f t="shared" ref="C103:E103" si="120">(C101*$S$3*$S$4)*$T$3</f>
        <v>0</v>
      </c>
      <c r="D103" s="38">
        <f t="shared" si="120"/>
        <v>0</v>
      </c>
      <c r="E103" s="38">
        <f t="shared" si="120"/>
        <v>2.5637160000000003</v>
      </c>
      <c r="F103" s="38">
        <f t="shared" ref="F103:G103" si="121">(F101*$S$3*$S$5)*$T$3</f>
        <v>7.517202000000001</v>
      </c>
      <c r="G103" s="38">
        <f t="shared" si="121"/>
        <v>12.387719116087752</v>
      </c>
      <c r="H103" s="62">
        <f t="shared" si="117"/>
        <v>22.468637116087752</v>
      </c>
      <c r="I103" s="38">
        <f t="shared" ref="I103:M103" si="122">(I101*$S$3*$S$6)*$T$3</f>
        <v>9.4767778793418653</v>
      </c>
      <c r="J103" s="38">
        <f t="shared" si="122"/>
        <v>9.3172691956124307</v>
      </c>
      <c r="K103" s="38">
        <f t="shared" si="122"/>
        <v>8.8587271480804386</v>
      </c>
      <c r="L103" s="38">
        <f t="shared" si="122"/>
        <v>8.3638505484460701</v>
      </c>
      <c r="M103" s="38">
        <f t="shared" si="122"/>
        <v>7.8689739488117008</v>
      </c>
      <c r="N103" s="62">
        <f t="shared" si="119"/>
        <v>43.885598720292506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" customHeight="1" x14ac:dyDescent="0.2">
      <c r="A104" s="63" t="s">
        <v>64</v>
      </c>
      <c r="B104" s="37"/>
      <c r="C104" s="64">
        <f t="shared" ref="C104:G104" si="123">C103/(1-0.265)</f>
        <v>0</v>
      </c>
      <c r="D104" s="64">
        <f t="shared" si="123"/>
        <v>0</v>
      </c>
      <c r="E104" s="64">
        <f t="shared" si="123"/>
        <v>3.4880489795918375</v>
      </c>
      <c r="F104" s="64">
        <f t="shared" si="123"/>
        <v>10.227485714285717</v>
      </c>
      <c r="G104" s="64">
        <f t="shared" si="123"/>
        <v>16.854039613724833</v>
      </c>
      <c r="H104" s="62">
        <f t="shared" si="117"/>
        <v>30.569574307602387</v>
      </c>
      <c r="I104" s="64">
        <f t="shared" ref="I104:M104" si="124">I103/(1-0.265)</f>
        <v>12.893575346043354</v>
      </c>
      <c r="J104" s="64">
        <f t="shared" si="124"/>
        <v>12.676556728724396</v>
      </c>
      <c r="K104" s="64">
        <f t="shared" si="124"/>
        <v>12.052689997388352</v>
      </c>
      <c r="L104" s="64">
        <f t="shared" si="124"/>
        <v>11.37938850128717</v>
      </c>
      <c r="M104" s="64">
        <f t="shared" si="124"/>
        <v>10.706087005185987</v>
      </c>
      <c r="N104" s="62">
        <f t="shared" si="119"/>
        <v>59.708297578629249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" customHeight="1" x14ac:dyDescent="0.2">
      <c r="A105" s="65" t="s">
        <v>65</v>
      </c>
      <c r="B105" s="66"/>
      <c r="C105" s="67">
        <f t="shared" ref="C105:G105" si="125">C102+C100+C104</f>
        <v>0</v>
      </c>
      <c r="D105" s="67">
        <f t="shared" si="125"/>
        <v>0</v>
      </c>
      <c r="E105" s="67">
        <f t="shared" si="125"/>
        <v>38.821648979591842</v>
      </c>
      <c r="F105" s="67">
        <f t="shared" si="125"/>
        <v>106.72388571428571</v>
      </c>
      <c r="G105" s="67">
        <f t="shared" si="125"/>
        <v>176.97653193547987</v>
      </c>
      <c r="H105" s="68">
        <f t="shared" si="117"/>
        <v>322.52206662935743</v>
      </c>
      <c r="I105" s="67">
        <f t="shared" ref="I105:M105" si="126">I102+I100+I104</f>
        <v>78.864731653173152</v>
      </c>
      <c r="J105" s="67">
        <f t="shared" si="126"/>
        <v>87.741792103495868</v>
      </c>
      <c r="K105" s="67">
        <f t="shared" si="126"/>
        <v>115.59172640811353</v>
      </c>
      <c r="L105" s="67">
        <f t="shared" si="126"/>
        <v>115.62813393090326</v>
      </c>
      <c r="M105" s="67">
        <f t="shared" si="126"/>
        <v>111.85588819348582</v>
      </c>
      <c r="N105" s="68">
        <f t="shared" si="119"/>
        <v>509.68227228917169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 x14ac:dyDescent="0.2">
      <c r="A106" s="28"/>
      <c r="B106" s="37"/>
      <c r="C106" s="69"/>
      <c r="D106" s="69"/>
      <c r="E106" s="69"/>
      <c r="F106" s="69"/>
      <c r="G106" s="69"/>
      <c r="H106" s="70"/>
      <c r="I106" s="69"/>
      <c r="J106" s="69"/>
      <c r="K106" s="69"/>
      <c r="L106" s="69"/>
      <c r="M106" s="69"/>
      <c r="N106" s="70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 x14ac:dyDescent="0.2">
      <c r="A107" s="23" t="s">
        <v>101</v>
      </c>
      <c r="B107" s="24" t="s">
        <v>26</v>
      </c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</row>
    <row r="108" spans="1:26" ht="15.75" customHeight="1" x14ac:dyDescent="0.2">
      <c r="A108" s="88" t="s">
        <v>102</v>
      </c>
      <c r="B108" s="32" t="s">
        <v>32</v>
      </c>
      <c r="C108" s="50"/>
      <c r="D108" s="50"/>
      <c r="E108" s="50"/>
      <c r="F108" s="50"/>
      <c r="G108" s="50"/>
      <c r="H108" s="42"/>
      <c r="I108" s="50"/>
      <c r="J108" s="50"/>
      <c r="K108" s="50"/>
      <c r="L108" s="50"/>
      <c r="M108" s="50"/>
      <c r="N108" s="50"/>
    </row>
    <row r="109" spans="1:26" ht="15.75" customHeight="1" x14ac:dyDescent="0.2">
      <c r="A109" s="88" t="s">
        <v>103</v>
      </c>
      <c r="B109" s="29" t="s">
        <v>34</v>
      </c>
      <c r="C109" s="50"/>
      <c r="D109" s="50"/>
      <c r="E109" s="50"/>
      <c r="F109" s="50"/>
      <c r="G109" s="50"/>
      <c r="H109" s="42"/>
      <c r="I109" s="50"/>
      <c r="J109" s="50"/>
      <c r="K109" s="50"/>
      <c r="L109" s="50"/>
      <c r="M109" s="50"/>
      <c r="N109" s="50"/>
    </row>
    <row r="110" spans="1:26" ht="15.75" customHeight="1" x14ac:dyDescent="0.2">
      <c r="A110" s="36" t="s">
        <v>104</v>
      </c>
      <c r="B110" s="37" t="s">
        <v>105</v>
      </c>
      <c r="C110" s="38">
        <f>H110/4</f>
        <v>716.25</v>
      </c>
      <c r="D110" s="38">
        <f t="shared" ref="D110:F110" si="127">C110</f>
        <v>716.25</v>
      </c>
      <c r="E110" s="38">
        <f t="shared" si="127"/>
        <v>716.25</v>
      </c>
      <c r="F110" s="38">
        <f t="shared" si="127"/>
        <v>716.25</v>
      </c>
      <c r="G110" s="76"/>
      <c r="H110" s="39">
        <v>2865</v>
      </c>
      <c r="I110" s="76"/>
      <c r="J110" s="76"/>
      <c r="K110" s="76"/>
      <c r="L110" s="76"/>
      <c r="M110" s="76"/>
      <c r="N110" s="39">
        <f>SUM(I110:M110)</f>
        <v>0</v>
      </c>
    </row>
    <row r="111" spans="1:26" ht="15.75" customHeight="1" x14ac:dyDescent="0.2">
      <c r="A111" s="31" t="s">
        <v>37</v>
      </c>
      <c r="B111" s="32" t="s">
        <v>38</v>
      </c>
      <c r="C111" s="40">
        <v>36</v>
      </c>
      <c r="D111" s="40">
        <f t="shared" ref="D111:F111" si="128">C111</f>
        <v>36</v>
      </c>
      <c r="E111" s="40">
        <f t="shared" si="128"/>
        <v>36</v>
      </c>
      <c r="F111" s="40">
        <f t="shared" si="128"/>
        <v>36</v>
      </c>
      <c r="G111" s="74"/>
      <c r="H111" s="41"/>
      <c r="I111" s="74"/>
      <c r="J111" s="74"/>
      <c r="K111" s="74"/>
      <c r="L111" s="74"/>
      <c r="M111" s="74"/>
      <c r="N111" s="41"/>
    </row>
    <row r="112" spans="1:26" ht="15.75" customHeight="1" x14ac:dyDescent="0.2">
      <c r="A112" s="43" t="s">
        <v>104</v>
      </c>
      <c r="B112" s="57" t="s">
        <v>40</v>
      </c>
      <c r="C112" s="58">
        <f t="shared" ref="C112:F112" si="129">C110/C111</f>
        <v>19.895833333333332</v>
      </c>
      <c r="D112" s="58">
        <f t="shared" si="129"/>
        <v>19.895833333333332</v>
      </c>
      <c r="E112" s="58">
        <f t="shared" si="129"/>
        <v>19.895833333333332</v>
      </c>
      <c r="F112" s="58">
        <f t="shared" si="129"/>
        <v>19.895833333333332</v>
      </c>
      <c r="G112" s="89"/>
      <c r="H112" s="34"/>
      <c r="I112" s="89"/>
      <c r="J112" s="89"/>
      <c r="K112" s="89"/>
      <c r="L112" s="89"/>
      <c r="M112" s="89"/>
      <c r="N112" s="34"/>
    </row>
    <row r="113" spans="1:26" ht="15.75" customHeight="1" x14ac:dyDescent="0.2">
      <c r="A113" s="90"/>
      <c r="B113" s="46" t="s">
        <v>41</v>
      </c>
      <c r="C113" s="47">
        <f>C112/2</f>
        <v>9.9479166666666661</v>
      </c>
      <c r="D113" s="47">
        <f>C113*2</f>
        <v>19.895833333333332</v>
      </c>
      <c r="E113" s="47">
        <f t="shared" ref="E113:G113" si="130">D113</f>
        <v>19.895833333333332</v>
      </c>
      <c r="F113" s="47">
        <f t="shared" si="130"/>
        <v>19.895833333333332</v>
      </c>
      <c r="G113" s="47">
        <f t="shared" si="130"/>
        <v>19.895833333333332</v>
      </c>
      <c r="H113" s="34"/>
      <c r="I113" s="47">
        <f t="shared" ref="I113:I116" si="131">G113</f>
        <v>19.895833333333332</v>
      </c>
      <c r="J113" s="47">
        <f t="shared" ref="J113:M113" si="132">I113</f>
        <v>19.895833333333332</v>
      </c>
      <c r="K113" s="47">
        <f t="shared" si="132"/>
        <v>19.895833333333332</v>
      </c>
      <c r="L113" s="47">
        <f t="shared" si="132"/>
        <v>19.895833333333332</v>
      </c>
      <c r="M113" s="47">
        <f t="shared" si="132"/>
        <v>19.895833333333332</v>
      </c>
      <c r="N113" s="34"/>
    </row>
    <row r="114" spans="1:26" ht="15.75" customHeight="1" x14ac:dyDescent="0.2">
      <c r="A114" s="90"/>
      <c r="B114" s="46" t="s">
        <v>42</v>
      </c>
      <c r="C114" s="48"/>
      <c r="D114" s="47">
        <f>D112/2</f>
        <v>9.9479166666666661</v>
      </c>
      <c r="E114" s="47">
        <f>D114*2</f>
        <v>19.895833333333332</v>
      </c>
      <c r="F114" s="47">
        <f t="shared" ref="F114:G114" si="133">E114</f>
        <v>19.895833333333332</v>
      </c>
      <c r="G114" s="47">
        <f t="shared" si="133"/>
        <v>19.895833333333332</v>
      </c>
      <c r="H114" s="34"/>
      <c r="I114" s="47">
        <f t="shared" si="131"/>
        <v>19.895833333333332</v>
      </c>
      <c r="J114" s="47">
        <f t="shared" ref="J114:M114" si="134">I114</f>
        <v>19.895833333333332</v>
      </c>
      <c r="K114" s="47">
        <f t="shared" si="134"/>
        <v>19.895833333333332</v>
      </c>
      <c r="L114" s="47">
        <f t="shared" si="134"/>
        <v>19.895833333333332</v>
      </c>
      <c r="M114" s="47">
        <f t="shared" si="134"/>
        <v>19.895833333333332</v>
      </c>
      <c r="N114" s="34"/>
    </row>
    <row r="115" spans="1:26" ht="15.75" customHeight="1" x14ac:dyDescent="0.2">
      <c r="A115" s="90"/>
      <c r="B115" s="46" t="s">
        <v>43</v>
      </c>
      <c r="C115" s="48"/>
      <c r="D115" s="48"/>
      <c r="E115" s="47">
        <f>E112/2</f>
        <v>9.9479166666666661</v>
      </c>
      <c r="F115" s="47">
        <f>E115*2</f>
        <v>19.895833333333332</v>
      </c>
      <c r="G115" s="47">
        <f>F115</f>
        <v>19.895833333333332</v>
      </c>
      <c r="H115" s="34"/>
      <c r="I115" s="47">
        <f t="shared" si="131"/>
        <v>19.895833333333332</v>
      </c>
      <c r="J115" s="47">
        <f t="shared" ref="J115:M115" si="135">I115</f>
        <v>19.895833333333332</v>
      </c>
      <c r="K115" s="47">
        <f t="shared" si="135"/>
        <v>19.895833333333332</v>
      </c>
      <c r="L115" s="47">
        <f t="shared" si="135"/>
        <v>19.895833333333332</v>
      </c>
      <c r="M115" s="47">
        <f t="shared" si="135"/>
        <v>19.895833333333332</v>
      </c>
      <c r="N115" s="34"/>
    </row>
    <row r="116" spans="1:26" ht="15.75" customHeight="1" x14ac:dyDescent="0.2">
      <c r="A116" s="90"/>
      <c r="B116" s="46" t="s">
        <v>44</v>
      </c>
      <c r="C116" s="48"/>
      <c r="D116" s="48"/>
      <c r="E116" s="48"/>
      <c r="F116" s="47">
        <f>F112/2</f>
        <v>9.9479166666666661</v>
      </c>
      <c r="G116" s="47">
        <f>F116*2</f>
        <v>19.895833333333332</v>
      </c>
      <c r="H116" s="34"/>
      <c r="I116" s="47">
        <f t="shared" si="131"/>
        <v>19.895833333333332</v>
      </c>
      <c r="J116" s="47">
        <f t="shared" ref="J116:M116" si="136">I116</f>
        <v>19.895833333333332</v>
      </c>
      <c r="K116" s="47">
        <f t="shared" si="136"/>
        <v>19.895833333333332</v>
      </c>
      <c r="L116" s="47">
        <f t="shared" si="136"/>
        <v>19.895833333333332</v>
      </c>
      <c r="M116" s="47">
        <f t="shared" si="136"/>
        <v>19.895833333333332</v>
      </c>
      <c r="N116" s="34"/>
    </row>
    <row r="117" spans="1:26" ht="15.75" customHeight="1" x14ac:dyDescent="0.2">
      <c r="A117" s="91"/>
      <c r="B117" s="92" t="s">
        <v>51</v>
      </c>
      <c r="C117" s="38">
        <f t="shared" ref="C117:G117" si="137">SUM(C113:C116)</f>
        <v>9.9479166666666661</v>
      </c>
      <c r="D117" s="38">
        <f t="shared" si="137"/>
        <v>29.84375</v>
      </c>
      <c r="E117" s="38">
        <f t="shared" si="137"/>
        <v>49.739583333333329</v>
      </c>
      <c r="F117" s="38">
        <f t="shared" si="137"/>
        <v>69.635416666666671</v>
      </c>
      <c r="G117" s="38">
        <f t="shared" si="137"/>
        <v>79.583333333333329</v>
      </c>
      <c r="H117" s="39">
        <f>SUM(C117:G117)</f>
        <v>238.75</v>
      </c>
      <c r="I117" s="38">
        <f t="shared" ref="I117:M117" si="138">SUM(I113:I116)</f>
        <v>79.583333333333329</v>
      </c>
      <c r="J117" s="38">
        <f t="shared" si="138"/>
        <v>79.583333333333329</v>
      </c>
      <c r="K117" s="38">
        <f t="shared" si="138"/>
        <v>79.583333333333329</v>
      </c>
      <c r="L117" s="38">
        <f t="shared" si="138"/>
        <v>79.583333333333329</v>
      </c>
      <c r="M117" s="38">
        <f t="shared" si="138"/>
        <v>79.583333333333329</v>
      </c>
      <c r="N117" s="39">
        <f>SUM(I117:M117)</f>
        <v>397.91666666666663</v>
      </c>
    </row>
    <row r="118" spans="1:26" ht="15.75" customHeight="1" x14ac:dyDescent="0.2">
      <c r="A118" s="59" t="s">
        <v>61</v>
      </c>
      <c r="B118" s="60"/>
      <c r="C118" s="61">
        <f>C110-C117</f>
        <v>706.30208333333337</v>
      </c>
      <c r="D118" s="61">
        <f t="shared" ref="D118:G118" si="139">SUM($C110:D110)-SUM($C$117:D117)</f>
        <v>1392.7083333333333</v>
      </c>
      <c r="E118" s="61">
        <f t="shared" si="139"/>
        <v>2059.21875</v>
      </c>
      <c r="F118" s="61">
        <f t="shared" si="139"/>
        <v>2705.8333333333335</v>
      </c>
      <c r="G118" s="61">
        <f t="shared" si="139"/>
        <v>2626.25</v>
      </c>
      <c r="H118" s="61"/>
      <c r="I118" s="61">
        <f>I110-I117</f>
        <v>-79.583333333333329</v>
      </c>
      <c r="J118" s="61">
        <f t="shared" ref="J118:M118" si="140">SUM($I110:J110)-SUM($I$117:J117)</f>
        <v>-159.16666666666666</v>
      </c>
      <c r="K118" s="61">
        <f t="shared" si="140"/>
        <v>-238.75</v>
      </c>
      <c r="L118" s="61">
        <f t="shared" si="140"/>
        <v>-318.33333333333331</v>
      </c>
      <c r="M118" s="61">
        <f t="shared" si="140"/>
        <v>-397.91666666666663</v>
      </c>
      <c r="N118" s="61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 x14ac:dyDescent="0.2">
      <c r="A119" s="28" t="s">
        <v>62</v>
      </c>
      <c r="B119" s="37"/>
      <c r="C119" s="38">
        <f t="shared" ref="C119:E119" si="141">(C118*$Q$3*$Q$4)+(C118*$R$3*$R$4)+(C118*$S$3*$S$4)</f>
        <v>86.055845833333336</v>
      </c>
      <c r="D119" s="38">
        <f t="shared" si="141"/>
        <v>169.68758333333335</v>
      </c>
      <c r="E119" s="38">
        <f t="shared" si="141"/>
        <v>250.89521250000001</v>
      </c>
      <c r="F119" s="38">
        <f t="shared" ref="F119:G119" si="142">(F118*$Q$3*$Q$5)+(F118*$R$3*$R$5)+(F118*$S$3*$S$5)</f>
        <v>339.09503333333339</v>
      </c>
      <c r="G119" s="38">
        <f t="shared" si="142"/>
        <v>329.12165000000005</v>
      </c>
      <c r="H119" s="62">
        <f t="shared" ref="H119:H122" si="143">SUM(C119:G119)</f>
        <v>1174.855325</v>
      </c>
      <c r="I119" s="38">
        <f t="shared" ref="I119:K119" si="144">(I118*$Q$3*$Q$4)+(I118*$R$3*$R$4)+(I118*$S$3*$S$4)</f>
        <v>-9.6964333333333332</v>
      </c>
      <c r="J119" s="38">
        <f t="shared" si="144"/>
        <v>-19.392866666666666</v>
      </c>
      <c r="K119" s="38">
        <f t="shared" si="144"/>
        <v>-29.089300000000001</v>
      </c>
      <c r="L119" s="38">
        <f t="shared" ref="L119:M119" si="145">(L118*$Q$3*$Q$5)+(L118*$R$3*$R$5)+(L118*$S$3*$S$5)</f>
        <v>-39.89353333333333</v>
      </c>
      <c r="M119" s="38">
        <f t="shared" si="145"/>
        <v>-49.866916666666668</v>
      </c>
      <c r="N119" s="62">
        <f t="shared" ref="N119:N122" si="146">SUM(I119:M119)</f>
        <v>-147.93905000000001</v>
      </c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" customHeight="1" x14ac:dyDescent="0.2">
      <c r="A120" s="63" t="s">
        <v>63</v>
      </c>
      <c r="B120" s="37"/>
      <c r="C120" s="38">
        <f t="shared" ref="C120:E120" si="147">(C118*$S$3*$S$4)*$T$3</f>
        <v>6.2439929375000007</v>
      </c>
      <c r="D120" s="38">
        <f t="shared" si="147"/>
        <v>12.312098750000002</v>
      </c>
      <c r="E120" s="38">
        <f t="shared" si="147"/>
        <v>18.204317437500002</v>
      </c>
      <c r="F120" s="38">
        <f t="shared" ref="F120:G120" si="148">(F118*$S$3*$S$5)*$T$3</f>
        <v>26.415968500000005</v>
      </c>
      <c r="G120" s="38">
        <f t="shared" si="148"/>
        <v>25.639028250000003</v>
      </c>
      <c r="H120" s="62">
        <f t="shared" si="143"/>
        <v>88.81540587500001</v>
      </c>
      <c r="I120" s="38">
        <f t="shared" ref="I120:M120" si="149">(I118*$S$3*$S$6)*$T$3</f>
        <v>-0.75922499999999993</v>
      </c>
      <c r="J120" s="38">
        <f t="shared" si="149"/>
        <v>-1.5184499999999999</v>
      </c>
      <c r="K120" s="38">
        <f t="shared" si="149"/>
        <v>-2.2776749999999999</v>
      </c>
      <c r="L120" s="38">
        <f t="shared" si="149"/>
        <v>-3.0368999999999997</v>
      </c>
      <c r="M120" s="38">
        <f t="shared" si="149"/>
        <v>-3.796125</v>
      </c>
      <c r="N120" s="62">
        <f t="shared" si="146"/>
        <v>-11.388375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" customHeight="1" x14ac:dyDescent="0.2">
      <c r="A121" s="63" t="s">
        <v>64</v>
      </c>
      <c r="B121" s="37"/>
      <c r="C121" s="64">
        <f t="shared" ref="C121:G121" si="150">C120/(1-0.265)</f>
        <v>8.4952284863945593</v>
      </c>
      <c r="D121" s="64">
        <f t="shared" si="150"/>
        <v>16.751154761904765</v>
      </c>
      <c r="E121" s="64">
        <f t="shared" si="150"/>
        <v>24.767778826530616</v>
      </c>
      <c r="F121" s="64">
        <f t="shared" si="150"/>
        <v>35.940093197278919</v>
      </c>
      <c r="G121" s="64">
        <f t="shared" si="150"/>
        <v>34.883031632653065</v>
      </c>
      <c r="H121" s="62">
        <f t="shared" si="143"/>
        <v>120.83728690476192</v>
      </c>
      <c r="I121" s="64">
        <f t="shared" ref="I121:M121" si="151">I120/(1-0.265)</f>
        <v>-1.0329591836734693</v>
      </c>
      <c r="J121" s="64">
        <f t="shared" si="151"/>
        <v>-2.0659183673469386</v>
      </c>
      <c r="K121" s="64">
        <f t="shared" si="151"/>
        <v>-3.0988775510204083</v>
      </c>
      <c r="L121" s="64">
        <f t="shared" si="151"/>
        <v>-4.1318367346938771</v>
      </c>
      <c r="M121" s="64">
        <f t="shared" si="151"/>
        <v>-5.1647959183673473</v>
      </c>
      <c r="N121" s="62">
        <f t="shared" si="146"/>
        <v>-15.494387755102039</v>
      </c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" customHeight="1" x14ac:dyDescent="0.2">
      <c r="A122" s="65" t="s">
        <v>65</v>
      </c>
      <c r="B122" s="66"/>
      <c r="C122" s="67">
        <f t="shared" ref="C122:G122" si="152">C119+C117+C121</f>
        <v>104.49899098639457</v>
      </c>
      <c r="D122" s="67">
        <f t="shared" si="152"/>
        <v>216.28248809523811</v>
      </c>
      <c r="E122" s="67">
        <f t="shared" si="152"/>
        <v>325.40257465986394</v>
      </c>
      <c r="F122" s="67">
        <f t="shared" si="152"/>
        <v>444.67054319727902</v>
      </c>
      <c r="G122" s="67">
        <f t="shared" si="152"/>
        <v>443.58801496598642</v>
      </c>
      <c r="H122" s="68">
        <f t="shared" si="143"/>
        <v>1534.4426119047621</v>
      </c>
      <c r="I122" s="67">
        <f t="shared" ref="I122:M122" si="153">I119+I117+I121</f>
        <v>68.853940816326528</v>
      </c>
      <c r="J122" s="67">
        <f t="shared" si="153"/>
        <v>58.124548299319727</v>
      </c>
      <c r="K122" s="67">
        <f t="shared" si="153"/>
        <v>47.395155782312919</v>
      </c>
      <c r="L122" s="67">
        <f t="shared" si="153"/>
        <v>35.557963265306121</v>
      </c>
      <c r="M122" s="67">
        <f t="shared" si="153"/>
        <v>24.551620748299314</v>
      </c>
      <c r="N122" s="68">
        <f t="shared" si="146"/>
        <v>234.48322891156459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 x14ac:dyDescent="0.2">
      <c r="A123" s="28"/>
      <c r="B123" s="37"/>
      <c r="C123" s="69"/>
      <c r="D123" s="69"/>
      <c r="E123" s="69"/>
      <c r="F123" s="69"/>
      <c r="G123" s="69"/>
      <c r="H123" s="70"/>
      <c r="I123" s="69"/>
      <c r="J123" s="69"/>
      <c r="K123" s="69"/>
      <c r="L123" s="69"/>
      <c r="M123" s="69"/>
      <c r="N123" s="70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 x14ac:dyDescent="0.2">
      <c r="A124" s="93" t="s">
        <v>106</v>
      </c>
      <c r="B124" s="94" t="s">
        <v>26</v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</row>
    <row r="125" spans="1:26" ht="15.75" customHeight="1" x14ac:dyDescent="0.2">
      <c r="A125" s="31" t="s">
        <v>107</v>
      </c>
      <c r="B125" s="31" t="s">
        <v>32</v>
      </c>
      <c r="C125" s="33">
        <v>220173</v>
      </c>
      <c r="D125" s="33">
        <v>295440</v>
      </c>
      <c r="E125" s="33">
        <v>292410</v>
      </c>
      <c r="F125" s="33">
        <v>283643</v>
      </c>
      <c r="G125" s="33">
        <v>299092</v>
      </c>
      <c r="H125" s="34"/>
      <c r="I125" s="33">
        <v>333165</v>
      </c>
      <c r="J125" s="33">
        <v>370538</v>
      </c>
      <c r="K125" s="33">
        <v>411777</v>
      </c>
      <c r="L125" s="33">
        <v>457392</v>
      </c>
      <c r="M125" s="33">
        <v>507501</v>
      </c>
      <c r="N125" s="34"/>
    </row>
    <row r="126" spans="1:26" ht="15.75" customHeight="1" x14ac:dyDescent="0.2">
      <c r="A126" s="31" t="s">
        <v>85</v>
      </c>
      <c r="B126" s="31" t="s">
        <v>34</v>
      </c>
      <c r="C126" s="96">
        <v>0.6</v>
      </c>
      <c r="D126" s="96">
        <v>0.6</v>
      </c>
      <c r="E126" s="96">
        <v>0.6</v>
      </c>
      <c r="F126" s="96">
        <v>0.6</v>
      </c>
      <c r="G126" s="96">
        <v>0.6</v>
      </c>
      <c r="H126" s="34"/>
      <c r="I126" s="96">
        <v>0.6</v>
      </c>
      <c r="J126" s="96">
        <v>0.6</v>
      </c>
      <c r="K126" s="96">
        <v>0.6</v>
      </c>
      <c r="L126" s="96">
        <v>0.6</v>
      </c>
      <c r="M126" s="96">
        <v>0.6</v>
      </c>
      <c r="N126" s="34"/>
    </row>
    <row r="127" spans="1:26" ht="15.75" customHeight="1" x14ac:dyDescent="0.2">
      <c r="A127" s="31" t="s">
        <v>37</v>
      </c>
      <c r="B127" s="31" t="s">
        <v>74</v>
      </c>
      <c r="C127" s="97">
        <v>36</v>
      </c>
      <c r="D127" s="97">
        <f t="shared" ref="D127:G127" si="154">C127</f>
        <v>36</v>
      </c>
      <c r="E127" s="97">
        <f t="shared" si="154"/>
        <v>36</v>
      </c>
      <c r="F127" s="97">
        <f t="shared" si="154"/>
        <v>36</v>
      </c>
      <c r="G127" s="97">
        <f t="shared" si="154"/>
        <v>36</v>
      </c>
      <c r="H127" s="34"/>
      <c r="I127" s="97">
        <f>G127</f>
        <v>36</v>
      </c>
      <c r="J127" s="97">
        <f t="shared" ref="J127:M127" si="155">I127</f>
        <v>36</v>
      </c>
      <c r="K127" s="97">
        <f t="shared" si="155"/>
        <v>36</v>
      </c>
      <c r="L127" s="97">
        <f t="shared" si="155"/>
        <v>36</v>
      </c>
      <c r="M127" s="97">
        <f t="shared" si="155"/>
        <v>36</v>
      </c>
      <c r="N127" s="34"/>
    </row>
    <row r="128" spans="1:26" ht="15.75" customHeight="1" x14ac:dyDescent="0.2">
      <c r="A128" s="36" t="s">
        <v>108</v>
      </c>
      <c r="B128" s="36" t="s">
        <v>109</v>
      </c>
      <c r="C128" s="98">
        <f t="shared" ref="C128:G128" si="156">C125*C126/1000</f>
        <v>132.10379999999998</v>
      </c>
      <c r="D128" s="98">
        <f t="shared" si="156"/>
        <v>177.26400000000001</v>
      </c>
      <c r="E128" s="98">
        <f t="shared" si="156"/>
        <v>175.446</v>
      </c>
      <c r="F128" s="98">
        <f t="shared" si="156"/>
        <v>170.1858</v>
      </c>
      <c r="G128" s="98">
        <f t="shared" si="156"/>
        <v>179.45519999999999</v>
      </c>
      <c r="H128" s="99">
        <f>SUM(C128:G128)</f>
        <v>834.45479999999998</v>
      </c>
      <c r="I128" s="98">
        <f t="shared" ref="I128:M128" si="157">I125*I126/1000</f>
        <v>199.899</v>
      </c>
      <c r="J128" s="98">
        <f t="shared" si="157"/>
        <v>222.3228</v>
      </c>
      <c r="K128" s="98">
        <f t="shared" si="157"/>
        <v>247.06619999999998</v>
      </c>
      <c r="L128" s="98">
        <f t="shared" si="157"/>
        <v>274.43520000000001</v>
      </c>
      <c r="M128" s="98">
        <f t="shared" si="157"/>
        <v>304.50059999999996</v>
      </c>
      <c r="N128" s="99">
        <f>SUM(I128:M128)</f>
        <v>1248.2238</v>
      </c>
    </row>
    <row r="129" spans="1:14" ht="15.75" customHeight="1" x14ac:dyDescent="0.2">
      <c r="A129" s="36" t="s">
        <v>108</v>
      </c>
      <c r="B129" s="36" t="s">
        <v>110</v>
      </c>
      <c r="C129" s="98">
        <f t="shared" ref="C129:G129" si="158">C128/C127</f>
        <v>3.6695499999999992</v>
      </c>
      <c r="D129" s="100">
        <f t="shared" si="158"/>
        <v>4.9240000000000004</v>
      </c>
      <c r="E129" s="98">
        <f t="shared" si="158"/>
        <v>4.8734999999999999</v>
      </c>
      <c r="F129" s="100">
        <f t="shared" si="158"/>
        <v>4.727383333333333</v>
      </c>
      <c r="G129" s="98">
        <f t="shared" si="158"/>
        <v>4.9848666666666661</v>
      </c>
      <c r="H129" s="34"/>
      <c r="I129" s="98">
        <f t="shared" ref="I129:M129" si="159">I128/I127</f>
        <v>5.5527499999999996</v>
      </c>
      <c r="J129" s="98">
        <f t="shared" si="159"/>
        <v>6.1756333333333338</v>
      </c>
      <c r="K129" s="98">
        <f t="shared" si="159"/>
        <v>6.8629499999999997</v>
      </c>
      <c r="L129" s="98">
        <f t="shared" si="159"/>
        <v>7.6232000000000006</v>
      </c>
      <c r="M129" s="98">
        <f t="shared" si="159"/>
        <v>8.4583499999999994</v>
      </c>
      <c r="N129" s="34"/>
    </row>
    <row r="130" spans="1:14" ht="15.75" customHeight="1" x14ac:dyDescent="0.2">
      <c r="A130" s="45"/>
      <c r="B130" s="46" t="s">
        <v>41</v>
      </c>
      <c r="C130" s="47">
        <f>C129*0.5</f>
        <v>1.8347749999999996</v>
      </c>
      <c r="D130" s="47">
        <f>C130*2</f>
        <v>3.6695499999999992</v>
      </c>
      <c r="E130" s="47">
        <f t="shared" ref="E130:G130" si="160">D130</f>
        <v>3.6695499999999992</v>
      </c>
      <c r="F130" s="47">
        <f t="shared" si="160"/>
        <v>3.6695499999999992</v>
      </c>
      <c r="G130" s="47">
        <f t="shared" si="160"/>
        <v>3.6695499999999992</v>
      </c>
      <c r="H130" s="34"/>
      <c r="I130" s="47">
        <f t="shared" ref="I130:I134" si="161">G130</f>
        <v>3.6695499999999992</v>
      </c>
      <c r="J130" s="47">
        <f t="shared" ref="J130:M130" si="162">I130</f>
        <v>3.6695499999999992</v>
      </c>
      <c r="K130" s="47">
        <f t="shared" si="162"/>
        <v>3.6695499999999992</v>
      </c>
      <c r="L130" s="47">
        <f t="shared" si="162"/>
        <v>3.6695499999999992</v>
      </c>
      <c r="M130" s="47">
        <f t="shared" si="162"/>
        <v>3.6695499999999992</v>
      </c>
      <c r="N130" s="34"/>
    </row>
    <row r="131" spans="1:14" ht="15.75" customHeight="1" x14ac:dyDescent="0.2">
      <c r="A131" s="45"/>
      <c r="B131" s="46" t="s">
        <v>42</v>
      </c>
      <c r="C131" s="48"/>
      <c r="D131" s="47">
        <f>D129*0.5</f>
        <v>2.4620000000000002</v>
      </c>
      <c r="E131" s="47">
        <f>D131*2</f>
        <v>4.9240000000000004</v>
      </c>
      <c r="F131" s="47">
        <f t="shared" ref="F131:G131" si="163">E131</f>
        <v>4.9240000000000004</v>
      </c>
      <c r="G131" s="47">
        <f t="shared" si="163"/>
        <v>4.9240000000000004</v>
      </c>
      <c r="H131" s="34"/>
      <c r="I131" s="47">
        <f t="shared" si="161"/>
        <v>4.9240000000000004</v>
      </c>
      <c r="J131" s="47">
        <f t="shared" ref="J131:M131" si="164">I131</f>
        <v>4.9240000000000004</v>
      </c>
      <c r="K131" s="47">
        <f t="shared" si="164"/>
        <v>4.9240000000000004</v>
      </c>
      <c r="L131" s="47">
        <f t="shared" si="164"/>
        <v>4.9240000000000004</v>
      </c>
      <c r="M131" s="47">
        <f t="shared" si="164"/>
        <v>4.9240000000000004</v>
      </c>
      <c r="N131" s="34"/>
    </row>
    <row r="132" spans="1:14" ht="15.75" customHeight="1" x14ac:dyDescent="0.2">
      <c r="A132" s="45"/>
      <c r="B132" s="46" t="s">
        <v>43</v>
      </c>
      <c r="C132" s="48"/>
      <c r="D132" s="48"/>
      <c r="E132" s="47">
        <f>E129*0.5</f>
        <v>2.43675</v>
      </c>
      <c r="F132" s="47">
        <f>E132*2</f>
        <v>4.8734999999999999</v>
      </c>
      <c r="G132" s="47">
        <f>F132</f>
        <v>4.8734999999999999</v>
      </c>
      <c r="H132" s="34"/>
      <c r="I132" s="47">
        <f t="shared" si="161"/>
        <v>4.8734999999999999</v>
      </c>
      <c r="J132" s="47">
        <f t="shared" ref="J132:M132" si="165">I132</f>
        <v>4.8734999999999999</v>
      </c>
      <c r="K132" s="47">
        <f t="shared" si="165"/>
        <v>4.8734999999999999</v>
      </c>
      <c r="L132" s="47">
        <f t="shared" si="165"/>
        <v>4.8734999999999999</v>
      </c>
      <c r="M132" s="47">
        <f t="shared" si="165"/>
        <v>4.8734999999999999</v>
      </c>
      <c r="N132" s="34"/>
    </row>
    <row r="133" spans="1:14" ht="15.75" customHeight="1" x14ac:dyDescent="0.2">
      <c r="A133" s="45"/>
      <c r="B133" s="46" t="s">
        <v>44</v>
      </c>
      <c r="C133" s="48"/>
      <c r="D133" s="48"/>
      <c r="E133" s="48"/>
      <c r="F133" s="47">
        <f>F129*0.5</f>
        <v>2.3636916666666665</v>
      </c>
      <c r="G133" s="47">
        <f>F133*2</f>
        <v>4.727383333333333</v>
      </c>
      <c r="H133" s="34"/>
      <c r="I133" s="47">
        <f t="shared" si="161"/>
        <v>4.727383333333333</v>
      </c>
      <c r="J133" s="47">
        <f t="shared" ref="J133:M133" si="166">I133</f>
        <v>4.727383333333333</v>
      </c>
      <c r="K133" s="47">
        <f t="shared" si="166"/>
        <v>4.727383333333333</v>
      </c>
      <c r="L133" s="47">
        <f t="shared" si="166"/>
        <v>4.727383333333333</v>
      </c>
      <c r="M133" s="47">
        <f t="shared" si="166"/>
        <v>4.727383333333333</v>
      </c>
      <c r="N133" s="34"/>
    </row>
    <row r="134" spans="1:14" ht="15.75" customHeight="1" x14ac:dyDescent="0.2">
      <c r="A134" s="45"/>
      <c r="B134" s="46" t="s">
        <v>45</v>
      </c>
      <c r="C134" s="48"/>
      <c r="D134" s="48"/>
      <c r="E134" s="48"/>
      <c r="F134" s="48"/>
      <c r="G134" s="47">
        <f>G129*0.5</f>
        <v>2.4924333333333331</v>
      </c>
      <c r="H134" s="34"/>
      <c r="I134" s="47">
        <f t="shared" si="161"/>
        <v>2.4924333333333331</v>
      </c>
      <c r="J134" s="47">
        <f t="shared" ref="J134:M134" si="167">I134</f>
        <v>2.4924333333333331</v>
      </c>
      <c r="K134" s="47">
        <f t="shared" si="167"/>
        <v>2.4924333333333331</v>
      </c>
      <c r="L134" s="47">
        <f t="shared" si="167"/>
        <v>2.4924333333333331</v>
      </c>
      <c r="M134" s="47">
        <f t="shared" si="167"/>
        <v>2.4924333333333331</v>
      </c>
      <c r="N134" s="34"/>
    </row>
    <row r="135" spans="1:14" ht="15.75" customHeight="1" x14ac:dyDescent="0.2">
      <c r="A135" s="49"/>
      <c r="B135" s="46" t="s">
        <v>46</v>
      </c>
      <c r="C135" s="48"/>
      <c r="D135" s="48"/>
      <c r="E135" s="48"/>
      <c r="F135" s="48"/>
      <c r="G135" s="48"/>
      <c r="H135" s="34"/>
      <c r="I135" s="47">
        <f>I129*0.5</f>
        <v>2.7763749999999998</v>
      </c>
      <c r="J135" s="47">
        <f>I135*2</f>
        <v>5.5527499999999996</v>
      </c>
      <c r="K135" s="47">
        <f t="shared" ref="K135:M135" si="168">J135</f>
        <v>5.5527499999999996</v>
      </c>
      <c r="L135" s="47">
        <f t="shared" si="168"/>
        <v>5.5527499999999996</v>
      </c>
      <c r="M135" s="47">
        <f t="shared" si="168"/>
        <v>5.5527499999999996</v>
      </c>
      <c r="N135" s="34"/>
    </row>
    <row r="136" spans="1:14" ht="15.75" customHeight="1" x14ac:dyDescent="0.2">
      <c r="A136" s="49"/>
      <c r="B136" s="46" t="s">
        <v>47</v>
      </c>
      <c r="C136" s="48"/>
      <c r="D136" s="48"/>
      <c r="E136" s="48"/>
      <c r="F136" s="48"/>
      <c r="G136" s="48"/>
      <c r="H136" s="34"/>
      <c r="I136" s="48"/>
      <c r="J136" s="47">
        <f>J129*0.5</f>
        <v>3.0878166666666669</v>
      </c>
      <c r="K136" s="47">
        <f>J136*2</f>
        <v>6.1756333333333338</v>
      </c>
      <c r="L136" s="47">
        <f t="shared" ref="L136:M136" si="169">K136</f>
        <v>6.1756333333333338</v>
      </c>
      <c r="M136" s="47">
        <f t="shared" si="169"/>
        <v>6.1756333333333338</v>
      </c>
      <c r="N136" s="34"/>
    </row>
    <row r="137" spans="1:14" ht="15.75" customHeight="1" x14ac:dyDescent="0.2">
      <c r="A137" s="49"/>
      <c r="B137" s="46" t="s">
        <v>48</v>
      </c>
      <c r="C137" s="48"/>
      <c r="D137" s="48"/>
      <c r="E137" s="48"/>
      <c r="F137" s="48"/>
      <c r="G137" s="48"/>
      <c r="H137" s="34"/>
      <c r="I137" s="48"/>
      <c r="J137" s="48"/>
      <c r="K137" s="47">
        <f>K129*0.5</f>
        <v>3.4314749999999998</v>
      </c>
      <c r="L137" s="47">
        <f>K137*2</f>
        <v>6.8629499999999997</v>
      </c>
      <c r="M137" s="47">
        <f>L137</f>
        <v>6.8629499999999997</v>
      </c>
      <c r="N137" s="34"/>
    </row>
    <row r="138" spans="1:14" ht="15.75" customHeight="1" x14ac:dyDescent="0.2">
      <c r="A138" s="49"/>
      <c r="B138" s="46" t="s">
        <v>49</v>
      </c>
      <c r="C138" s="48"/>
      <c r="D138" s="48"/>
      <c r="E138" s="48"/>
      <c r="F138" s="48"/>
      <c r="G138" s="48"/>
      <c r="H138" s="34"/>
      <c r="I138" s="48"/>
      <c r="J138" s="48"/>
      <c r="K138" s="48"/>
      <c r="L138" s="47">
        <f>L129*0.5</f>
        <v>3.8116000000000003</v>
      </c>
      <c r="M138" s="47">
        <f>L138*2</f>
        <v>7.6232000000000006</v>
      </c>
      <c r="N138" s="34"/>
    </row>
    <row r="139" spans="1:14" ht="15.75" customHeight="1" x14ac:dyDescent="0.2">
      <c r="A139" s="49"/>
      <c r="B139" s="46" t="s">
        <v>50</v>
      </c>
      <c r="C139" s="48"/>
      <c r="D139" s="48"/>
      <c r="E139" s="48"/>
      <c r="F139" s="48"/>
      <c r="G139" s="48"/>
      <c r="H139" s="34"/>
      <c r="I139" s="48"/>
      <c r="J139" s="48"/>
      <c r="K139" s="48"/>
      <c r="L139" s="48"/>
      <c r="M139" s="47">
        <f>M129*0.5</f>
        <v>4.2291749999999997</v>
      </c>
      <c r="N139" s="34"/>
    </row>
    <row r="140" spans="1:14" ht="15.75" customHeight="1" x14ac:dyDescent="0.2">
      <c r="A140" s="28"/>
      <c r="B140" s="37" t="s">
        <v>51</v>
      </c>
      <c r="C140" s="38">
        <f t="shared" ref="C140:G140" si="170">SUM(C130:C139)</f>
        <v>1.8347749999999996</v>
      </c>
      <c r="D140" s="38">
        <f t="shared" si="170"/>
        <v>6.1315499999999989</v>
      </c>
      <c r="E140" s="38">
        <f t="shared" si="170"/>
        <v>11.0303</v>
      </c>
      <c r="F140" s="38">
        <f t="shared" si="170"/>
        <v>15.830741666666666</v>
      </c>
      <c r="G140" s="38">
        <f t="shared" si="170"/>
        <v>20.686866666666667</v>
      </c>
      <c r="H140" s="39">
        <f t="shared" ref="H140:H141" si="171">SUM(C140:G140)</f>
        <v>55.51423333333333</v>
      </c>
      <c r="I140" s="38">
        <f t="shared" ref="I140:M140" si="172">SUM(I130:I139)</f>
        <v>23.463241666666669</v>
      </c>
      <c r="J140" s="38">
        <f t="shared" si="172"/>
        <v>29.327433333333332</v>
      </c>
      <c r="K140" s="38">
        <f t="shared" si="172"/>
        <v>35.846724999999999</v>
      </c>
      <c r="L140" s="38">
        <f t="shared" si="172"/>
        <v>43.089799999999997</v>
      </c>
      <c r="M140" s="38">
        <f t="shared" si="172"/>
        <v>51.130574999999993</v>
      </c>
      <c r="N140" s="39">
        <f t="shared" ref="N140:N141" si="173">SUM(I140:M140)</f>
        <v>182.85777499999998</v>
      </c>
    </row>
    <row r="141" spans="1:14" ht="15.75" customHeight="1" x14ac:dyDescent="0.2">
      <c r="A141" s="36" t="s">
        <v>108</v>
      </c>
      <c r="B141" s="36" t="s">
        <v>111</v>
      </c>
      <c r="C141" s="98">
        <f t="shared" ref="C141:G141" si="174">C125/1000-C128</f>
        <v>88.069200000000023</v>
      </c>
      <c r="D141" s="100">
        <f t="shared" si="174"/>
        <v>118.17599999999999</v>
      </c>
      <c r="E141" s="98">
        <f t="shared" si="174"/>
        <v>116.96400000000003</v>
      </c>
      <c r="F141" s="100">
        <f t="shared" si="174"/>
        <v>113.45719999999997</v>
      </c>
      <c r="G141" s="98">
        <f t="shared" si="174"/>
        <v>119.63679999999999</v>
      </c>
      <c r="H141" s="99">
        <f t="shared" si="171"/>
        <v>556.30319999999995</v>
      </c>
      <c r="I141" s="98">
        <f t="shared" ref="I141:M141" si="175">I125/1000-I128</f>
        <v>133.26600000000002</v>
      </c>
      <c r="J141" s="98">
        <f t="shared" si="175"/>
        <v>148.21520000000001</v>
      </c>
      <c r="K141" s="98">
        <f t="shared" si="175"/>
        <v>164.71080000000001</v>
      </c>
      <c r="L141" s="98">
        <f t="shared" si="175"/>
        <v>182.95679999999999</v>
      </c>
      <c r="M141" s="98">
        <f t="shared" si="175"/>
        <v>203.00040000000001</v>
      </c>
      <c r="N141" s="99">
        <f t="shared" si="173"/>
        <v>832.14920000000006</v>
      </c>
    </row>
    <row r="142" spans="1:14" ht="15.75" customHeight="1" x14ac:dyDescent="0.2">
      <c r="A142" s="59" t="s">
        <v>61</v>
      </c>
      <c r="B142" s="60"/>
      <c r="C142" s="61">
        <f>C128-C140</f>
        <v>130.26902499999997</v>
      </c>
      <c r="D142" s="61">
        <f t="shared" ref="D142:G142" si="176">SUM($C128:D128)-SUM($C$140:D140)</f>
        <v>301.401475</v>
      </c>
      <c r="E142" s="61">
        <f t="shared" si="176"/>
        <v>465.81717500000002</v>
      </c>
      <c r="F142" s="61">
        <f t="shared" si="176"/>
        <v>620.17223333333334</v>
      </c>
      <c r="G142" s="61">
        <f t="shared" si="176"/>
        <v>778.94056666666665</v>
      </c>
      <c r="H142" s="61"/>
      <c r="I142" s="61">
        <f>I128-I140</f>
        <v>176.43575833333333</v>
      </c>
      <c r="J142" s="61">
        <f t="shared" ref="J142:M142" si="177">SUM($I128:J128)-SUM($I$140:J140)</f>
        <v>369.43112500000001</v>
      </c>
      <c r="K142" s="61">
        <f t="shared" si="177"/>
        <v>580.65060000000005</v>
      </c>
      <c r="L142" s="61">
        <f t="shared" si="177"/>
        <v>811.99600000000009</v>
      </c>
      <c r="M142" s="61">
        <f t="shared" si="177"/>
        <v>1065.366025</v>
      </c>
      <c r="N142" s="61"/>
    </row>
    <row r="143" spans="1:14" ht="15.75" customHeight="1" x14ac:dyDescent="0.2">
      <c r="A143" s="28" t="s">
        <v>62</v>
      </c>
      <c r="B143" s="37"/>
      <c r="C143" s="38">
        <f t="shared" ref="C143:E143" si="178">(C142*$Q$3*$Q$4)+(C142*$R$3*$R$4)+(C142*$S$3*$S$4)</f>
        <v>15.871978005999997</v>
      </c>
      <c r="D143" s="38">
        <f t="shared" si="178"/>
        <v>36.722755714000002</v>
      </c>
      <c r="E143" s="38">
        <f t="shared" si="178"/>
        <v>56.755164602000001</v>
      </c>
      <c r="F143" s="38">
        <f t="shared" ref="F143:G143" si="179">(F142*$Q$3*$Q$5)+(F142*$R$3*$R$5)+(F142*$S$3*$S$5)</f>
        <v>77.719984281333339</v>
      </c>
      <c r="G143" s="38">
        <f t="shared" si="179"/>
        <v>97.616831814666682</v>
      </c>
      <c r="H143" s="62">
        <f t="shared" ref="H143:H146" si="180">SUM(C143:G143)</f>
        <v>284.68671441800001</v>
      </c>
      <c r="I143" s="38">
        <f t="shared" ref="I143:M143" si="181">(I142*$Q$3*$Q$6)+(I142*$R$3*$R$6)+(I142*$S$3*$S$6)</f>
        <v>10.540272202833334</v>
      </c>
      <c r="J143" s="38">
        <f t="shared" si="181"/>
        <v>22.069815407500002</v>
      </c>
      <c r="K143" s="38">
        <f t="shared" si="181"/>
        <v>34.688066844000005</v>
      </c>
      <c r="L143" s="38">
        <f t="shared" si="181"/>
        <v>48.508641040000015</v>
      </c>
      <c r="M143" s="38">
        <f t="shared" si="181"/>
        <v>63.644966333500008</v>
      </c>
      <c r="N143" s="62">
        <f t="shared" ref="N143:N146" si="182">SUM(I143:M143)</f>
        <v>179.45176182783337</v>
      </c>
    </row>
    <row r="144" spans="1:14" ht="15.75" customHeight="1" x14ac:dyDescent="0.2">
      <c r="A144" s="63" t="s">
        <v>63</v>
      </c>
      <c r="B144" s="37"/>
      <c r="C144" s="38">
        <f t="shared" ref="C144:E144" si="183">(C142*$S$3*$S$4)*$T$3</f>
        <v>1.1516302886099998</v>
      </c>
      <c r="D144" s="38">
        <f t="shared" si="183"/>
        <v>2.6645095995900006</v>
      </c>
      <c r="E144" s="38">
        <f t="shared" si="183"/>
        <v>4.1180101538700002</v>
      </c>
      <c r="F144" s="38">
        <f t="shared" ref="F144:G144" si="184">(F142*$S$3*$S$5)*$T$3</f>
        <v>6.0544934451400003</v>
      </c>
      <c r="G144" s="38">
        <f t="shared" si="184"/>
        <v>7.6044851761400007</v>
      </c>
      <c r="H144" s="62">
        <f t="shared" si="180"/>
        <v>21.593128663350001</v>
      </c>
      <c r="I144" s="38">
        <f t="shared" ref="I144:M144" si="185">(I142*$S$3*$S$6)*$T$3</f>
        <v>1.6831971345000001</v>
      </c>
      <c r="J144" s="38">
        <f t="shared" si="185"/>
        <v>3.5243729325000004</v>
      </c>
      <c r="K144" s="38">
        <f t="shared" si="185"/>
        <v>5.5394067240000009</v>
      </c>
      <c r="L144" s="38">
        <f t="shared" si="185"/>
        <v>7.746441840000001</v>
      </c>
      <c r="M144" s="38">
        <f t="shared" si="185"/>
        <v>10.1635918785</v>
      </c>
      <c r="N144" s="62">
        <f t="shared" si="182"/>
        <v>28.657010509500005</v>
      </c>
    </row>
    <row r="145" spans="1:14" ht="15.75" customHeight="1" x14ac:dyDescent="0.2">
      <c r="A145" s="63" t="s">
        <v>64</v>
      </c>
      <c r="B145" s="37"/>
      <c r="C145" s="64">
        <f t="shared" ref="C145:G145" si="186">C144/(1-0.265)</f>
        <v>1.5668439300816324</v>
      </c>
      <c r="D145" s="64">
        <f t="shared" si="186"/>
        <v>3.6251831286938785</v>
      </c>
      <c r="E145" s="64">
        <f t="shared" si="186"/>
        <v>5.6027349032244906</v>
      </c>
      <c r="F145" s="64">
        <f t="shared" si="186"/>
        <v>8.2374060478095252</v>
      </c>
      <c r="G145" s="64">
        <f t="shared" si="186"/>
        <v>10.346238334884355</v>
      </c>
      <c r="H145" s="62">
        <f t="shared" si="180"/>
        <v>29.378406344693882</v>
      </c>
      <c r="I145" s="64">
        <f t="shared" ref="I145:M145" si="187">I144/(1-0.265)</f>
        <v>2.2900641285714287</v>
      </c>
      <c r="J145" s="64">
        <f t="shared" si="187"/>
        <v>4.7950652142857146</v>
      </c>
      <c r="K145" s="64">
        <f t="shared" si="187"/>
        <v>7.536607787755103</v>
      </c>
      <c r="L145" s="64">
        <f t="shared" si="187"/>
        <v>10.539376653061225</v>
      </c>
      <c r="M145" s="64">
        <f t="shared" si="187"/>
        <v>13.82801616122449</v>
      </c>
      <c r="N145" s="62">
        <f t="shared" si="182"/>
        <v>38.989129944897961</v>
      </c>
    </row>
    <row r="146" spans="1:14" ht="15.75" customHeight="1" x14ac:dyDescent="0.2">
      <c r="A146" s="65" t="s">
        <v>65</v>
      </c>
      <c r="B146" s="66"/>
      <c r="C146" s="67">
        <f t="shared" ref="C146:G146" si="188">C143+C141+C145</f>
        <v>105.50802193608165</v>
      </c>
      <c r="D146" s="67">
        <f t="shared" si="188"/>
        <v>158.52393884269389</v>
      </c>
      <c r="E146" s="67">
        <f t="shared" si="188"/>
        <v>179.32189950522454</v>
      </c>
      <c r="F146" s="67">
        <f t="shared" si="188"/>
        <v>199.41459032914284</v>
      </c>
      <c r="G146" s="67">
        <f t="shared" si="188"/>
        <v>227.59987014955104</v>
      </c>
      <c r="H146" s="68">
        <f t="shared" si="180"/>
        <v>870.368320762694</v>
      </c>
      <c r="I146" s="67">
        <f t="shared" ref="I146:M146" si="189">I143+I141+I145</f>
        <v>146.09633633140479</v>
      </c>
      <c r="J146" s="67">
        <f t="shared" si="189"/>
        <v>175.08008062178573</v>
      </c>
      <c r="K146" s="67">
        <f t="shared" si="189"/>
        <v>206.93547463175511</v>
      </c>
      <c r="L146" s="67">
        <f t="shared" si="189"/>
        <v>242.00481769306123</v>
      </c>
      <c r="M146" s="67">
        <f t="shared" si="189"/>
        <v>280.47338249472449</v>
      </c>
      <c r="N146" s="68">
        <f t="shared" si="182"/>
        <v>1050.5900917727313</v>
      </c>
    </row>
    <row r="147" spans="1:14" ht="15.75" customHeight="1" x14ac:dyDescent="0.2">
      <c r="A147" s="28"/>
      <c r="B147" s="37"/>
      <c r="C147" s="69"/>
      <c r="D147" s="69"/>
      <c r="E147" s="69"/>
      <c r="F147" s="69"/>
      <c r="G147" s="69"/>
      <c r="H147" s="70"/>
      <c r="I147" s="69"/>
      <c r="J147" s="69"/>
      <c r="K147" s="69"/>
      <c r="L147" s="69"/>
      <c r="M147" s="69"/>
      <c r="N147" s="70"/>
    </row>
    <row r="148" spans="1:14" ht="15.75" customHeight="1" x14ac:dyDescent="0.2">
      <c r="A148" s="101" t="s">
        <v>112</v>
      </c>
      <c r="B148" s="94" t="s">
        <v>26</v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</row>
    <row r="149" spans="1:14" ht="15.75" customHeight="1" x14ac:dyDescent="0.2">
      <c r="A149" s="31" t="s">
        <v>81</v>
      </c>
      <c r="B149" s="31" t="s">
        <v>32</v>
      </c>
      <c r="C149" s="102">
        <v>2600</v>
      </c>
      <c r="D149" s="102">
        <v>2600</v>
      </c>
      <c r="E149" s="102">
        <v>2600</v>
      </c>
      <c r="F149" s="102">
        <v>2600</v>
      </c>
      <c r="G149" s="102">
        <v>2600</v>
      </c>
      <c r="H149" s="95"/>
      <c r="I149" s="102">
        <v>2600</v>
      </c>
      <c r="J149" s="102">
        <v>2600</v>
      </c>
      <c r="K149" s="102">
        <v>2600</v>
      </c>
      <c r="L149" s="102">
        <v>2600</v>
      </c>
      <c r="M149" s="102">
        <v>2600</v>
      </c>
      <c r="N149" s="95"/>
    </row>
    <row r="150" spans="1:14" ht="15.75" customHeight="1" x14ac:dyDescent="0.2">
      <c r="A150" s="31" t="s">
        <v>82</v>
      </c>
      <c r="B150" s="31" t="s">
        <v>34</v>
      </c>
      <c r="C150" s="103">
        <v>79</v>
      </c>
      <c r="D150" s="103">
        <v>80</v>
      </c>
      <c r="E150" s="103">
        <v>81</v>
      </c>
      <c r="F150" s="103">
        <v>89</v>
      </c>
      <c r="G150" s="103">
        <v>92</v>
      </c>
      <c r="H150" s="95"/>
      <c r="I150" s="103">
        <v>95</v>
      </c>
      <c r="J150" s="103">
        <v>98</v>
      </c>
      <c r="K150" s="103">
        <v>101</v>
      </c>
      <c r="L150" s="103">
        <v>104</v>
      </c>
      <c r="M150" s="103">
        <v>107</v>
      </c>
      <c r="N150" s="95"/>
    </row>
    <row r="151" spans="1:14" ht="15.75" customHeight="1" x14ac:dyDescent="0.2">
      <c r="A151" s="31" t="s">
        <v>113</v>
      </c>
      <c r="B151" s="31" t="s">
        <v>74</v>
      </c>
      <c r="C151" s="102">
        <v>36</v>
      </c>
      <c r="D151" s="97">
        <f t="shared" ref="D151:G151" si="190">C151</f>
        <v>36</v>
      </c>
      <c r="E151" s="97">
        <f t="shared" si="190"/>
        <v>36</v>
      </c>
      <c r="F151" s="97">
        <f t="shared" si="190"/>
        <v>36</v>
      </c>
      <c r="G151" s="97">
        <f t="shared" si="190"/>
        <v>36</v>
      </c>
      <c r="H151" s="34"/>
      <c r="I151" s="97">
        <f>G151</f>
        <v>36</v>
      </c>
      <c r="J151" s="97">
        <f t="shared" ref="J151:M151" si="191">I151</f>
        <v>36</v>
      </c>
      <c r="K151" s="97">
        <f t="shared" si="191"/>
        <v>36</v>
      </c>
      <c r="L151" s="97">
        <f t="shared" si="191"/>
        <v>36</v>
      </c>
      <c r="M151" s="97">
        <f t="shared" si="191"/>
        <v>36</v>
      </c>
      <c r="N151" s="95"/>
    </row>
    <row r="152" spans="1:14" ht="15.75" customHeight="1" x14ac:dyDescent="0.2">
      <c r="A152" s="36" t="s">
        <v>114</v>
      </c>
      <c r="B152" s="36" t="s">
        <v>115</v>
      </c>
      <c r="C152" s="98">
        <f t="shared" ref="C152:G152" si="192">C149*C150/1000</f>
        <v>205.4</v>
      </c>
      <c r="D152" s="98">
        <f t="shared" si="192"/>
        <v>208</v>
      </c>
      <c r="E152" s="98">
        <f t="shared" si="192"/>
        <v>210.6</v>
      </c>
      <c r="F152" s="98">
        <f t="shared" si="192"/>
        <v>231.4</v>
      </c>
      <c r="G152" s="98">
        <f t="shared" si="192"/>
        <v>239.2</v>
      </c>
      <c r="H152" s="104">
        <f>SUM(C152:G152)</f>
        <v>1094.5999999999999</v>
      </c>
      <c r="I152" s="98">
        <f t="shared" ref="I152:M152" si="193">I149*I150/1000</f>
        <v>247</v>
      </c>
      <c r="J152" s="98">
        <f t="shared" si="193"/>
        <v>254.8</v>
      </c>
      <c r="K152" s="98">
        <f t="shared" si="193"/>
        <v>262.60000000000002</v>
      </c>
      <c r="L152" s="98">
        <f t="shared" si="193"/>
        <v>270.39999999999998</v>
      </c>
      <c r="M152" s="98">
        <f t="shared" si="193"/>
        <v>278.2</v>
      </c>
      <c r="N152" s="104">
        <f>SUM(I152:M152)</f>
        <v>1313.0000000000002</v>
      </c>
    </row>
    <row r="153" spans="1:14" ht="15.75" customHeight="1" x14ac:dyDescent="0.2">
      <c r="A153" s="36" t="s">
        <v>114</v>
      </c>
      <c r="B153" s="88" t="s">
        <v>116</v>
      </c>
      <c r="C153" s="98">
        <f t="shared" ref="C153:G153" si="194">C152/C151</f>
        <v>5.7055555555555557</v>
      </c>
      <c r="D153" s="98">
        <f t="shared" si="194"/>
        <v>5.7777777777777777</v>
      </c>
      <c r="E153" s="98">
        <f t="shared" si="194"/>
        <v>5.85</v>
      </c>
      <c r="F153" s="98">
        <f t="shared" si="194"/>
        <v>6.427777777777778</v>
      </c>
      <c r="G153" s="98">
        <f t="shared" si="194"/>
        <v>6.6444444444444439</v>
      </c>
      <c r="H153" s="95"/>
      <c r="I153" s="98">
        <f t="shared" ref="I153:M153" si="195">I152/I151</f>
        <v>6.8611111111111107</v>
      </c>
      <c r="J153" s="98">
        <f t="shared" si="195"/>
        <v>7.0777777777777784</v>
      </c>
      <c r="K153" s="98">
        <f t="shared" si="195"/>
        <v>7.2944444444444452</v>
      </c>
      <c r="L153" s="98">
        <f t="shared" si="195"/>
        <v>7.5111111111111102</v>
      </c>
      <c r="M153" s="98">
        <f t="shared" si="195"/>
        <v>7.7277777777777779</v>
      </c>
      <c r="N153" s="95"/>
    </row>
    <row r="154" spans="1:14" ht="15.75" customHeight="1" x14ac:dyDescent="0.2">
      <c r="A154" s="45"/>
      <c r="B154" s="46" t="s">
        <v>41</v>
      </c>
      <c r="C154" s="47">
        <f>C153/2</f>
        <v>2.8527777777777779</v>
      </c>
      <c r="D154" s="47">
        <f>C154*2</f>
        <v>5.7055555555555557</v>
      </c>
      <c r="E154" s="47">
        <f t="shared" ref="E154:G154" si="196">D154</f>
        <v>5.7055555555555557</v>
      </c>
      <c r="F154" s="47">
        <f t="shared" si="196"/>
        <v>5.7055555555555557</v>
      </c>
      <c r="G154" s="47">
        <f t="shared" si="196"/>
        <v>5.7055555555555557</v>
      </c>
      <c r="H154" s="34"/>
      <c r="I154" s="47">
        <f t="shared" ref="I154:I157" si="197">G154</f>
        <v>5.7055555555555557</v>
      </c>
      <c r="J154" s="47">
        <f t="shared" ref="J154:M154" si="198">I154</f>
        <v>5.7055555555555557</v>
      </c>
      <c r="K154" s="47">
        <f t="shared" si="198"/>
        <v>5.7055555555555557</v>
      </c>
      <c r="L154" s="47">
        <f t="shared" si="198"/>
        <v>5.7055555555555557</v>
      </c>
      <c r="M154" s="47">
        <f t="shared" si="198"/>
        <v>5.7055555555555557</v>
      </c>
      <c r="N154" s="34"/>
    </row>
    <row r="155" spans="1:14" ht="15.75" customHeight="1" x14ac:dyDescent="0.2">
      <c r="A155" s="45"/>
      <c r="B155" s="46" t="s">
        <v>42</v>
      </c>
      <c r="C155" s="48"/>
      <c r="D155" s="47">
        <f>D153/2</f>
        <v>2.8888888888888888</v>
      </c>
      <c r="E155" s="47">
        <f>D155*2</f>
        <v>5.7777777777777777</v>
      </c>
      <c r="F155" s="47">
        <f t="shared" ref="F155:G155" si="199">E155</f>
        <v>5.7777777777777777</v>
      </c>
      <c r="G155" s="47">
        <f t="shared" si="199"/>
        <v>5.7777777777777777</v>
      </c>
      <c r="H155" s="34"/>
      <c r="I155" s="47">
        <f t="shared" si="197"/>
        <v>5.7777777777777777</v>
      </c>
      <c r="J155" s="47">
        <f t="shared" ref="J155:M155" si="200">I155</f>
        <v>5.7777777777777777</v>
      </c>
      <c r="K155" s="47">
        <f t="shared" si="200"/>
        <v>5.7777777777777777</v>
      </c>
      <c r="L155" s="47">
        <f t="shared" si="200"/>
        <v>5.7777777777777777</v>
      </c>
      <c r="M155" s="47">
        <f t="shared" si="200"/>
        <v>5.7777777777777777</v>
      </c>
      <c r="N155" s="34"/>
    </row>
    <row r="156" spans="1:14" ht="15.75" customHeight="1" x14ac:dyDescent="0.2">
      <c r="A156" s="45"/>
      <c r="B156" s="46" t="s">
        <v>43</v>
      </c>
      <c r="C156" s="48"/>
      <c r="D156" s="48"/>
      <c r="E156" s="47">
        <f>E153/2</f>
        <v>2.9249999999999998</v>
      </c>
      <c r="F156" s="47">
        <f>E156*2</f>
        <v>5.85</v>
      </c>
      <c r="G156" s="47">
        <f>F156</f>
        <v>5.85</v>
      </c>
      <c r="H156" s="34"/>
      <c r="I156" s="47">
        <f t="shared" si="197"/>
        <v>5.85</v>
      </c>
      <c r="J156" s="47">
        <f t="shared" ref="J156:M156" si="201">I156</f>
        <v>5.85</v>
      </c>
      <c r="K156" s="47">
        <f t="shared" si="201"/>
        <v>5.85</v>
      </c>
      <c r="L156" s="47">
        <f t="shared" si="201"/>
        <v>5.85</v>
      </c>
      <c r="M156" s="47">
        <f t="shared" si="201"/>
        <v>5.85</v>
      </c>
      <c r="N156" s="34"/>
    </row>
    <row r="157" spans="1:14" ht="15.75" customHeight="1" x14ac:dyDescent="0.2">
      <c r="A157" s="45"/>
      <c r="B157" s="46" t="s">
        <v>44</v>
      </c>
      <c r="C157" s="48"/>
      <c r="D157" s="48"/>
      <c r="E157" s="48"/>
      <c r="F157" s="47">
        <f>F153/2</f>
        <v>3.213888888888889</v>
      </c>
      <c r="G157" s="47">
        <f>F157*2</f>
        <v>6.427777777777778</v>
      </c>
      <c r="H157" s="34"/>
      <c r="I157" s="47">
        <f t="shared" si="197"/>
        <v>6.427777777777778</v>
      </c>
      <c r="J157" s="47">
        <f t="shared" ref="J157:M157" si="202">I157</f>
        <v>6.427777777777778</v>
      </c>
      <c r="K157" s="47">
        <f t="shared" si="202"/>
        <v>6.427777777777778</v>
      </c>
      <c r="L157" s="47">
        <f t="shared" si="202"/>
        <v>6.427777777777778</v>
      </c>
      <c r="M157" s="47">
        <f t="shared" si="202"/>
        <v>6.427777777777778</v>
      </c>
      <c r="N157" s="34"/>
    </row>
    <row r="158" spans="1:14" ht="15.75" customHeight="1" x14ac:dyDescent="0.2">
      <c r="A158" s="45"/>
      <c r="B158" s="46" t="s">
        <v>45</v>
      </c>
      <c r="C158" s="48"/>
      <c r="D158" s="48"/>
      <c r="E158" s="48"/>
      <c r="F158" s="48"/>
      <c r="G158" s="47">
        <f>G153/2</f>
        <v>3.322222222222222</v>
      </c>
      <c r="H158" s="34"/>
      <c r="I158" s="47">
        <f>G158*2</f>
        <v>6.6444444444444439</v>
      </c>
      <c r="J158" s="47">
        <f t="shared" ref="J158:M158" si="203">I158</f>
        <v>6.6444444444444439</v>
      </c>
      <c r="K158" s="47">
        <f t="shared" si="203"/>
        <v>6.6444444444444439</v>
      </c>
      <c r="L158" s="47">
        <f t="shared" si="203"/>
        <v>6.6444444444444439</v>
      </c>
      <c r="M158" s="47">
        <f t="shared" si="203"/>
        <v>6.6444444444444439</v>
      </c>
      <c r="N158" s="34"/>
    </row>
    <row r="159" spans="1:14" ht="15.75" customHeight="1" x14ac:dyDescent="0.2">
      <c r="A159" s="49"/>
      <c r="B159" s="46" t="s">
        <v>46</v>
      </c>
      <c r="C159" s="48"/>
      <c r="D159" s="48"/>
      <c r="E159" s="48"/>
      <c r="F159" s="48"/>
      <c r="G159" s="48"/>
      <c r="H159" s="34"/>
      <c r="I159" s="47">
        <f>I153/2</f>
        <v>3.4305555555555554</v>
      </c>
      <c r="J159" s="47">
        <f>I159*2</f>
        <v>6.8611111111111107</v>
      </c>
      <c r="K159" s="47">
        <f t="shared" ref="K159:M159" si="204">J159</f>
        <v>6.8611111111111107</v>
      </c>
      <c r="L159" s="47">
        <f t="shared" si="204"/>
        <v>6.8611111111111107</v>
      </c>
      <c r="M159" s="47">
        <f t="shared" si="204"/>
        <v>6.8611111111111107</v>
      </c>
      <c r="N159" s="34"/>
    </row>
    <row r="160" spans="1:14" ht="15.75" customHeight="1" x14ac:dyDescent="0.2">
      <c r="A160" s="49"/>
      <c r="B160" s="46" t="s">
        <v>47</v>
      </c>
      <c r="C160" s="48"/>
      <c r="D160" s="48"/>
      <c r="E160" s="48"/>
      <c r="F160" s="48"/>
      <c r="G160" s="48"/>
      <c r="H160" s="34"/>
      <c r="I160" s="48"/>
      <c r="J160" s="47">
        <f>J153/2</f>
        <v>3.5388888888888892</v>
      </c>
      <c r="K160" s="47">
        <f>J160*2</f>
        <v>7.0777777777777784</v>
      </c>
      <c r="L160" s="47">
        <f t="shared" ref="L160:M160" si="205">K160</f>
        <v>7.0777777777777784</v>
      </c>
      <c r="M160" s="47">
        <f t="shared" si="205"/>
        <v>7.0777777777777784</v>
      </c>
      <c r="N160" s="34"/>
    </row>
    <row r="161" spans="1:14" ht="15.75" customHeight="1" x14ac:dyDescent="0.2">
      <c r="A161" s="49"/>
      <c r="B161" s="46" t="s">
        <v>48</v>
      </c>
      <c r="C161" s="48"/>
      <c r="D161" s="48"/>
      <c r="E161" s="48"/>
      <c r="F161" s="48"/>
      <c r="G161" s="48"/>
      <c r="H161" s="34"/>
      <c r="I161" s="48"/>
      <c r="J161" s="48"/>
      <c r="K161" s="47">
        <f>K153/2</f>
        <v>3.6472222222222226</v>
      </c>
      <c r="L161" s="47">
        <f>K161*2</f>
        <v>7.2944444444444452</v>
      </c>
      <c r="M161" s="47">
        <f>L161</f>
        <v>7.2944444444444452</v>
      </c>
      <c r="N161" s="34"/>
    </row>
    <row r="162" spans="1:14" ht="15.75" customHeight="1" x14ac:dyDescent="0.2">
      <c r="A162" s="49"/>
      <c r="B162" s="46" t="s">
        <v>49</v>
      </c>
      <c r="C162" s="48"/>
      <c r="D162" s="48"/>
      <c r="E162" s="48"/>
      <c r="F162" s="48"/>
      <c r="G162" s="48"/>
      <c r="H162" s="34"/>
      <c r="I162" s="48"/>
      <c r="J162" s="48"/>
      <c r="K162" s="48"/>
      <c r="L162" s="47">
        <f>L153/2</f>
        <v>3.7555555555555551</v>
      </c>
      <c r="M162" s="47">
        <f>L162*2</f>
        <v>7.5111111111111102</v>
      </c>
      <c r="N162" s="34"/>
    </row>
    <row r="163" spans="1:14" ht="15.75" customHeight="1" x14ac:dyDescent="0.2">
      <c r="A163" s="49"/>
      <c r="B163" s="46" t="s">
        <v>50</v>
      </c>
      <c r="C163" s="48"/>
      <c r="D163" s="48"/>
      <c r="E163" s="48"/>
      <c r="F163" s="48"/>
      <c r="G163" s="48"/>
      <c r="H163" s="34"/>
      <c r="I163" s="48"/>
      <c r="J163" s="48"/>
      <c r="K163" s="48"/>
      <c r="L163" s="48"/>
      <c r="M163" s="47">
        <f>M153/2</f>
        <v>3.8638888888888889</v>
      </c>
      <c r="N163" s="34"/>
    </row>
    <row r="164" spans="1:14" ht="15.75" customHeight="1" x14ac:dyDescent="0.2">
      <c r="A164" s="28"/>
      <c r="B164" s="37" t="s">
        <v>51</v>
      </c>
      <c r="C164" s="38">
        <f t="shared" ref="C164:G164" si="206">SUM(C154:C163)</f>
        <v>2.8527777777777779</v>
      </c>
      <c r="D164" s="38">
        <f t="shared" si="206"/>
        <v>8.594444444444445</v>
      </c>
      <c r="E164" s="38">
        <f t="shared" si="206"/>
        <v>14.408333333333335</v>
      </c>
      <c r="F164" s="38">
        <f t="shared" si="206"/>
        <v>20.547222222222224</v>
      </c>
      <c r="G164" s="38">
        <f t="shared" si="206"/>
        <v>27.083333333333336</v>
      </c>
      <c r="H164" s="39">
        <f>SUM(C164:G164)</f>
        <v>73.486111111111114</v>
      </c>
      <c r="I164" s="38">
        <f t="shared" ref="I164:M164" si="207">SUM(I154:I163)</f>
        <v>33.836111111111116</v>
      </c>
      <c r="J164" s="38">
        <f t="shared" si="207"/>
        <v>40.805555555555557</v>
      </c>
      <c r="K164" s="38">
        <f t="shared" si="207"/>
        <v>47.991666666666667</v>
      </c>
      <c r="L164" s="38">
        <f t="shared" si="207"/>
        <v>55.394444444444439</v>
      </c>
      <c r="M164" s="38">
        <f t="shared" si="207"/>
        <v>63.013888888888886</v>
      </c>
      <c r="N164" s="39">
        <f>SUM(I164:M164)</f>
        <v>241.04166666666669</v>
      </c>
    </row>
    <row r="165" spans="1:14" ht="15.75" customHeight="1" x14ac:dyDescent="0.2">
      <c r="A165" s="59" t="s">
        <v>61</v>
      </c>
      <c r="B165" s="60"/>
      <c r="C165" s="61">
        <f>C152-C164</f>
        <v>202.54722222222222</v>
      </c>
      <c r="D165" s="61">
        <f t="shared" ref="D165:G165" si="208">SUM($C152:D152)-SUM($C$164:D164)</f>
        <v>401.95277777777778</v>
      </c>
      <c r="E165" s="61">
        <f t="shared" si="208"/>
        <v>598.14444444444439</v>
      </c>
      <c r="F165" s="61">
        <f t="shared" si="208"/>
        <v>808.99722222222215</v>
      </c>
      <c r="G165" s="61">
        <f t="shared" si="208"/>
        <v>1021.1138888888888</v>
      </c>
      <c r="H165" s="61"/>
      <c r="I165" s="61">
        <f>I152-I164</f>
        <v>213.16388888888889</v>
      </c>
      <c r="J165" s="61">
        <f t="shared" ref="J165:M165" si="209">SUM($I152:J152)-SUM($I$164:J164)</f>
        <v>427.1583333333333</v>
      </c>
      <c r="K165" s="61">
        <f t="shared" si="209"/>
        <v>641.76666666666677</v>
      </c>
      <c r="L165" s="61">
        <f t="shared" si="209"/>
        <v>856.77222222222235</v>
      </c>
      <c r="M165" s="61">
        <f t="shared" si="209"/>
        <v>1071.9583333333335</v>
      </c>
      <c r="N165" s="61"/>
    </row>
    <row r="166" spans="1:14" ht="15.75" customHeight="1" x14ac:dyDescent="0.2">
      <c r="A166" s="28" t="s">
        <v>62</v>
      </c>
      <c r="B166" s="37"/>
      <c r="C166" s="38">
        <f t="shared" ref="C166:E166" si="210">(C165*$Q$3*$Q$4)+(C165*$R$3*$R$4)+(C165*$S$3*$S$4)</f>
        <v>24.678353555555557</v>
      </c>
      <c r="D166" s="38">
        <f t="shared" si="210"/>
        <v>48.973926444444452</v>
      </c>
      <c r="E166" s="38">
        <f t="shared" si="210"/>
        <v>72.877919111111112</v>
      </c>
      <c r="F166" s="38">
        <f t="shared" ref="F166:G166" si="211">(F165*$Q$3*$Q$5)+(F165*$R$3*$R$5)+(F165*$S$3*$S$5)</f>
        <v>101.38353188888888</v>
      </c>
      <c r="G166" s="38">
        <f t="shared" si="211"/>
        <v>127.96599255555556</v>
      </c>
      <c r="H166" s="62">
        <f t="shared" ref="H166:H169" si="212">SUM(C166:G166)</f>
        <v>375.87972355555559</v>
      </c>
      <c r="I166" s="38">
        <f t="shared" ref="I166:M166" si="213">(I165*$Q$3*$Q$6)+(I165*$R$3*$R$6)+(I165*$S$3*$S$6)</f>
        <v>12.734410722222224</v>
      </c>
      <c r="J166" s="38">
        <f t="shared" si="213"/>
        <v>25.518438833333335</v>
      </c>
      <c r="K166" s="38">
        <f t="shared" si="213"/>
        <v>38.33914066666668</v>
      </c>
      <c r="L166" s="38">
        <f t="shared" si="213"/>
        <v>51.183572555555571</v>
      </c>
      <c r="M166" s="38">
        <f t="shared" si="213"/>
        <v>64.038790833333351</v>
      </c>
      <c r="N166" s="62">
        <f t="shared" ref="N166:N169" si="214">SUM(I166:M166)</f>
        <v>191.81435361111116</v>
      </c>
    </row>
    <row r="167" spans="1:14" ht="15.75" customHeight="1" x14ac:dyDescent="0.2">
      <c r="A167" s="63" t="s">
        <v>63</v>
      </c>
      <c r="B167" s="37"/>
      <c r="C167" s="38">
        <f t="shared" ref="C167:E167" si="215">(C165*$S$3*$S$4)*$T$3</f>
        <v>1.7905984633333336</v>
      </c>
      <c r="D167" s="38">
        <f t="shared" si="215"/>
        <v>3.5534233366666674</v>
      </c>
      <c r="E167" s="38">
        <f t="shared" si="215"/>
        <v>5.2878361466666668</v>
      </c>
      <c r="F167" s="38">
        <f t="shared" ref="F167:G167" si="216">(F165*$S$3*$S$5)*$T$3</f>
        <v>7.8979162816666673</v>
      </c>
      <c r="G167" s="38">
        <f t="shared" si="216"/>
        <v>9.9687264516666669</v>
      </c>
      <c r="H167" s="62">
        <f t="shared" si="212"/>
        <v>28.498500679999999</v>
      </c>
      <c r="I167" s="38">
        <f t="shared" ref="I167:M167" si="217">(I165*$S$3*$S$6)*$T$3</f>
        <v>2.0335835000000002</v>
      </c>
      <c r="J167" s="38">
        <f t="shared" si="217"/>
        <v>4.0750905000000008</v>
      </c>
      <c r="K167" s="38">
        <f t="shared" si="217"/>
        <v>6.1224540000000012</v>
      </c>
      <c r="L167" s="38">
        <f t="shared" si="217"/>
        <v>8.1736070000000023</v>
      </c>
      <c r="M167" s="38">
        <f t="shared" si="217"/>
        <v>10.226482500000001</v>
      </c>
      <c r="N167" s="62">
        <f t="shared" si="214"/>
        <v>30.631217500000005</v>
      </c>
    </row>
    <row r="168" spans="1:14" ht="15.75" customHeight="1" x14ac:dyDescent="0.2">
      <c r="A168" s="63" t="s">
        <v>64</v>
      </c>
      <c r="B168" s="37"/>
      <c r="C168" s="64">
        <f t="shared" ref="C168:G168" si="218">C167/(1-0.265)</f>
        <v>2.4361883854875286</v>
      </c>
      <c r="D168" s="64">
        <f t="shared" si="218"/>
        <v>4.8345895736961459</v>
      </c>
      <c r="E168" s="64">
        <f t="shared" si="218"/>
        <v>7.1943348934240365</v>
      </c>
      <c r="F168" s="64">
        <f t="shared" si="218"/>
        <v>10.745464328798187</v>
      </c>
      <c r="G168" s="64">
        <f t="shared" si="218"/>
        <v>13.562893131519274</v>
      </c>
      <c r="H168" s="62">
        <f t="shared" si="212"/>
        <v>38.77347031292517</v>
      </c>
      <c r="I168" s="64">
        <f t="shared" ref="I168:M168" si="219">I167/(1-0.265)</f>
        <v>2.7667802721088437</v>
      </c>
      <c r="J168" s="64">
        <f t="shared" si="219"/>
        <v>5.5443408163265318</v>
      </c>
      <c r="K168" s="64">
        <f t="shared" si="219"/>
        <v>8.3298693877551031</v>
      </c>
      <c r="L168" s="64">
        <f t="shared" si="219"/>
        <v>11.120553741496602</v>
      </c>
      <c r="M168" s="64">
        <f t="shared" si="219"/>
        <v>13.913581632653063</v>
      </c>
      <c r="N168" s="62">
        <f t="shared" si="214"/>
        <v>41.675125850340144</v>
      </c>
    </row>
    <row r="169" spans="1:14" ht="15.75" customHeight="1" x14ac:dyDescent="0.2">
      <c r="A169" s="65" t="s">
        <v>65</v>
      </c>
      <c r="B169" s="66"/>
      <c r="C169" s="67">
        <f t="shared" ref="C169:G169" si="220">C166+C164+C168</f>
        <v>29.967319718820864</v>
      </c>
      <c r="D169" s="67">
        <f t="shared" si="220"/>
        <v>62.402960462585042</v>
      </c>
      <c r="E169" s="67">
        <f t="shared" si="220"/>
        <v>94.480587337868485</v>
      </c>
      <c r="F169" s="67">
        <f t="shared" si="220"/>
        <v>132.67621843990929</v>
      </c>
      <c r="G169" s="67">
        <f t="shared" si="220"/>
        <v>168.61221902040816</v>
      </c>
      <c r="H169" s="68">
        <f t="shared" si="212"/>
        <v>488.13930497959188</v>
      </c>
      <c r="I169" s="67">
        <f t="shared" ref="I169:M169" si="221">I166+I164+I168</f>
        <v>49.337302105442184</v>
      </c>
      <c r="J169" s="67">
        <f t="shared" si="221"/>
        <v>71.868335205215431</v>
      </c>
      <c r="K169" s="67">
        <f t="shared" si="221"/>
        <v>94.660676721088464</v>
      </c>
      <c r="L169" s="67">
        <f t="shared" si="221"/>
        <v>117.69857074149662</v>
      </c>
      <c r="M169" s="67">
        <f t="shared" si="221"/>
        <v>140.96626135487531</v>
      </c>
      <c r="N169" s="68">
        <f t="shared" si="214"/>
        <v>474.531146128118</v>
      </c>
    </row>
    <row r="170" spans="1:14" ht="15.75" customHeight="1" x14ac:dyDescent="0.2">
      <c r="A170" s="28"/>
      <c r="B170" s="37"/>
      <c r="C170" s="69"/>
      <c r="D170" s="69"/>
      <c r="E170" s="69"/>
      <c r="F170" s="69"/>
      <c r="G170" s="69"/>
      <c r="H170" s="70"/>
      <c r="I170" s="69"/>
      <c r="J170" s="69"/>
      <c r="K170" s="69"/>
      <c r="L170" s="69"/>
      <c r="M170" s="69"/>
      <c r="N170" s="70"/>
    </row>
    <row r="171" spans="1:14" ht="15.75" customHeight="1" x14ac:dyDescent="0.2">
      <c r="A171" s="101" t="s">
        <v>117</v>
      </c>
      <c r="B171" s="94" t="s">
        <v>26</v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</row>
    <row r="172" spans="1:14" ht="15.75" customHeight="1" x14ac:dyDescent="0.2">
      <c r="A172" s="105" t="s">
        <v>118</v>
      </c>
      <c r="B172" s="31" t="s">
        <v>32</v>
      </c>
      <c r="C172" s="106">
        <v>148</v>
      </c>
      <c r="D172" s="106">
        <f t="shared" ref="D172:G172" si="222">C172</f>
        <v>148</v>
      </c>
      <c r="E172" s="106">
        <f t="shared" si="222"/>
        <v>148</v>
      </c>
      <c r="F172" s="106">
        <f t="shared" si="222"/>
        <v>148</v>
      </c>
      <c r="G172" s="106">
        <f t="shared" si="222"/>
        <v>148</v>
      </c>
      <c r="H172" s="107"/>
      <c r="I172" s="106">
        <f t="shared" ref="I172:I173" si="223">G172</f>
        <v>148</v>
      </c>
      <c r="J172" s="106">
        <f t="shared" ref="J172:M172" si="224">I172</f>
        <v>148</v>
      </c>
      <c r="K172" s="106">
        <f t="shared" si="224"/>
        <v>148</v>
      </c>
      <c r="L172" s="106">
        <f t="shared" si="224"/>
        <v>148</v>
      </c>
      <c r="M172" s="106">
        <f t="shared" si="224"/>
        <v>148</v>
      </c>
      <c r="N172" s="95"/>
    </row>
    <row r="173" spans="1:14" ht="15.75" customHeight="1" x14ac:dyDescent="0.2">
      <c r="A173" s="105" t="s">
        <v>119</v>
      </c>
      <c r="B173" s="31" t="s">
        <v>34</v>
      </c>
      <c r="C173" s="108">
        <f>20/60</f>
        <v>0.33333333333333331</v>
      </c>
      <c r="D173" s="109">
        <f t="shared" ref="D173:G173" si="225">C173</f>
        <v>0.33333333333333331</v>
      </c>
      <c r="E173" s="109">
        <f t="shared" si="225"/>
        <v>0.33333333333333331</v>
      </c>
      <c r="F173" s="109">
        <f t="shared" si="225"/>
        <v>0.33333333333333331</v>
      </c>
      <c r="G173" s="109">
        <f t="shared" si="225"/>
        <v>0.33333333333333331</v>
      </c>
      <c r="H173" s="95"/>
      <c r="I173" s="108">
        <f t="shared" si="223"/>
        <v>0.33333333333333331</v>
      </c>
      <c r="J173" s="108">
        <f t="shared" ref="J173:M173" si="226">I173</f>
        <v>0.33333333333333331</v>
      </c>
      <c r="K173" s="108">
        <f t="shared" si="226"/>
        <v>0.33333333333333331</v>
      </c>
      <c r="L173" s="108">
        <f t="shared" si="226"/>
        <v>0.33333333333333331</v>
      </c>
      <c r="M173" s="108">
        <f t="shared" si="226"/>
        <v>0.33333333333333331</v>
      </c>
      <c r="N173" s="95"/>
    </row>
    <row r="174" spans="1:14" ht="15.75" customHeight="1" x14ac:dyDescent="0.2">
      <c r="A174" s="105" t="s">
        <v>120</v>
      </c>
      <c r="B174" s="31" t="s">
        <v>121</v>
      </c>
      <c r="C174" s="110">
        <f t="shared" ref="C174:G174" si="227">C172*C173</f>
        <v>49.333333333333329</v>
      </c>
      <c r="D174" s="110">
        <f t="shared" si="227"/>
        <v>49.333333333333329</v>
      </c>
      <c r="E174" s="110">
        <f t="shared" si="227"/>
        <v>49.333333333333329</v>
      </c>
      <c r="F174" s="110">
        <f t="shared" si="227"/>
        <v>49.333333333333329</v>
      </c>
      <c r="G174" s="110">
        <f t="shared" si="227"/>
        <v>49.333333333333329</v>
      </c>
      <c r="H174" s="111"/>
      <c r="I174" s="110">
        <f t="shared" ref="I174:M174" si="228">I172*I173</f>
        <v>49.333333333333329</v>
      </c>
      <c r="J174" s="110">
        <f t="shared" si="228"/>
        <v>49.333333333333329</v>
      </c>
      <c r="K174" s="110">
        <f t="shared" si="228"/>
        <v>49.333333333333329</v>
      </c>
      <c r="L174" s="110">
        <f t="shared" si="228"/>
        <v>49.333333333333329</v>
      </c>
      <c r="M174" s="110">
        <f t="shared" si="228"/>
        <v>49.333333333333329</v>
      </c>
      <c r="N174" s="95"/>
    </row>
    <row r="175" spans="1:14" ht="15.75" customHeight="1" x14ac:dyDescent="0.2">
      <c r="A175" s="31" t="s">
        <v>122</v>
      </c>
      <c r="B175" s="31" t="s">
        <v>38</v>
      </c>
      <c r="C175" s="112">
        <v>79</v>
      </c>
      <c r="D175" s="112">
        <v>80</v>
      </c>
      <c r="E175" s="112">
        <v>81</v>
      </c>
      <c r="F175" s="112">
        <v>89</v>
      </c>
      <c r="G175" s="103">
        <v>92</v>
      </c>
      <c r="H175" s="95"/>
      <c r="I175" s="103">
        <v>95</v>
      </c>
      <c r="J175" s="103">
        <v>98</v>
      </c>
      <c r="K175" s="103">
        <v>101</v>
      </c>
      <c r="L175" s="103">
        <v>104</v>
      </c>
      <c r="M175" s="103">
        <v>107</v>
      </c>
      <c r="N175" s="95"/>
    </row>
    <row r="176" spans="1:14" ht="15.75" customHeight="1" x14ac:dyDescent="0.2">
      <c r="A176" s="31" t="s">
        <v>113</v>
      </c>
      <c r="B176" s="31" t="s">
        <v>54</v>
      </c>
      <c r="C176" s="110">
        <v>36</v>
      </c>
      <c r="D176" s="97">
        <f t="shared" ref="D176:G176" si="229">C176</f>
        <v>36</v>
      </c>
      <c r="E176" s="97">
        <f t="shared" si="229"/>
        <v>36</v>
      </c>
      <c r="F176" s="97">
        <f t="shared" si="229"/>
        <v>36</v>
      </c>
      <c r="G176" s="97">
        <f t="shared" si="229"/>
        <v>36</v>
      </c>
      <c r="H176" s="34"/>
      <c r="I176" s="97">
        <f>G176</f>
        <v>36</v>
      </c>
      <c r="J176" s="97">
        <f t="shared" ref="J176:M176" si="230">I176</f>
        <v>36</v>
      </c>
      <c r="K176" s="97">
        <f t="shared" si="230"/>
        <v>36</v>
      </c>
      <c r="L176" s="97">
        <f t="shared" si="230"/>
        <v>36</v>
      </c>
      <c r="M176" s="97">
        <f t="shared" si="230"/>
        <v>36</v>
      </c>
      <c r="N176" s="95"/>
    </row>
    <row r="177" spans="1:14" ht="15.75" customHeight="1" x14ac:dyDescent="0.2">
      <c r="A177" s="36" t="s">
        <v>123</v>
      </c>
      <c r="B177" s="36" t="s">
        <v>124</v>
      </c>
      <c r="C177" s="113">
        <f t="shared" ref="C177:G177" si="231">(C174*C175)/1000</f>
        <v>3.8973333333333331</v>
      </c>
      <c r="D177" s="113">
        <f t="shared" si="231"/>
        <v>3.9466666666666659</v>
      </c>
      <c r="E177" s="113">
        <f t="shared" si="231"/>
        <v>3.9959999999999996</v>
      </c>
      <c r="F177" s="113">
        <f t="shared" si="231"/>
        <v>4.3906666666666663</v>
      </c>
      <c r="G177" s="113">
        <f t="shared" si="231"/>
        <v>4.538666666666666</v>
      </c>
      <c r="H177" s="99">
        <f>SUM(C177:G177)</f>
        <v>20.769333333333329</v>
      </c>
      <c r="I177" s="113">
        <f t="shared" ref="I177:M177" si="232">(I174*I175)/1000</f>
        <v>4.6866666666666656</v>
      </c>
      <c r="J177" s="113">
        <f t="shared" si="232"/>
        <v>4.8346666666666662</v>
      </c>
      <c r="K177" s="113">
        <f t="shared" si="232"/>
        <v>4.9826666666666659</v>
      </c>
      <c r="L177" s="113">
        <f t="shared" si="232"/>
        <v>5.1306666666666665</v>
      </c>
      <c r="M177" s="113">
        <f t="shared" si="232"/>
        <v>5.2786666666666662</v>
      </c>
      <c r="N177" s="99">
        <f>SUM(I177:M177)</f>
        <v>24.91333333333333</v>
      </c>
    </row>
    <row r="178" spans="1:14" ht="15.75" customHeight="1" x14ac:dyDescent="0.2">
      <c r="A178" s="36" t="s">
        <v>123</v>
      </c>
      <c r="B178" s="36" t="s">
        <v>125</v>
      </c>
      <c r="C178" s="98">
        <f t="shared" ref="C178:G178" si="233">C177/C176</f>
        <v>0.10825925925925925</v>
      </c>
      <c r="D178" s="100">
        <f t="shared" si="233"/>
        <v>0.1096296296296296</v>
      </c>
      <c r="E178" s="98">
        <f t="shared" si="233"/>
        <v>0.11099999999999999</v>
      </c>
      <c r="F178" s="100">
        <f t="shared" si="233"/>
        <v>0.12196296296296295</v>
      </c>
      <c r="G178" s="98">
        <f t="shared" si="233"/>
        <v>0.12607407407407406</v>
      </c>
      <c r="H178" s="34"/>
      <c r="I178" s="98">
        <f t="shared" ref="I178:M178" si="234">I177/I176</f>
        <v>0.13018518518518515</v>
      </c>
      <c r="J178" s="98">
        <f t="shared" si="234"/>
        <v>0.13429629629629627</v>
      </c>
      <c r="K178" s="98">
        <f t="shared" si="234"/>
        <v>0.1384074074074074</v>
      </c>
      <c r="L178" s="98">
        <f t="shared" si="234"/>
        <v>0.14251851851851852</v>
      </c>
      <c r="M178" s="98">
        <f t="shared" si="234"/>
        <v>0.14662962962962961</v>
      </c>
      <c r="N178" s="34"/>
    </row>
    <row r="179" spans="1:14" ht="15.75" customHeight="1" x14ac:dyDescent="0.2">
      <c r="A179" s="45"/>
      <c r="B179" s="46" t="s">
        <v>41</v>
      </c>
      <c r="C179" s="47">
        <f>C178/2</f>
        <v>5.4129629629629625E-2</v>
      </c>
      <c r="D179" s="47">
        <f>C179*2</f>
        <v>0.10825925925925925</v>
      </c>
      <c r="E179" s="47">
        <f t="shared" ref="E179:G179" si="235">D179</f>
        <v>0.10825925925925925</v>
      </c>
      <c r="F179" s="47">
        <f t="shared" si="235"/>
        <v>0.10825925925925925</v>
      </c>
      <c r="G179" s="47">
        <f t="shared" si="235"/>
        <v>0.10825925925925925</v>
      </c>
      <c r="H179" s="34"/>
      <c r="I179" s="47">
        <f t="shared" ref="I179:I182" si="236">G179</f>
        <v>0.10825925925925925</v>
      </c>
      <c r="J179" s="47">
        <f t="shared" ref="J179:M179" si="237">I179</f>
        <v>0.10825925925925925</v>
      </c>
      <c r="K179" s="47">
        <f t="shared" si="237"/>
        <v>0.10825925925925925</v>
      </c>
      <c r="L179" s="47">
        <f t="shared" si="237"/>
        <v>0.10825925925925925</v>
      </c>
      <c r="M179" s="47">
        <f t="shared" si="237"/>
        <v>0.10825925925925925</v>
      </c>
      <c r="N179" s="34"/>
    </row>
    <row r="180" spans="1:14" ht="15.75" customHeight="1" x14ac:dyDescent="0.2">
      <c r="A180" s="45"/>
      <c r="B180" s="46" t="s">
        <v>42</v>
      </c>
      <c r="C180" s="48"/>
      <c r="D180" s="47">
        <f>D178/2</f>
        <v>5.4814814814814802E-2</v>
      </c>
      <c r="E180" s="47">
        <f>D180*2</f>
        <v>0.1096296296296296</v>
      </c>
      <c r="F180" s="47">
        <f t="shared" ref="F180:G180" si="238">E180</f>
        <v>0.1096296296296296</v>
      </c>
      <c r="G180" s="47">
        <f t="shared" si="238"/>
        <v>0.1096296296296296</v>
      </c>
      <c r="H180" s="34"/>
      <c r="I180" s="47">
        <f t="shared" si="236"/>
        <v>0.1096296296296296</v>
      </c>
      <c r="J180" s="47">
        <f t="shared" ref="J180:M180" si="239">I180</f>
        <v>0.1096296296296296</v>
      </c>
      <c r="K180" s="47">
        <f t="shared" si="239"/>
        <v>0.1096296296296296</v>
      </c>
      <c r="L180" s="47">
        <f t="shared" si="239"/>
        <v>0.1096296296296296</v>
      </c>
      <c r="M180" s="47">
        <f t="shared" si="239"/>
        <v>0.1096296296296296</v>
      </c>
      <c r="N180" s="34"/>
    </row>
    <row r="181" spans="1:14" ht="15.75" customHeight="1" x14ac:dyDescent="0.2">
      <c r="A181" s="45"/>
      <c r="B181" s="46" t="s">
        <v>43</v>
      </c>
      <c r="C181" s="48"/>
      <c r="D181" s="48"/>
      <c r="E181" s="47">
        <f>E178/2</f>
        <v>5.5499999999999994E-2</v>
      </c>
      <c r="F181" s="47">
        <f>E181*2</f>
        <v>0.11099999999999999</v>
      </c>
      <c r="G181" s="47">
        <f>F181</f>
        <v>0.11099999999999999</v>
      </c>
      <c r="H181" s="34"/>
      <c r="I181" s="47">
        <f t="shared" si="236"/>
        <v>0.11099999999999999</v>
      </c>
      <c r="J181" s="47">
        <f t="shared" ref="J181:M181" si="240">I181</f>
        <v>0.11099999999999999</v>
      </c>
      <c r="K181" s="47">
        <f t="shared" si="240"/>
        <v>0.11099999999999999</v>
      </c>
      <c r="L181" s="47">
        <f t="shared" si="240"/>
        <v>0.11099999999999999</v>
      </c>
      <c r="M181" s="47">
        <f t="shared" si="240"/>
        <v>0.11099999999999999</v>
      </c>
      <c r="N181" s="34"/>
    </row>
    <row r="182" spans="1:14" ht="15.75" customHeight="1" x14ac:dyDescent="0.2">
      <c r="A182" s="45"/>
      <c r="B182" s="46" t="s">
        <v>44</v>
      </c>
      <c r="C182" s="48"/>
      <c r="D182" s="48"/>
      <c r="E182" s="48"/>
      <c r="F182" s="47">
        <f>F178/2</f>
        <v>6.0981481481481477E-2</v>
      </c>
      <c r="G182" s="47">
        <f>F182*2</f>
        <v>0.12196296296296295</v>
      </c>
      <c r="H182" s="34"/>
      <c r="I182" s="47">
        <f t="shared" si="236"/>
        <v>0.12196296296296295</v>
      </c>
      <c r="J182" s="47">
        <f t="shared" ref="J182:M182" si="241">I182</f>
        <v>0.12196296296296295</v>
      </c>
      <c r="K182" s="47">
        <f t="shared" si="241"/>
        <v>0.12196296296296295</v>
      </c>
      <c r="L182" s="47">
        <f t="shared" si="241"/>
        <v>0.12196296296296295</v>
      </c>
      <c r="M182" s="47">
        <f t="shared" si="241"/>
        <v>0.12196296296296295</v>
      </c>
      <c r="N182" s="34"/>
    </row>
    <row r="183" spans="1:14" ht="15.75" customHeight="1" x14ac:dyDescent="0.2">
      <c r="A183" s="45"/>
      <c r="B183" s="46" t="s">
        <v>45</v>
      </c>
      <c r="C183" s="48"/>
      <c r="D183" s="48"/>
      <c r="E183" s="48"/>
      <c r="F183" s="48"/>
      <c r="G183" s="47">
        <f>G178/2</f>
        <v>6.303703703703703E-2</v>
      </c>
      <c r="H183" s="34"/>
      <c r="I183" s="47">
        <f>G183*2</f>
        <v>0.12607407407407406</v>
      </c>
      <c r="J183" s="47">
        <f t="shared" ref="J183:M183" si="242">I183</f>
        <v>0.12607407407407406</v>
      </c>
      <c r="K183" s="47">
        <f t="shared" si="242"/>
        <v>0.12607407407407406</v>
      </c>
      <c r="L183" s="47">
        <f t="shared" si="242"/>
        <v>0.12607407407407406</v>
      </c>
      <c r="M183" s="47">
        <f t="shared" si="242"/>
        <v>0.12607407407407406</v>
      </c>
      <c r="N183" s="34"/>
    </row>
    <row r="184" spans="1:14" ht="15.75" customHeight="1" x14ac:dyDescent="0.2">
      <c r="A184" s="49"/>
      <c r="B184" s="46" t="s">
        <v>46</v>
      </c>
      <c r="C184" s="48"/>
      <c r="D184" s="48"/>
      <c r="E184" s="48"/>
      <c r="F184" s="48"/>
      <c r="G184" s="48"/>
      <c r="H184" s="34"/>
      <c r="I184" s="47">
        <f>I178/2</f>
        <v>6.5092592592592577E-2</v>
      </c>
      <c r="J184" s="47">
        <f>I184*2</f>
        <v>0.13018518518518515</v>
      </c>
      <c r="K184" s="47">
        <f t="shared" ref="K184:M184" si="243">J184</f>
        <v>0.13018518518518515</v>
      </c>
      <c r="L184" s="47">
        <f t="shared" si="243"/>
        <v>0.13018518518518515</v>
      </c>
      <c r="M184" s="47">
        <f t="shared" si="243"/>
        <v>0.13018518518518515</v>
      </c>
      <c r="N184" s="34"/>
    </row>
    <row r="185" spans="1:14" ht="15.75" customHeight="1" x14ac:dyDescent="0.2">
      <c r="A185" s="49"/>
      <c r="B185" s="46" t="s">
        <v>47</v>
      </c>
      <c r="C185" s="48"/>
      <c r="D185" s="48"/>
      <c r="E185" s="48"/>
      <c r="F185" s="48"/>
      <c r="G185" s="48"/>
      <c r="H185" s="34"/>
      <c r="I185" s="48"/>
      <c r="J185" s="47">
        <f>J178/2</f>
        <v>6.7148148148148137E-2</v>
      </c>
      <c r="K185" s="47">
        <f>J185*2</f>
        <v>0.13429629629629627</v>
      </c>
      <c r="L185" s="47">
        <f t="shared" ref="L185:M185" si="244">K185</f>
        <v>0.13429629629629627</v>
      </c>
      <c r="M185" s="47">
        <f t="shared" si="244"/>
        <v>0.13429629629629627</v>
      </c>
      <c r="N185" s="34"/>
    </row>
    <row r="186" spans="1:14" ht="15.75" customHeight="1" x14ac:dyDescent="0.2">
      <c r="A186" s="49"/>
      <c r="B186" s="46" t="s">
        <v>48</v>
      </c>
      <c r="C186" s="48"/>
      <c r="D186" s="48"/>
      <c r="E186" s="48"/>
      <c r="F186" s="48"/>
      <c r="G186" s="48"/>
      <c r="H186" s="34"/>
      <c r="I186" s="48"/>
      <c r="J186" s="48"/>
      <c r="K186" s="47">
        <f>K178/2</f>
        <v>6.9203703703703698E-2</v>
      </c>
      <c r="L186" s="47">
        <f>K186*2</f>
        <v>0.1384074074074074</v>
      </c>
      <c r="M186" s="47">
        <f>L186</f>
        <v>0.1384074074074074</v>
      </c>
      <c r="N186" s="34"/>
    </row>
    <row r="187" spans="1:14" ht="15.75" customHeight="1" x14ac:dyDescent="0.2">
      <c r="A187" s="49"/>
      <c r="B187" s="46" t="s">
        <v>49</v>
      </c>
      <c r="C187" s="48"/>
      <c r="D187" s="48"/>
      <c r="E187" s="48"/>
      <c r="F187" s="48"/>
      <c r="G187" s="48"/>
      <c r="H187" s="34"/>
      <c r="I187" s="48"/>
      <c r="J187" s="48"/>
      <c r="K187" s="48"/>
      <c r="L187" s="47">
        <f>L178/2</f>
        <v>7.1259259259259258E-2</v>
      </c>
      <c r="M187" s="47">
        <f>L187*2</f>
        <v>0.14251851851851852</v>
      </c>
      <c r="N187" s="34"/>
    </row>
    <row r="188" spans="1:14" ht="15.75" customHeight="1" x14ac:dyDescent="0.2">
      <c r="A188" s="49"/>
      <c r="B188" s="46" t="s">
        <v>50</v>
      </c>
      <c r="C188" s="48"/>
      <c r="D188" s="48"/>
      <c r="E188" s="48"/>
      <c r="F188" s="48"/>
      <c r="G188" s="48"/>
      <c r="H188" s="34"/>
      <c r="I188" s="48"/>
      <c r="J188" s="48"/>
      <c r="K188" s="48"/>
      <c r="L188" s="48"/>
      <c r="M188" s="47">
        <f>M178/2</f>
        <v>7.3314814814814805E-2</v>
      </c>
      <c r="N188" s="34"/>
    </row>
    <row r="189" spans="1:14" ht="15.75" customHeight="1" x14ac:dyDescent="0.2">
      <c r="A189" s="28"/>
      <c r="B189" s="37" t="s">
        <v>51</v>
      </c>
      <c r="C189" s="38">
        <f t="shared" ref="C189:G189" si="245">SUM(C179:C188)</f>
        <v>5.4129629629629625E-2</v>
      </c>
      <c r="D189" s="38">
        <f t="shared" si="245"/>
        <v>0.16307407407407404</v>
      </c>
      <c r="E189" s="38">
        <f t="shared" si="245"/>
        <v>0.27338888888888885</v>
      </c>
      <c r="F189" s="38">
        <f t="shared" si="245"/>
        <v>0.38987037037037031</v>
      </c>
      <c r="G189" s="38">
        <f t="shared" si="245"/>
        <v>0.51388888888888884</v>
      </c>
      <c r="H189" s="39">
        <f>SUM(C189:G189)</f>
        <v>1.3943518518518516</v>
      </c>
      <c r="I189" s="38">
        <f t="shared" ref="I189:M189" si="246">SUM(I179:I188)</f>
        <v>0.64201851851851843</v>
      </c>
      <c r="J189" s="38">
        <f t="shared" si="246"/>
        <v>0.7742592592592592</v>
      </c>
      <c r="K189" s="38">
        <f t="shared" si="246"/>
        <v>0.91061111111111093</v>
      </c>
      <c r="L189" s="38">
        <f t="shared" si="246"/>
        <v>1.051074074074074</v>
      </c>
      <c r="M189" s="38">
        <f t="shared" si="246"/>
        <v>1.195648148148148</v>
      </c>
      <c r="N189" s="39">
        <f>SUM(I189:M189)</f>
        <v>4.5736111111111111</v>
      </c>
    </row>
    <row r="190" spans="1:14" ht="15.75" customHeight="1" x14ac:dyDescent="0.2">
      <c r="A190" s="59" t="s">
        <v>61</v>
      </c>
      <c r="B190" s="60"/>
      <c r="C190" s="61">
        <f>C177-C189</f>
        <v>3.8432037037037037</v>
      </c>
      <c r="D190" s="61">
        <f t="shared" ref="D190:G190" si="247">SUM($C177:D177)-SUM($C$189:D189)</f>
        <v>7.6267962962962956</v>
      </c>
      <c r="E190" s="61">
        <f t="shared" si="247"/>
        <v>11.349407407407407</v>
      </c>
      <c r="F190" s="61">
        <f t="shared" si="247"/>
        <v>15.350203703703702</v>
      </c>
      <c r="G190" s="61">
        <f t="shared" si="247"/>
        <v>19.374981481481477</v>
      </c>
      <c r="H190" s="61"/>
      <c r="I190" s="61">
        <f>I177-I189</f>
        <v>4.0446481481481475</v>
      </c>
      <c r="J190" s="61">
        <f t="shared" ref="J190:M190" si="248">SUM($I177:J177)-SUM($I$189:J189)</f>
        <v>8.1050555555555537</v>
      </c>
      <c r="K190" s="61">
        <f t="shared" si="248"/>
        <v>12.17711111111111</v>
      </c>
      <c r="L190" s="61">
        <f t="shared" si="248"/>
        <v>16.2567037037037</v>
      </c>
      <c r="M190" s="61">
        <f t="shared" si="248"/>
        <v>20.339722222222221</v>
      </c>
      <c r="N190" s="61"/>
    </row>
    <row r="191" spans="1:14" ht="15.75" customHeight="1" x14ac:dyDescent="0.2">
      <c r="A191" s="28" t="s">
        <v>62</v>
      </c>
      <c r="B191" s="37"/>
      <c r="C191" s="38">
        <f t="shared" ref="C191:E191" si="249">(C190*$Q$3*$Q$4)+(C190*$R$3*$R$4)+(C190*$S$3*$S$4)</f>
        <v>0.46825593925925929</v>
      </c>
      <c r="D191" s="38">
        <f t="shared" si="249"/>
        <v>0.92924886074074065</v>
      </c>
      <c r="E191" s="38">
        <f t="shared" si="249"/>
        <v>1.3828117985185187</v>
      </c>
      <c r="F191" s="38">
        <f t="shared" ref="F191:G191" si="250">(F190*$Q$3*$Q$5)+(F190*$R$3*$R$5)+(F190*$S$3*$S$5)</f>
        <v>1.923687528148148</v>
      </c>
      <c r="G191" s="38">
        <f t="shared" si="250"/>
        <v>2.4280726792592588</v>
      </c>
      <c r="H191" s="62">
        <f t="shared" ref="H191:H194" si="251">SUM(C191:G191)</f>
        <v>7.1320768059259247</v>
      </c>
      <c r="I191" s="38">
        <f t="shared" ref="I191:M191" si="252">(I190*$Q$3*$Q$6)+(I190*$R$3*$R$6)+(I190*$S$3*$S$6)</f>
        <v>0.24162728037037035</v>
      </c>
      <c r="J191" s="38">
        <f t="shared" si="252"/>
        <v>0.4841960188888888</v>
      </c>
      <c r="K191" s="38">
        <f t="shared" si="252"/>
        <v>0.72746061777777782</v>
      </c>
      <c r="L191" s="38">
        <f t="shared" si="252"/>
        <v>0.97117547925925907</v>
      </c>
      <c r="M191" s="38">
        <f t="shared" si="252"/>
        <v>1.2150950055555556</v>
      </c>
      <c r="N191" s="62">
        <f t="shared" ref="N191:N194" si="253">SUM(I191:M191)</f>
        <v>3.6395544018518518</v>
      </c>
    </row>
    <row r="192" spans="1:14" ht="15.75" customHeight="1" x14ac:dyDescent="0.2">
      <c r="A192" s="63" t="s">
        <v>63</v>
      </c>
      <c r="B192" s="37"/>
      <c r="C192" s="38">
        <f t="shared" ref="C192:E192" si="254">(C190*$S$3*$S$4)*$T$3</f>
        <v>3.3975458022222224E-2</v>
      </c>
      <c r="D192" s="38">
        <f t="shared" si="254"/>
        <v>6.7423929977777783E-2</v>
      </c>
      <c r="E192" s="38">
        <f t="shared" si="254"/>
        <v>0.10033330124444446</v>
      </c>
      <c r="F192" s="38">
        <f t="shared" ref="F192:G192" si="255">(F190*$S$3*$S$5)*$T$3</f>
        <v>0.14985789867777777</v>
      </c>
      <c r="G192" s="38">
        <f t="shared" si="255"/>
        <v>0.18915019421111109</v>
      </c>
      <c r="H192" s="62">
        <f t="shared" si="251"/>
        <v>0.54074078213333332</v>
      </c>
      <c r="I192" s="38">
        <f t="shared" ref="I192:M192" si="256">(I190*$S$3*$S$6)*$T$3</f>
        <v>3.8585943333333331E-2</v>
      </c>
      <c r="J192" s="38">
        <f t="shared" si="256"/>
        <v>7.7322229999999992E-2</v>
      </c>
      <c r="K192" s="38">
        <f t="shared" si="256"/>
        <v>0.11616963999999999</v>
      </c>
      <c r="L192" s="38">
        <f t="shared" si="256"/>
        <v>0.15508895333333331</v>
      </c>
      <c r="M192" s="38">
        <f t="shared" si="256"/>
        <v>0.19404095000000002</v>
      </c>
      <c r="N192" s="62">
        <f t="shared" si="253"/>
        <v>0.5812077166666666</v>
      </c>
    </row>
    <row r="193" spans="1:26" ht="15.75" customHeight="1" x14ac:dyDescent="0.2">
      <c r="A193" s="63" t="s">
        <v>64</v>
      </c>
      <c r="B193" s="37"/>
      <c r="C193" s="64">
        <f t="shared" ref="C193:G193" si="257">C192/(1-0.265)</f>
        <v>4.6225112955404386E-2</v>
      </c>
      <c r="D193" s="64">
        <f t="shared" si="257"/>
        <v>9.1733238065003789E-2</v>
      </c>
      <c r="E193" s="64">
        <f t="shared" si="257"/>
        <v>0.13650789284958431</v>
      </c>
      <c r="F193" s="64">
        <f t="shared" si="257"/>
        <v>0.20388829752078608</v>
      </c>
      <c r="G193" s="64">
        <f t="shared" si="257"/>
        <v>0.25734720300831443</v>
      </c>
      <c r="H193" s="62">
        <f t="shared" si="251"/>
        <v>0.73570174439909297</v>
      </c>
      <c r="I193" s="64">
        <f t="shared" ref="I193:M193" si="258">I192/(1-0.265)</f>
        <v>5.2497882086167798E-2</v>
      </c>
      <c r="J193" s="64">
        <f t="shared" si="258"/>
        <v>0.10520031292517006</v>
      </c>
      <c r="K193" s="64">
        <f t="shared" si="258"/>
        <v>0.15805393197278911</v>
      </c>
      <c r="L193" s="64">
        <f t="shared" si="258"/>
        <v>0.21100537868480723</v>
      </c>
      <c r="M193" s="64">
        <f t="shared" si="258"/>
        <v>0.26400129251700682</v>
      </c>
      <c r="N193" s="62">
        <f t="shared" si="253"/>
        <v>0.79075879818594097</v>
      </c>
    </row>
    <row r="194" spans="1:26" ht="15.75" customHeight="1" x14ac:dyDescent="0.2">
      <c r="A194" s="65" t="s">
        <v>65</v>
      </c>
      <c r="B194" s="66"/>
      <c r="C194" s="67">
        <f t="shared" ref="C194:G194" si="259">C191+C189+C193</f>
        <v>0.56861068184429331</v>
      </c>
      <c r="D194" s="67">
        <f t="shared" si="259"/>
        <v>1.1840561728798185</v>
      </c>
      <c r="E194" s="67">
        <f t="shared" si="259"/>
        <v>1.792708580256992</v>
      </c>
      <c r="F194" s="67">
        <f t="shared" si="259"/>
        <v>2.5174461960393044</v>
      </c>
      <c r="G194" s="67">
        <f t="shared" si="259"/>
        <v>3.1993087711564621</v>
      </c>
      <c r="H194" s="68">
        <f t="shared" si="251"/>
        <v>9.2621304021768704</v>
      </c>
      <c r="I194" s="67">
        <f t="shared" ref="I194:M194" si="260">I191+I189+I193</f>
        <v>0.93614368097505662</v>
      </c>
      <c r="J194" s="67">
        <f t="shared" si="260"/>
        <v>1.3636555910733179</v>
      </c>
      <c r="K194" s="67">
        <f t="shared" si="260"/>
        <v>1.796125660861678</v>
      </c>
      <c r="L194" s="67">
        <f t="shared" si="260"/>
        <v>2.2332549320181405</v>
      </c>
      <c r="M194" s="67">
        <f t="shared" si="260"/>
        <v>2.6747444462207106</v>
      </c>
      <c r="N194" s="68">
        <f t="shared" si="253"/>
        <v>9.0039243111489036</v>
      </c>
    </row>
    <row r="195" spans="1:26" ht="15.75" customHeight="1" x14ac:dyDescent="0.2">
      <c r="A195" s="28"/>
      <c r="B195" s="37"/>
      <c r="C195" s="69"/>
      <c r="D195" s="69"/>
      <c r="E195" s="69"/>
      <c r="F195" s="69"/>
      <c r="G195" s="69"/>
      <c r="H195" s="70"/>
      <c r="I195" s="69"/>
      <c r="J195" s="69"/>
      <c r="K195" s="69"/>
      <c r="L195" s="69"/>
      <c r="M195" s="69"/>
      <c r="N195" s="70"/>
    </row>
    <row r="196" spans="1:26" ht="15.75" customHeight="1" x14ac:dyDescent="0.2">
      <c r="A196" s="114" t="s">
        <v>126</v>
      </c>
      <c r="B196" s="94"/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38.25" x14ac:dyDescent="0.2">
      <c r="A197" s="31" t="s">
        <v>127</v>
      </c>
      <c r="B197" s="32" t="s">
        <v>32</v>
      </c>
      <c r="C197" s="82"/>
      <c r="D197" s="82"/>
      <c r="E197" s="81">
        <v>500</v>
      </c>
      <c r="F197" s="81">
        <v>0</v>
      </c>
      <c r="G197" s="81">
        <v>0</v>
      </c>
      <c r="H197" s="87"/>
      <c r="I197" s="81">
        <v>0</v>
      </c>
      <c r="J197" s="81">
        <v>402.24</v>
      </c>
      <c r="K197" s="81">
        <v>402.24</v>
      </c>
      <c r="L197" s="81"/>
      <c r="M197" s="82">
        <v>268.16000000000003</v>
      </c>
      <c r="N197" s="87"/>
    </row>
    <row r="198" spans="1:26" ht="15.75" customHeight="1" x14ac:dyDescent="0.2">
      <c r="A198" s="115" t="s">
        <v>126</v>
      </c>
      <c r="B198" s="37" t="s">
        <v>71</v>
      </c>
      <c r="C198" s="76"/>
      <c r="D198" s="76"/>
      <c r="E198" s="38">
        <f t="shared" ref="E198:G198" si="261">E197</f>
        <v>500</v>
      </c>
      <c r="F198" s="38">
        <f t="shared" si="261"/>
        <v>0</v>
      </c>
      <c r="G198" s="38">
        <f t="shared" si="261"/>
        <v>0</v>
      </c>
      <c r="H198" s="39">
        <f>SUM(C198:G198)</f>
        <v>500</v>
      </c>
      <c r="I198" s="38">
        <f t="shared" ref="I198:M198" si="262">I197</f>
        <v>0</v>
      </c>
      <c r="J198" s="38">
        <f t="shared" si="262"/>
        <v>402.24</v>
      </c>
      <c r="K198" s="38">
        <f t="shared" si="262"/>
        <v>402.24</v>
      </c>
      <c r="L198" s="38">
        <f t="shared" si="262"/>
        <v>0</v>
      </c>
      <c r="M198" s="38">
        <f t="shared" si="262"/>
        <v>268.16000000000003</v>
      </c>
      <c r="N198" s="39">
        <f>SUM(I198:M198)</f>
        <v>1072.6400000000001</v>
      </c>
    </row>
    <row r="199" spans="1:26" ht="15.75" customHeight="1" x14ac:dyDescent="0.2">
      <c r="A199" s="31" t="s">
        <v>95</v>
      </c>
      <c r="B199" s="32" t="s">
        <v>34</v>
      </c>
      <c r="C199" s="50"/>
      <c r="D199" s="50"/>
      <c r="E199" s="40">
        <v>43.76</v>
      </c>
      <c r="F199" s="40">
        <f t="shared" ref="F199:G199" si="263">E199</f>
        <v>43.76</v>
      </c>
      <c r="G199" s="40">
        <f t="shared" si="263"/>
        <v>43.76</v>
      </c>
      <c r="H199" s="41"/>
      <c r="I199" s="40">
        <f t="shared" ref="I199:J199" si="264">E199</f>
        <v>43.76</v>
      </c>
      <c r="J199" s="40">
        <f t="shared" si="264"/>
        <v>43.76</v>
      </c>
      <c r="K199" s="40">
        <f t="shared" ref="K199:M199" si="265">J199</f>
        <v>43.76</v>
      </c>
      <c r="L199" s="40">
        <f t="shared" si="265"/>
        <v>43.76</v>
      </c>
      <c r="M199" s="40">
        <f t="shared" si="265"/>
        <v>43.76</v>
      </c>
      <c r="N199" s="42"/>
    </row>
    <row r="200" spans="1:26" ht="15.75" customHeight="1" x14ac:dyDescent="0.2">
      <c r="A200" s="115" t="s">
        <v>126</v>
      </c>
      <c r="B200" s="37" t="s">
        <v>72</v>
      </c>
      <c r="C200" s="76"/>
      <c r="D200" s="76"/>
      <c r="E200" s="38">
        <f t="shared" ref="E200:G200" si="266">E198/E199</f>
        <v>11.425959780621573</v>
      </c>
      <c r="F200" s="38">
        <f t="shared" si="266"/>
        <v>0</v>
      </c>
      <c r="G200" s="38">
        <f t="shared" si="266"/>
        <v>0</v>
      </c>
      <c r="H200" s="34"/>
      <c r="I200" s="38">
        <f t="shared" ref="I200:M200" si="267">I198/I199</f>
        <v>0</v>
      </c>
      <c r="J200" s="38">
        <f t="shared" si="267"/>
        <v>9.1919561243144425</v>
      </c>
      <c r="K200" s="38">
        <f t="shared" si="267"/>
        <v>9.1919561243144425</v>
      </c>
      <c r="L200" s="38">
        <f t="shared" si="267"/>
        <v>0</v>
      </c>
      <c r="M200" s="38">
        <f t="shared" si="267"/>
        <v>6.1279707495429623</v>
      </c>
      <c r="N200" s="34"/>
    </row>
    <row r="201" spans="1:26" ht="15.75" customHeight="1" x14ac:dyDescent="0.2">
      <c r="A201" s="45"/>
      <c r="B201" s="46" t="s">
        <v>128</v>
      </c>
      <c r="C201" s="48"/>
      <c r="D201" s="48"/>
      <c r="E201" s="48"/>
      <c r="F201" s="48"/>
      <c r="G201" s="47"/>
      <c r="H201" s="34"/>
      <c r="I201" s="116">
        <f>(E200/12)*10</f>
        <v>9.5216331505179781</v>
      </c>
      <c r="J201" s="116">
        <f>(I201/10)*12</f>
        <v>11.425959780621575</v>
      </c>
      <c r="K201" s="116">
        <f t="shared" ref="K201:M201" si="268">J201</f>
        <v>11.425959780621575</v>
      </c>
      <c r="L201" s="116">
        <f t="shared" si="268"/>
        <v>11.425959780621575</v>
      </c>
      <c r="M201" s="116">
        <f t="shared" si="268"/>
        <v>11.425959780621575</v>
      </c>
      <c r="N201" s="34"/>
    </row>
    <row r="202" spans="1:26" ht="15.75" customHeight="1" x14ac:dyDescent="0.2">
      <c r="A202" s="45"/>
      <c r="B202" s="46" t="s">
        <v>129</v>
      </c>
      <c r="C202" s="48"/>
      <c r="D202" s="48"/>
      <c r="E202" s="48"/>
      <c r="F202" s="48"/>
      <c r="G202" s="48"/>
      <c r="H202" s="34"/>
      <c r="I202" s="48"/>
      <c r="J202" s="116">
        <f>(J200/3)/12*2</f>
        <v>0.51066422912858012</v>
      </c>
      <c r="K202" s="116">
        <f>(J202/2)*12</f>
        <v>3.0639853747714807</v>
      </c>
      <c r="L202" s="116">
        <f t="shared" ref="L202:M202" si="269">K202</f>
        <v>3.0639853747714807</v>
      </c>
      <c r="M202" s="116">
        <f t="shared" si="269"/>
        <v>3.0639853747714807</v>
      </c>
      <c r="N202" s="34"/>
    </row>
    <row r="203" spans="1:26" ht="15.75" customHeight="1" x14ac:dyDescent="0.2">
      <c r="A203" s="45"/>
      <c r="B203" s="46" t="s">
        <v>129</v>
      </c>
      <c r="C203" s="48"/>
      <c r="D203" s="48"/>
      <c r="E203" s="48"/>
      <c r="F203" s="48"/>
      <c r="G203" s="48"/>
      <c r="H203" s="34"/>
      <c r="I203" s="48"/>
      <c r="J203" s="116">
        <f>(J200/3)/12*10</f>
        <v>2.5533211456429008</v>
      </c>
      <c r="K203" s="116">
        <f>(J203/10)*12</f>
        <v>3.0639853747714807</v>
      </c>
      <c r="L203" s="116">
        <f t="shared" ref="L203:M203" si="270">K203</f>
        <v>3.0639853747714807</v>
      </c>
      <c r="M203" s="116">
        <f t="shared" si="270"/>
        <v>3.0639853747714807</v>
      </c>
      <c r="N203" s="34"/>
    </row>
    <row r="204" spans="1:26" ht="15.75" customHeight="1" x14ac:dyDescent="0.2">
      <c r="A204" s="45"/>
      <c r="B204" s="46" t="s">
        <v>129</v>
      </c>
      <c r="C204" s="48"/>
      <c r="D204" s="48"/>
      <c r="E204" s="48"/>
      <c r="F204" s="48"/>
      <c r="G204" s="48"/>
      <c r="H204" s="34"/>
      <c r="I204" s="48"/>
      <c r="J204" s="116">
        <f>(J200/3)/12</f>
        <v>0.25533211456429006</v>
      </c>
      <c r="K204" s="116">
        <f>J204*12</f>
        <v>3.0639853747714807</v>
      </c>
      <c r="L204" s="116">
        <f t="shared" ref="L204:M204" si="271">K204</f>
        <v>3.0639853747714807</v>
      </c>
      <c r="M204" s="116">
        <f t="shared" si="271"/>
        <v>3.0639853747714807</v>
      </c>
      <c r="N204" s="34"/>
    </row>
    <row r="205" spans="1:26" ht="15.75" customHeight="1" x14ac:dyDescent="0.2">
      <c r="A205" s="49"/>
      <c r="B205" s="46" t="s">
        <v>130</v>
      </c>
      <c r="C205" s="48"/>
      <c r="D205" s="48"/>
      <c r="E205" s="48"/>
      <c r="F205" s="48"/>
      <c r="G205" s="48"/>
      <c r="H205" s="34"/>
      <c r="I205" s="48"/>
      <c r="J205" s="116"/>
      <c r="K205" s="116">
        <f>K200/3/12*10</f>
        <v>2.5533211456429008</v>
      </c>
      <c r="L205" s="116">
        <f t="shared" ref="L205:L207" si="272">(K205/10)*12</f>
        <v>3.0639853747714807</v>
      </c>
      <c r="M205" s="116">
        <f t="shared" ref="M205:M207" si="273">L205</f>
        <v>3.0639853747714807</v>
      </c>
      <c r="N205" s="34"/>
    </row>
    <row r="206" spans="1:26" ht="15.75" customHeight="1" x14ac:dyDescent="0.2">
      <c r="A206" s="49"/>
      <c r="B206" s="46" t="s">
        <v>130</v>
      </c>
      <c r="C206" s="48"/>
      <c r="D206" s="48"/>
      <c r="E206" s="48"/>
      <c r="F206" s="48"/>
      <c r="G206" s="48"/>
      <c r="H206" s="34"/>
      <c r="I206" s="48"/>
      <c r="J206" s="73"/>
      <c r="K206" s="116">
        <f>K200/3/12*10</f>
        <v>2.5533211456429008</v>
      </c>
      <c r="L206" s="116">
        <f t="shared" si="272"/>
        <v>3.0639853747714807</v>
      </c>
      <c r="M206" s="116">
        <f t="shared" si="273"/>
        <v>3.0639853747714807</v>
      </c>
      <c r="N206" s="34"/>
    </row>
    <row r="207" spans="1:26" ht="15.75" customHeight="1" x14ac:dyDescent="0.2">
      <c r="A207" s="49"/>
      <c r="B207" s="46" t="s">
        <v>130</v>
      </c>
      <c r="C207" s="48"/>
      <c r="D207" s="48"/>
      <c r="E207" s="48"/>
      <c r="F207" s="48"/>
      <c r="G207" s="48"/>
      <c r="H207" s="34"/>
      <c r="I207" s="48"/>
      <c r="J207" s="73"/>
      <c r="K207" s="116">
        <f>K200/3/12*10</f>
        <v>2.5533211456429008</v>
      </c>
      <c r="L207" s="116">
        <f t="shared" si="272"/>
        <v>3.0639853747714807</v>
      </c>
      <c r="M207" s="116">
        <f t="shared" si="273"/>
        <v>3.0639853747714807</v>
      </c>
      <c r="N207" s="34"/>
    </row>
    <row r="208" spans="1:26" ht="15.75" customHeight="1" x14ac:dyDescent="0.2">
      <c r="A208" s="45"/>
      <c r="B208" s="46" t="s">
        <v>131</v>
      </c>
      <c r="C208" s="48"/>
      <c r="D208" s="48"/>
      <c r="E208" s="48"/>
      <c r="F208" s="48"/>
      <c r="G208" s="48"/>
      <c r="H208" s="34"/>
      <c r="I208" s="48"/>
      <c r="J208" s="73"/>
      <c r="K208" s="73"/>
      <c r="L208" s="73"/>
      <c r="M208" s="116"/>
      <c r="N208" s="34"/>
    </row>
    <row r="209" spans="1:26" ht="15.75" customHeight="1" x14ac:dyDescent="0.2">
      <c r="A209" s="28"/>
      <c r="B209" s="37" t="s">
        <v>51</v>
      </c>
      <c r="C209" s="38">
        <f t="shared" ref="C209:G209" si="274">SUM(C201:C208)</f>
        <v>0</v>
      </c>
      <c r="D209" s="38">
        <f t="shared" si="274"/>
        <v>0</v>
      </c>
      <c r="E209" s="38">
        <f t="shared" si="274"/>
        <v>0</v>
      </c>
      <c r="F209" s="38">
        <f t="shared" si="274"/>
        <v>0</v>
      </c>
      <c r="G209" s="38">
        <f t="shared" si="274"/>
        <v>0</v>
      </c>
      <c r="H209" s="39">
        <f>SUM(C209:G209)</f>
        <v>0</v>
      </c>
      <c r="I209" s="38">
        <f t="shared" ref="I209:M209" si="275">SUM(I201:I208)</f>
        <v>9.5216331505179781</v>
      </c>
      <c r="J209" s="38">
        <f t="shared" si="275"/>
        <v>14.745277269957345</v>
      </c>
      <c r="K209" s="38">
        <f t="shared" si="275"/>
        <v>28.277879341864718</v>
      </c>
      <c r="L209" s="38">
        <f t="shared" si="275"/>
        <v>29.809872029250457</v>
      </c>
      <c r="M209" s="38">
        <f t="shared" si="275"/>
        <v>29.809872029250457</v>
      </c>
      <c r="N209" s="39">
        <f>SUM(I209:M209)</f>
        <v>112.16453382084096</v>
      </c>
    </row>
    <row r="210" spans="1:26" ht="15.75" customHeight="1" x14ac:dyDescent="0.2">
      <c r="A210" s="59" t="s">
        <v>61</v>
      </c>
      <c r="B210" s="60"/>
      <c r="C210" s="61">
        <f>C198-C209</f>
        <v>0</v>
      </c>
      <c r="D210" s="61">
        <f t="shared" ref="D210:G210" si="276">SUM($C198:D198)-SUM($C$209:D209)</f>
        <v>0</v>
      </c>
      <c r="E210" s="61">
        <f t="shared" si="276"/>
        <v>500</v>
      </c>
      <c r="F210" s="61">
        <f t="shared" si="276"/>
        <v>500</v>
      </c>
      <c r="G210" s="61">
        <f t="shared" si="276"/>
        <v>500</v>
      </c>
      <c r="H210" s="61"/>
      <c r="I210" s="61">
        <f>I198-I209</f>
        <v>-9.5216331505179781</v>
      </c>
      <c r="J210" s="61">
        <f t="shared" ref="J210:M210" si="277">SUM($I198:J198)-SUM($I$209:J209)</f>
        <v>377.9730895795247</v>
      </c>
      <c r="K210" s="61">
        <f t="shared" si="277"/>
        <v>751.93521023765993</v>
      </c>
      <c r="L210" s="61">
        <f t="shared" si="277"/>
        <v>722.12533820840952</v>
      </c>
      <c r="M210" s="61">
        <f t="shared" si="277"/>
        <v>960.47546617915918</v>
      </c>
      <c r="N210" s="61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 x14ac:dyDescent="0.2">
      <c r="A211" s="28" t="s">
        <v>62</v>
      </c>
      <c r="B211" s="37"/>
      <c r="C211" s="38">
        <f t="shared" ref="C211:E211" si="278">(C210*$Q$3*$Q$4)+(C210*$R$3*$R$4)+(C210*$S$3*$S$4)</f>
        <v>0</v>
      </c>
      <c r="D211" s="38">
        <f t="shared" si="278"/>
        <v>0</v>
      </c>
      <c r="E211" s="38">
        <f t="shared" si="278"/>
        <v>60.92</v>
      </c>
      <c r="F211" s="38">
        <f t="shared" ref="F211:G211" si="279">(F210*$Q$3*$Q$5)+(F210*$R$3*$R$5)+(F210*$S$3*$S$5)</f>
        <v>62.660000000000004</v>
      </c>
      <c r="G211" s="38">
        <f t="shared" si="279"/>
        <v>62.660000000000004</v>
      </c>
      <c r="H211" s="62">
        <f t="shared" ref="H211:H214" si="280">SUM(C211:G211)</f>
        <v>186.24</v>
      </c>
      <c r="I211" s="38">
        <f t="shared" ref="I211:M211" si="281">(I210*$Q$3*$Q$6)+(I210*$R$3*$R$6)+(I210*$S$3*$S$6)</f>
        <v>-0.568822364411944</v>
      </c>
      <c r="J211" s="38">
        <f t="shared" si="281"/>
        <v>22.580112371480809</v>
      </c>
      <c r="K211" s="38">
        <f t="shared" si="281"/>
        <v>44.920609459597813</v>
      </c>
      <c r="L211" s="38">
        <f t="shared" si="281"/>
        <v>43.139767704570389</v>
      </c>
      <c r="M211" s="38">
        <f t="shared" si="281"/>
        <v>57.378804349542975</v>
      </c>
      <c r="N211" s="62">
        <f t="shared" ref="N211:N214" si="282">SUM(I211:M211)</f>
        <v>167.45047152078004</v>
      </c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 x14ac:dyDescent="0.2">
      <c r="A212" s="63" t="s">
        <v>63</v>
      </c>
      <c r="B212" s="37"/>
      <c r="C212" s="38">
        <f t="shared" ref="C212:E212" si="283">(C210*$S$3*$S$4)*$T$3</f>
        <v>0</v>
      </c>
      <c r="D212" s="38">
        <f t="shared" si="283"/>
        <v>0</v>
      </c>
      <c r="E212" s="38">
        <f t="shared" si="283"/>
        <v>4.4202000000000004</v>
      </c>
      <c r="F212" s="38">
        <f t="shared" ref="F212:G212" si="284">(F210*$S$3*$S$5)*$T$3</f>
        <v>4.8813000000000004</v>
      </c>
      <c r="G212" s="38">
        <f t="shared" si="284"/>
        <v>4.8813000000000004</v>
      </c>
      <c r="H212" s="62">
        <f t="shared" si="280"/>
        <v>14.1828</v>
      </c>
      <c r="I212" s="38">
        <f t="shared" ref="I212:M212" si="285">(I210*$S$3*$S$6)*$T$3</f>
        <v>-9.0836380255941512E-2</v>
      </c>
      <c r="J212" s="38">
        <f t="shared" si="285"/>
        <v>3.6058632745886663</v>
      </c>
      <c r="K212" s="38">
        <f t="shared" si="285"/>
        <v>7.1734619056672759</v>
      </c>
      <c r="L212" s="38">
        <f t="shared" si="285"/>
        <v>6.8890757265082279</v>
      </c>
      <c r="M212" s="38">
        <f t="shared" si="285"/>
        <v>9.1629359473491796</v>
      </c>
      <c r="N212" s="62">
        <f t="shared" si="282"/>
        <v>26.740500473857409</v>
      </c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 x14ac:dyDescent="0.2">
      <c r="A213" s="63" t="s">
        <v>64</v>
      </c>
      <c r="B213" s="37"/>
      <c r="C213" s="64">
        <f t="shared" ref="C213:G213" si="286">C212/(1-0.265)</f>
        <v>0</v>
      </c>
      <c r="D213" s="64">
        <f t="shared" si="286"/>
        <v>0</v>
      </c>
      <c r="E213" s="64">
        <f t="shared" si="286"/>
        <v>6.0138775510204088</v>
      </c>
      <c r="F213" s="64">
        <f t="shared" si="286"/>
        <v>6.6412244897959187</v>
      </c>
      <c r="G213" s="64">
        <f t="shared" si="286"/>
        <v>6.6412244897959187</v>
      </c>
      <c r="H213" s="62">
        <f t="shared" si="280"/>
        <v>19.296326530612248</v>
      </c>
      <c r="I213" s="64">
        <f t="shared" ref="I213:M213" si="287">I212/(1-0.265)</f>
        <v>-0.1235869119128456</v>
      </c>
      <c r="J213" s="64">
        <f t="shared" si="287"/>
        <v>4.905936428011791</v>
      </c>
      <c r="K213" s="64">
        <f t="shared" si="287"/>
        <v>9.7598121165541176</v>
      </c>
      <c r="L213" s="64">
        <f t="shared" si="287"/>
        <v>9.3728921449091533</v>
      </c>
      <c r="M213" s="64">
        <f t="shared" si="287"/>
        <v>12.466579520202966</v>
      </c>
      <c r="N213" s="62">
        <f t="shared" si="282"/>
        <v>36.381633297765177</v>
      </c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 x14ac:dyDescent="0.2">
      <c r="A214" s="65" t="s">
        <v>65</v>
      </c>
      <c r="B214" s="66"/>
      <c r="C214" s="67">
        <f t="shared" ref="C214:G214" si="288">C211+C209+C213</f>
        <v>0</v>
      </c>
      <c r="D214" s="67">
        <f t="shared" si="288"/>
        <v>0</v>
      </c>
      <c r="E214" s="67">
        <f t="shared" si="288"/>
        <v>66.933877551020416</v>
      </c>
      <c r="F214" s="67">
        <f t="shared" si="288"/>
        <v>69.301224489795928</v>
      </c>
      <c r="G214" s="67">
        <f t="shared" si="288"/>
        <v>69.301224489795928</v>
      </c>
      <c r="H214" s="68">
        <f t="shared" si="280"/>
        <v>205.53632653061226</v>
      </c>
      <c r="I214" s="67">
        <f t="shared" ref="I214:M214" si="289">I211+I209+I213</f>
        <v>8.8292238741931897</v>
      </c>
      <c r="J214" s="67">
        <f t="shared" si="289"/>
        <v>42.231326069449942</v>
      </c>
      <c r="K214" s="67">
        <f t="shared" si="289"/>
        <v>82.958300918016647</v>
      </c>
      <c r="L214" s="67">
        <f t="shared" si="289"/>
        <v>82.322531878730004</v>
      </c>
      <c r="M214" s="67">
        <f t="shared" si="289"/>
        <v>99.655255898996401</v>
      </c>
      <c r="N214" s="68">
        <f t="shared" si="282"/>
        <v>315.99663863938622</v>
      </c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2.75" x14ac:dyDescent="0.2">
      <c r="A215" s="28"/>
      <c r="B215" s="117"/>
      <c r="C215" s="118"/>
      <c r="D215" s="118"/>
      <c r="E215" s="118"/>
      <c r="F215" s="118"/>
      <c r="G215" s="118"/>
      <c r="H215" s="119"/>
      <c r="I215" s="118"/>
      <c r="J215" s="118"/>
      <c r="K215" s="118"/>
      <c r="L215" s="118"/>
      <c r="M215" s="118"/>
      <c r="N215" s="119"/>
    </row>
    <row r="216" spans="1:26" ht="12.75" x14ac:dyDescent="0.2">
      <c r="A216" s="120" t="s">
        <v>132</v>
      </c>
      <c r="B216" s="121"/>
      <c r="C216" s="122">
        <f t="shared" ref="C216:G216" si="290">+C8+C25+C49+C70+C91+C110+C128+C152+C177+C198</f>
        <v>4459.1311333333342</v>
      </c>
      <c r="D216" s="122">
        <f t="shared" si="290"/>
        <v>4340.3646666666673</v>
      </c>
      <c r="E216" s="122">
        <f t="shared" si="290"/>
        <v>4548.1549999999997</v>
      </c>
      <c r="F216" s="122">
        <f t="shared" si="290"/>
        <v>5454.163466666665</v>
      </c>
      <c r="G216" s="122">
        <f t="shared" si="290"/>
        <v>4757.007066666667</v>
      </c>
      <c r="H216" s="39">
        <f t="shared" ref="H216:H217" si="291">SUM(C216:G216)</f>
        <v>23558.821333333333</v>
      </c>
      <c r="I216" s="122">
        <f t="shared" ref="I216:M216" si="292">+I8+I25+I49+I70+I91+I110+I128+I152+I177+I198</f>
        <v>6126.0600666666669</v>
      </c>
      <c r="J216" s="122">
        <f t="shared" si="292"/>
        <v>6330.1740666666656</v>
      </c>
      <c r="K216" s="122">
        <f t="shared" si="292"/>
        <v>9596.5926666666674</v>
      </c>
      <c r="L216" s="122">
        <f t="shared" si="292"/>
        <v>5376.0848666666679</v>
      </c>
      <c r="M216" s="122">
        <f t="shared" si="292"/>
        <v>6008.3154666666678</v>
      </c>
      <c r="N216" s="39">
        <f t="shared" ref="N216:N217" si="293">SUM(I216:M216)</f>
        <v>33437.227133333334</v>
      </c>
    </row>
    <row r="217" spans="1:26" ht="12.75" x14ac:dyDescent="0.2">
      <c r="A217" s="63" t="s">
        <v>133</v>
      </c>
      <c r="B217" s="117"/>
      <c r="C217" s="122">
        <f t="shared" ref="C217:G217" si="294">+C21+C38+C53+C80+C100+C117+C140+C164+C189+C209</f>
        <v>61.93237685185187</v>
      </c>
      <c r="D217" s="122">
        <f t="shared" si="294"/>
        <v>184.14759629629634</v>
      </c>
      <c r="E217" s="122">
        <f t="shared" si="294"/>
        <v>296.62703611111118</v>
      </c>
      <c r="F217" s="122">
        <f t="shared" si="294"/>
        <v>417.90923703703709</v>
      </c>
      <c r="G217" s="122">
        <f t="shared" si="294"/>
        <v>547.22444833434906</v>
      </c>
      <c r="H217" s="39">
        <f t="shared" si="291"/>
        <v>1507.8406946306454</v>
      </c>
      <c r="I217" s="122">
        <f t="shared" ref="I217:M217" si="295">+I21+I38+I53+I80+I100+I117+I140+I164+I189+I209</f>
        <v>727.54379445290829</v>
      </c>
      <c r="J217" s="122">
        <f t="shared" si="295"/>
        <v>933.83528823041513</v>
      </c>
      <c r="K217" s="122">
        <f t="shared" si="295"/>
        <v>1255.041163115309</v>
      </c>
      <c r="L217" s="122">
        <f t="shared" si="295"/>
        <v>1529.0452933221611</v>
      </c>
      <c r="M217" s="122">
        <f t="shared" si="295"/>
        <v>1683.4375201740131</v>
      </c>
      <c r="N217" s="39">
        <f t="shared" si="293"/>
        <v>6128.9030592948066</v>
      </c>
    </row>
    <row r="218" spans="1:26" ht="15.75" customHeight="1" x14ac:dyDescent="0.2">
      <c r="A218" s="123" t="s">
        <v>134</v>
      </c>
      <c r="B218" s="60"/>
      <c r="C218" s="61">
        <f t="shared" ref="C218:G218" si="296">+C39+C59+C83+C101+C118+C142+C165+C190+C210</f>
        <v>4397.1987564814835</v>
      </c>
      <c r="D218" s="61">
        <f t="shared" si="296"/>
        <v>8553.4158268518531</v>
      </c>
      <c r="E218" s="61">
        <f t="shared" si="296"/>
        <v>12804.943790740743</v>
      </c>
      <c r="F218" s="61">
        <f t="shared" si="296"/>
        <v>17841.198020370372</v>
      </c>
      <c r="G218" s="61">
        <f t="shared" si="296"/>
        <v>22050.980638702687</v>
      </c>
      <c r="H218" s="61"/>
      <c r="I218" s="61">
        <f t="shared" ref="I218:M218" si="297">+I39+I59+I83+I101+I118+I142+I165+I190+I210</f>
        <v>5398.5162722137593</v>
      </c>
      <c r="J218" s="61">
        <f t="shared" si="297"/>
        <v>10794.855050650011</v>
      </c>
      <c r="K218" s="61">
        <f t="shared" si="297"/>
        <v>19136.406554201378</v>
      </c>
      <c r="L218" s="61">
        <f t="shared" si="297"/>
        <v>22983.446127545878</v>
      </c>
      <c r="M218" s="61">
        <f t="shared" si="297"/>
        <v>27308.324074038526</v>
      </c>
      <c r="N218" s="61"/>
    </row>
    <row r="219" spans="1:26" ht="15.75" customHeight="1" x14ac:dyDescent="0.2">
      <c r="A219" s="63" t="s">
        <v>135</v>
      </c>
      <c r="B219" s="37"/>
      <c r="C219" s="38">
        <f t="shared" ref="C219:G219" si="298">+C40+C60+C84+C102+C119+C143+C166+C191+C211</f>
        <v>535.75469648970397</v>
      </c>
      <c r="D219" s="38">
        <f t="shared" si="298"/>
        <v>1042.1481843436297</v>
      </c>
      <c r="E219" s="38">
        <f t="shared" si="298"/>
        <v>1560.1543514638522</v>
      </c>
      <c r="F219" s="38">
        <f t="shared" si="298"/>
        <v>2235.8589359128146</v>
      </c>
      <c r="G219" s="38">
        <f t="shared" si="298"/>
        <v>2763.4288936422208</v>
      </c>
      <c r="H219" s="62">
        <f t="shared" ref="H219:H220" si="299">SUM(C219:G219)</f>
        <v>8137.3450618522211</v>
      </c>
      <c r="I219" s="38">
        <f t="shared" ref="I219:M219" si="300">+I40+I60+I84+I102+I119+I143+I166+I191+I211</f>
        <v>317.56523710204993</v>
      </c>
      <c r="J219" s="38">
        <f t="shared" si="300"/>
        <v>635.00039072583161</v>
      </c>
      <c r="K219" s="38">
        <f t="shared" si="300"/>
        <v>1128.3825525479901</v>
      </c>
      <c r="L219" s="38">
        <f t="shared" si="300"/>
        <v>1352.1547716595906</v>
      </c>
      <c r="M219" s="38">
        <f t="shared" si="300"/>
        <v>1605.3039051830619</v>
      </c>
      <c r="N219" s="62">
        <f t="shared" ref="N219:N220" si="301">SUM(I219:M219)</f>
        <v>5038.4068572185242</v>
      </c>
    </row>
    <row r="220" spans="1:26" ht="15.75" customHeight="1" x14ac:dyDescent="0.2">
      <c r="A220" s="65" t="s">
        <v>65</v>
      </c>
      <c r="B220" s="66"/>
      <c r="C220" s="67">
        <f t="shared" ref="C220:G220" si="302">+C43+C63+C87+C105+C122+C146+C169+C194+C214</f>
        <v>784.05270589729128</v>
      </c>
      <c r="D220" s="67">
        <f t="shared" si="302"/>
        <v>1391.6622881578869</v>
      </c>
      <c r="E220" s="67">
        <f t="shared" si="302"/>
        <v>1969.2172461409466</v>
      </c>
      <c r="F220" s="67">
        <f t="shared" si="302"/>
        <v>2781.1783642791052</v>
      </c>
      <c r="G220" s="67">
        <f t="shared" si="302"/>
        <v>3392.2327867045506</v>
      </c>
      <c r="H220" s="68">
        <f t="shared" si="299"/>
        <v>10318.34339117978</v>
      </c>
      <c r="I220" s="67">
        <f t="shared" ref="I220:M220" si="303">+I43+I63+I87+I105+I122+I146+I169+I194+I214</f>
        <v>813.10992484781877</v>
      </c>
      <c r="J220" s="67">
        <f t="shared" si="303"/>
        <v>1347.9120358948423</v>
      </c>
      <c r="K220" s="67">
        <f t="shared" si="303"/>
        <v>2142.7355369586476</v>
      </c>
      <c r="L220" s="67">
        <f t="shared" si="303"/>
        <v>2534.5477036077668</v>
      </c>
      <c r="M220" s="67">
        <f t="shared" si="303"/>
        <v>2889.3484005833707</v>
      </c>
      <c r="N220" s="68">
        <f t="shared" si="301"/>
        <v>9727.6536018924453</v>
      </c>
    </row>
    <row r="221" spans="1:26" ht="15.75" customHeight="1" x14ac:dyDescent="0.2">
      <c r="A221" s="124"/>
      <c r="C221" s="125"/>
      <c r="D221" s="125"/>
      <c r="E221" s="125"/>
      <c r="F221" s="125"/>
      <c r="G221" s="125"/>
      <c r="H221" s="125"/>
      <c r="I221" s="125"/>
      <c r="J221" s="125"/>
      <c r="K221" s="125"/>
      <c r="L221" s="125"/>
      <c r="M221" s="125"/>
      <c r="N221" s="125"/>
      <c r="P221" s="7"/>
      <c r="Q221" s="7"/>
      <c r="R221" s="7"/>
      <c r="S221" s="7"/>
      <c r="T221" s="7"/>
    </row>
    <row r="222" spans="1:26" ht="15.75" customHeight="1" x14ac:dyDescent="0.2">
      <c r="A222" s="7" t="s">
        <v>136</v>
      </c>
      <c r="C222" s="125"/>
      <c r="D222" s="125"/>
      <c r="E222" s="125"/>
      <c r="F222" s="125"/>
      <c r="G222" s="125"/>
      <c r="H222" s="125"/>
      <c r="I222" s="126"/>
      <c r="J222" s="126"/>
      <c r="K222" s="126"/>
      <c r="L222" s="126"/>
      <c r="M222" s="126"/>
      <c r="N222" s="126"/>
      <c r="P222" s="7"/>
      <c r="Q222" s="7"/>
      <c r="R222" s="7"/>
      <c r="S222" s="7"/>
      <c r="T222" s="7"/>
    </row>
    <row r="223" spans="1:26" ht="15.75" customHeight="1" x14ac:dyDescent="0.2">
      <c r="A223" s="124" t="s">
        <v>137</v>
      </c>
      <c r="C223" s="125"/>
      <c r="D223" s="125"/>
      <c r="E223" s="125"/>
      <c r="F223" s="125"/>
      <c r="G223" s="125"/>
      <c r="H223" s="125"/>
      <c r="I223" s="47">
        <f t="shared" ref="I223:M223" si="304">I234/1000</f>
        <v>66100.856</v>
      </c>
      <c r="J223" s="47">
        <f t="shared" si="304"/>
        <v>74529.070999999996</v>
      </c>
      <c r="K223" s="47">
        <f t="shared" si="304"/>
        <v>82242.258000000002</v>
      </c>
      <c r="L223" s="47">
        <f t="shared" si="304"/>
        <v>88350.229000000007</v>
      </c>
      <c r="M223" s="47">
        <f t="shared" si="304"/>
        <v>94316.077000000005</v>
      </c>
      <c r="N223" s="39">
        <f t="shared" ref="N223:N227" si="305">SUM(I223:M223)</f>
        <v>405538.49099999998</v>
      </c>
      <c r="P223" s="7"/>
      <c r="Q223" s="7"/>
      <c r="R223" s="7"/>
      <c r="S223" s="7"/>
      <c r="T223" s="7"/>
    </row>
    <row r="224" spans="1:26" ht="15.75" customHeight="1" x14ac:dyDescent="0.2">
      <c r="A224" s="124" t="s">
        <v>138</v>
      </c>
      <c r="C224" s="125"/>
      <c r="D224" s="125"/>
      <c r="E224" s="125"/>
      <c r="F224" s="125"/>
      <c r="G224" s="125"/>
      <c r="H224" s="125"/>
      <c r="I224" s="47">
        <f t="shared" ref="I224:M224" si="306">I235/1000</f>
        <v>36106.025999999998</v>
      </c>
      <c r="J224" s="47">
        <f t="shared" si="306"/>
        <v>40319.851999999999</v>
      </c>
      <c r="K224" s="47">
        <f t="shared" si="306"/>
        <v>45330.652000000002</v>
      </c>
      <c r="L224" s="47">
        <f t="shared" si="306"/>
        <v>49087.906000000003</v>
      </c>
      <c r="M224" s="47">
        <f t="shared" si="306"/>
        <v>51796.898000000001</v>
      </c>
      <c r="N224" s="62">
        <f t="shared" si="305"/>
        <v>222641.33399999997</v>
      </c>
      <c r="P224" s="7"/>
      <c r="Q224" s="7"/>
      <c r="R224" s="7"/>
      <c r="S224" s="7"/>
      <c r="T224" s="7"/>
    </row>
    <row r="225" spans="1:26" ht="15.75" customHeight="1" x14ac:dyDescent="0.2">
      <c r="A225" s="124" t="s">
        <v>139</v>
      </c>
      <c r="C225" s="125"/>
      <c r="D225" s="125"/>
      <c r="E225" s="125"/>
      <c r="F225" s="125"/>
      <c r="G225" s="125"/>
      <c r="H225" s="125"/>
      <c r="I225" s="47">
        <f t="shared" ref="I225:M225" si="307">I236/1000</f>
        <v>54752.186999999998</v>
      </c>
      <c r="J225" s="47">
        <f t="shared" si="307"/>
        <v>61142.150999999998</v>
      </c>
      <c r="K225" s="47">
        <f t="shared" si="307"/>
        <v>68740.668999999994</v>
      </c>
      <c r="L225" s="47">
        <f t="shared" si="307"/>
        <v>74438.273000000001</v>
      </c>
      <c r="M225" s="47">
        <f t="shared" si="307"/>
        <v>78546.264999999999</v>
      </c>
      <c r="N225" s="62">
        <f t="shared" si="305"/>
        <v>337619.54499999998</v>
      </c>
      <c r="P225" s="7"/>
      <c r="Q225" s="7"/>
      <c r="R225" s="7"/>
      <c r="S225" s="7"/>
      <c r="T225" s="7"/>
    </row>
    <row r="226" spans="1:26" ht="15.75" customHeight="1" x14ac:dyDescent="0.2">
      <c r="A226" s="124" t="s">
        <v>140</v>
      </c>
      <c r="B226" s="7"/>
      <c r="C226" s="125"/>
      <c r="D226" s="125"/>
      <c r="E226" s="125"/>
      <c r="F226" s="125"/>
      <c r="G226" s="125"/>
      <c r="H226" s="125"/>
      <c r="I226" s="47">
        <f t="shared" ref="I226:M226" si="308">I237/1000</f>
        <v>6152.8339999999998</v>
      </c>
      <c r="J226" s="47">
        <f t="shared" si="308"/>
        <v>3845.6489999999999</v>
      </c>
      <c r="K226" s="47">
        <f t="shared" si="308"/>
        <v>11567.365</v>
      </c>
      <c r="L226" s="47">
        <f t="shared" si="308"/>
        <v>12415.418</v>
      </c>
      <c r="M226" s="47">
        <f t="shared" si="308"/>
        <v>15333.769</v>
      </c>
      <c r="N226" s="62">
        <f t="shared" si="305"/>
        <v>49315.034999999996</v>
      </c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2">
      <c r="A227" s="127" t="s">
        <v>141</v>
      </c>
      <c r="C227" s="125"/>
      <c r="D227" s="125"/>
      <c r="E227" s="125"/>
      <c r="F227" s="125"/>
      <c r="G227" s="125"/>
      <c r="H227" s="125"/>
      <c r="I227" s="128">
        <f t="shared" ref="I227:M227" si="309">SUM(I223:I226)</f>
        <v>163111.90299999999</v>
      </c>
      <c r="J227" s="129">
        <f t="shared" si="309"/>
        <v>179836.723</v>
      </c>
      <c r="K227" s="67">
        <f t="shared" si="309"/>
        <v>207880.94399999999</v>
      </c>
      <c r="L227" s="67">
        <f t="shared" si="309"/>
        <v>224291.826</v>
      </c>
      <c r="M227" s="67">
        <f t="shared" si="309"/>
        <v>239993.00899999999</v>
      </c>
      <c r="N227" s="68">
        <f t="shared" si="305"/>
        <v>1015114.4049999999</v>
      </c>
      <c r="P227" s="7"/>
      <c r="Q227" s="7"/>
      <c r="R227" s="7"/>
      <c r="S227" s="7"/>
      <c r="T227" s="7"/>
    </row>
    <row r="228" spans="1:26" ht="15.75" customHeight="1" x14ac:dyDescent="0.2">
      <c r="A228" s="124"/>
      <c r="C228" s="125"/>
      <c r="D228" s="125"/>
      <c r="E228" s="125"/>
      <c r="F228" s="125"/>
      <c r="G228" s="125"/>
      <c r="H228" s="125"/>
      <c r="I228" s="130"/>
      <c r="J228" s="130"/>
      <c r="K228" s="130"/>
      <c r="L228" s="130"/>
      <c r="M228" s="130"/>
    </row>
    <row r="229" spans="1:26" ht="25.5" x14ac:dyDescent="0.2">
      <c r="A229" s="124" t="s">
        <v>142</v>
      </c>
      <c r="C229" s="125"/>
      <c r="D229" s="125"/>
      <c r="E229" s="125"/>
      <c r="F229" s="125"/>
      <c r="G229" s="125"/>
      <c r="H229" s="125"/>
      <c r="I229" s="131">
        <f t="shared" ref="I229:M229" si="310">I227+I220</f>
        <v>163925.0129248478</v>
      </c>
      <c r="J229" s="131">
        <f t="shared" si="310"/>
        <v>181184.63503589484</v>
      </c>
      <c r="K229" s="131">
        <f t="shared" si="310"/>
        <v>210023.67953695863</v>
      </c>
      <c r="L229" s="131">
        <f t="shared" si="310"/>
        <v>226826.37370360777</v>
      </c>
      <c r="M229" s="131">
        <f t="shared" si="310"/>
        <v>242882.35740058337</v>
      </c>
      <c r="N229" s="132">
        <f>SUM(I229:M229)</f>
        <v>1024842.0586018923</v>
      </c>
    </row>
    <row r="230" spans="1:26" ht="15.75" customHeight="1" x14ac:dyDescent="0.2">
      <c r="A230" s="124"/>
      <c r="C230" s="125"/>
      <c r="D230" s="125"/>
      <c r="E230" s="125"/>
      <c r="F230" s="125"/>
      <c r="G230" s="125"/>
      <c r="H230" s="125"/>
    </row>
    <row r="231" spans="1:26" ht="15.75" customHeight="1" x14ac:dyDescent="0.2">
      <c r="A231" s="124"/>
      <c r="C231" s="125"/>
      <c r="D231" s="125"/>
      <c r="E231" s="125"/>
      <c r="F231" s="125"/>
      <c r="G231" s="125"/>
      <c r="H231" s="125"/>
      <c r="I231" s="27">
        <f t="shared" ref="I231:M231" si="311">I220/I229</f>
        <v>4.9602553651808641E-3</v>
      </c>
      <c r="J231" s="27">
        <f t="shared" si="311"/>
        <v>7.4394389768636E-3</v>
      </c>
      <c r="K231" s="27">
        <f t="shared" si="311"/>
        <v>1.0202352142781037E-2</v>
      </c>
      <c r="L231" s="27">
        <f t="shared" si="311"/>
        <v>1.1173955048629575E-2</v>
      </c>
      <c r="M231" s="27">
        <f t="shared" si="311"/>
        <v>1.1896081837751591E-2</v>
      </c>
      <c r="N231" s="27">
        <f>SUM(I231:M231)</f>
        <v>4.5672083371206665E-2</v>
      </c>
    </row>
    <row r="232" spans="1:26" ht="15.75" customHeight="1" x14ac:dyDescent="0.2">
      <c r="A232" s="124"/>
      <c r="C232" s="125"/>
      <c r="D232" s="125"/>
      <c r="E232" s="125"/>
      <c r="F232" s="125"/>
      <c r="G232" s="125"/>
      <c r="H232" s="125"/>
      <c r="I232" s="7"/>
      <c r="J232" s="7"/>
      <c r="K232" s="7"/>
      <c r="L232" s="7"/>
      <c r="M232" s="7"/>
      <c r="N232" s="27">
        <f>AVERAGE(I231:M231)</f>
        <v>9.1344166742413323E-3</v>
      </c>
    </row>
    <row r="233" spans="1:26" ht="15.75" customHeight="1" x14ac:dyDescent="0.2">
      <c r="A233" s="124"/>
      <c r="I233" s="7" t="s">
        <v>136</v>
      </c>
    </row>
    <row r="234" spans="1:26" ht="15.75" customHeight="1" x14ac:dyDescent="0.2">
      <c r="A234" s="124"/>
      <c r="I234" s="130">
        <v>66100856</v>
      </c>
      <c r="J234" s="130">
        <v>74529071</v>
      </c>
      <c r="K234" s="130">
        <v>82242258</v>
      </c>
      <c r="L234" s="130">
        <v>88350229</v>
      </c>
      <c r="M234" s="130">
        <v>94316077</v>
      </c>
      <c r="N234" s="130">
        <v>405538490</v>
      </c>
    </row>
    <row r="235" spans="1:26" ht="15.75" customHeight="1" x14ac:dyDescent="0.2">
      <c r="A235" s="124"/>
      <c r="I235" s="130">
        <v>36106026</v>
      </c>
      <c r="J235" s="130">
        <v>40319852</v>
      </c>
      <c r="K235" s="130">
        <v>45330652</v>
      </c>
      <c r="L235" s="130">
        <v>49087906</v>
      </c>
      <c r="M235" s="130">
        <v>51796898</v>
      </c>
      <c r="N235" s="130">
        <v>222641333</v>
      </c>
    </row>
    <row r="236" spans="1:26" ht="15.75" customHeight="1" x14ac:dyDescent="0.2">
      <c r="A236" s="124"/>
      <c r="I236" s="130">
        <v>54752187</v>
      </c>
      <c r="J236" s="130">
        <v>61142151</v>
      </c>
      <c r="K236" s="130">
        <v>68740669</v>
      </c>
      <c r="L236" s="130">
        <v>74438273</v>
      </c>
      <c r="M236" s="130">
        <v>78546265</v>
      </c>
      <c r="N236" s="130">
        <v>337619545</v>
      </c>
    </row>
    <row r="237" spans="1:26" ht="15.75" customHeight="1" x14ac:dyDescent="0.2">
      <c r="A237" s="124"/>
      <c r="I237" s="130">
        <v>6152834</v>
      </c>
      <c r="J237" s="130">
        <v>3845649</v>
      </c>
      <c r="K237" s="130">
        <v>11567365</v>
      </c>
      <c r="L237" s="130">
        <v>12415418</v>
      </c>
      <c r="M237" s="130">
        <v>15333769</v>
      </c>
      <c r="N237" s="130">
        <v>49315035</v>
      </c>
    </row>
    <row r="238" spans="1:26" ht="15.75" customHeight="1" x14ac:dyDescent="0.2">
      <c r="A238" s="124"/>
    </row>
    <row r="239" spans="1:26" ht="15.75" customHeight="1" x14ac:dyDescent="0.2">
      <c r="A239" s="124"/>
    </row>
    <row r="240" spans="1:26" ht="15.75" customHeight="1" x14ac:dyDescent="0.2">
      <c r="A240" s="124"/>
    </row>
    <row r="241" spans="1:1" ht="15.75" customHeight="1" x14ac:dyDescent="0.2">
      <c r="A241" s="124"/>
    </row>
    <row r="242" spans="1:1" ht="15.75" customHeight="1" x14ac:dyDescent="0.2">
      <c r="A242" s="124"/>
    </row>
    <row r="243" spans="1:1" ht="15.75" customHeight="1" x14ac:dyDescent="0.2">
      <c r="A243" s="124"/>
    </row>
    <row r="244" spans="1:1" ht="15.75" customHeight="1" x14ac:dyDescent="0.2">
      <c r="A244" s="124"/>
    </row>
    <row r="245" spans="1:1" ht="15.75" customHeight="1" x14ac:dyDescent="0.2">
      <c r="A245" s="124"/>
    </row>
    <row r="246" spans="1:1" ht="15.75" customHeight="1" x14ac:dyDescent="0.2">
      <c r="A246" s="124"/>
    </row>
    <row r="247" spans="1:1" ht="15.75" customHeight="1" x14ac:dyDescent="0.2">
      <c r="A247" s="124"/>
    </row>
    <row r="248" spans="1:1" ht="15.75" customHeight="1" x14ac:dyDescent="0.2">
      <c r="A248" s="124"/>
    </row>
    <row r="249" spans="1:1" ht="15.75" customHeight="1" x14ac:dyDescent="0.2">
      <c r="A249" s="124"/>
    </row>
    <row r="250" spans="1:1" ht="15.75" customHeight="1" x14ac:dyDescent="0.2">
      <c r="A250" s="124"/>
    </row>
    <row r="251" spans="1:1" ht="15.75" customHeight="1" x14ac:dyDescent="0.2">
      <c r="A251" s="124"/>
    </row>
    <row r="252" spans="1:1" ht="15.75" customHeight="1" x14ac:dyDescent="0.2">
      <c r="A252" s="124"/>
    </row>
    <row r="253" spans="1:1" ht="15.75" customHeight="1" x14ac:dyDescent="0.2">
      <c r="A253" s="124"/>
    </row>
    <row r="254" spans="1:1" ht="15.75" customHeight="1" x14ac:dyDescent="0.2">
      <c r="A254" s="124"/>
    </row>
    <row r="255" spans="1:1" ht="15.75" customHeight="1" x14ac:dyDescent="0.2">
      <c r="A255" s="124"/>
    </row>
    <row r="256" spans="1:1" ht="15.75" customHeight="1" x14ac:dyDescent="0.2">
      <c r="A256" s="124"/>
    </row>
    <row r="257" spans="1:1" ht="15.75" customHeight="1" x14ac:dyDescent="0.2">
      <c r="A257" s="124"/>
    </row>
    <row r="258" spans="1:1" ht="15.75" customHeight="1" x14ac:dyDescent="0.2">
      <c r="A258" s="124"/>
    </row>
    <row r="259" spans="1:1" ht="15.75" customHeight="1" x14ac:dyDescent="0.2">
      <c r="A259" s="124"/>
    </row>
    <row r="260" spans="1:1" ht="15.75" customHeight="1" x14ac:dyDescent="0.2">
      <c r="A260" s="124"/>
    </row>
    <row r="261" spans="1:1" ht="15.75" customHeight="1" x14ac:dyDescent="0.2">
      <c r="A261" s="124"/>
    </row>
    <row r="262" spans="1:1" ht="15.75" customHeight="1" x14ac:dyDescent="0.2">
      <c r="A262" s="124"/>
    </row>
    <row r="263" spans="1:1" ht="15.75" customHeight="1" x14ac:dyDescent="0.2">
      <c r="A263" s="124"/>
    </row>
    <row r="264" spans="1:1" ht="15.75" customHeight="1" x14ac:dyDescent="0.2">
      <c r="A264" s="124"/>
    </row>
    <row r="265" spans="1:1" ht="15.75" customHeight="1" x14ac:dyDescent="0.2">
      <c r="A265" s="124"/>
    </row>
    <row r="266" spans="1:1" ht="15.75" customHeight="1" x14ac:dyDescent="0.2">
      <c r="A266" s="124"/>
    </row>
    <row r="267" spans="1:1" ht="15.75" customHeight="1" x14ac:dyDescent="0.2">
      <c r="A267" s="124"/>
    </row>
    <row r="268" spans="1:1" ht="15.75" customHeight="1" x14ac:dyDescent="0.2">
      <c r="A268" s="124"/>
    </row>
    <row r="269" spans="1:1" ht="15.75" customHeight="1" x14ac:dyDescent="0.2">
      <c r="A269" s="124"/>
    </row>
    <row r="270" spans="1:1" ht="15.75" customHeight="1" x14ac:dyDescent="0.2">
      <c r="A270" s="124"/>
    </row>
    <row r="271" spans="1:1" ht="15.75" customHeight="1" x14ac:dyDescent="0.2">
      <c r="A271" s="124"/>
    </row>
    <row r="272" spans="1:1" ht="15.75" customHeight="1" x14ac:dyDescent="0.2">
      <c r="A272" s="124"/>
    </row>
    <row r="273" spans="1:1" ht="15.75" customHeight="1" x14ac:dyDescent="0.2">
      <c r="A273" s="124"/>
    </row>
    <row r="274" spans="1:1" ht="15.75" customHeight="1" x14ac:dyDescent="0.2">
      <c r="A274" s="124"/>
    </row>
    <row r="275" spans="1:1" ht="15.75" customHeight="1" x14ac:dyDescent="0.2">
      <c r="A275" s="124"/>
    </row>
    <row r="276" spans="1:1" ht="15.75" customHeight="1" x14ac:dyDescent="0.2">
      <c r="A276" s="124"/>
    </row>
    <row r="277" spans="1:1" ht="15.75" customHeight="1" x14ac:dyDescent="0.2">
      <c r="A277" s="124"/>
    </row>
    <row r="278" spans="1:1" ht="15.75" customHeight="1" x14ac:dyDescent="0.2">
      <c r="A278" s="124"/>
    </row>
    <row r="279" spans="1:1" ht="15.75" customHeight="1" x14ac:dyDescent="0.2">
      <c r="A279" s="124"/>
    </row>
    <row r="280" spans="1:1" ht="15.75" customHeight="1" x14ac:dyDescent="0.2">
      <c r="A280" s="124"/>
    </row>
    <row r="281" spans="1:1" ht="15.75" customHeight="1" x14ac:dyDescent="0.2">
      <c r="A281" s="124"/>
    </row>
    <row r="282" spans="1:1" ht="15.75" customHeight="1" x14ac:dyDescent="0.2">
      <c r="A282" s="124"/>
    </row>
    <row r="283" spans="1:1" ht="15.75" customHeight="1" x14ac:dyDescent="0.2">
      <c r="A283" s="124"/>
    </row>
    <row r="284" spans="1:1" ht="15.75" customHeight="1" x14ac:dyDescent="0.2">
      <c r="A284" s="124"/>
    </row>
    <row r="285" spans="1:1" ht="15.75" customHeight="1" x14ac:dyDescent="0.2">
      <c r="A285" s="124"/>
    </row>
    <row r="286" spans="1:1" ht="15.75" customHeight="1" x14ac:dyDescent="0.2">
      <c r="A286" s="124"/>
    </row>
    <row r="287" spans="1:1" ht="15.75" customHeight="1" x14ac:dyDescent="0.2">
      <c r="A287" s="124"/>
    </row>
    <row r="288" spans="1:1" ht="15.75" customHeight="1" x14ac:dyDescent="0.2">
      <c r="A288" s="124"/>
    </row>
    <row r="289" spans="1:1" ht="15.75" customHeight="1" x14ac:dyDescent="0.2">
      <c r="A289" s="124"/>
    </row>
    <row r="290" spans="1:1" ht="15.75" customHeight="1" x14ac:dyDescent="0.2">
      <c r="A290" s="124"/>
    </row>
    <row r="291" spans="1:1" ht="15.75" customHeight="1" x14ac:dyDescent="0.2">
      <c r="A291" s="124"/>
    </row>
    <row r="292" spans="1:1" ht="15.75" customHeight="1" x14ac:dyDescent="0.2">
      <c r="A292" s="124"/>
    </row>
    <row r="293" spans="1:1" ht="15.75" customHeight="1" x14ac:dyDescent="0.2">
      <c r="A293" s="124"/>
    </row>
    <row r="294" spans="1:1" ht="15.75" customHeight="1" x14ac:dyDescent="0.2">
      <c r="A294" s="124"/>
    </row>
    <row r="295" spans="1:1" ht="15.75" customHeight="1" x14ac:dyDescent="0.2">
      <c r="A295" s="124"/>
    </row>
    <row r="296" spans="1:1" ht="15.75" customHeight="1" x14ac:dyDescent="0.2">
      <c r="A296" s="124"/>
    </row>
    <row r="297" spans="1:1" ht="15.75" customHeight="1" x14ac:dyDescent="0.2">
      <c r="A297" s="124"/>
    </row>
    <row r="298" spans="1:1" ht="15.75" customHeight="1" x14ac:dyDescent="0.2">
      <c r="A298" s="124"/>
    </row>
    <row r="299" spans="1:1" ht="15.75" customHeight="1" x14ac:dyDescent="0.2">
      <c r="A299" s="124"/>
    </row>
    <row r="300" spans="1:1" ht="15.75" customHeight="1" x14ac:dyDescent="0.2">
      <c r="A300" s="124"/>
    </row>
    <row r="301" spans="1:1" ht="15.75" customHeight="1" x14ac:dyDescent="0.2">
      <c r="A301" s="124"/>
    </row>
    <row r="302" spans="1:1" ht="15.75" customHeight="1" x14ac:dyDescent="0.2">
      <c r="A302" s="124"/>
    </row>
    <row r="303" spans="1:1" ht="15.75" customHeight="1" x14ac:dyDescent="0.2">
      <c r="A303" s="124"/>
    </row>
    <row r="304" spans="1:1" ht="15.75" customHeight="1" x14ac:dyDescent="0.2">
      <c r="A304" s="124"/>
    </row>
    <row r="305" spans="1:1" ht="15.75" customHeight="1" x14ac:dyDescent="0.2">
      <c r="A305" s="124"/>
    </row>
    <row r="306" spans="1:1" ht="15.75" customHeight="1" x14ac:dyDescent="0.2">
      <c r="A306" s="124"/>
    </row>
    <row r="307" spans="1:1" ht="15.75" customHeight="1" x14ac:dyDescent="0.2">
      <c r="A307" s="124"/>
    </row>
    <row r="308" spans="1:1" ht="15.75" customHeight="1" x14ac:dyDescent="0.2">
      <c r="A308" s="124"/>
    </row>
    <row r="309" spans="1:1" ht="15.75" customHeight="1" x14ac:dyDescent="0.2">
      <c r="A309" s="124"/>
    </row>
    <row r="310" spans="1:1" ht="15.75" customHeight="1" x14ac:dyDescent="0.2">
      <c r="A310" s="124"/>
    </row>
    <row r="311" spans="1:1" ht="15.75" customHeight="1" x14ac:dyDescent="0.2">
      <c r="A311" s="124"/>
    </row>
    <row r="312" spans="1:1" ht="15.75" customHeight="1" x14ac:dyDescent="0.2">
      <c r="A312" s="124"/>
    </row>
    <row r="313" spans="1:1" ht="15.75" customHeight="1" x14ac:dyDescent="0.2">
      <c r="A313" s="124"/>
    </row>
    <row r="314" spans="1:1" ht="15.75" customHeight="1" x14ac:dyDescent="0.2">
      <c r="A314" s="124"/>
    </row>
    <row r="315" spans="1:1" ht="15.75" customHeight="1" x14ac:dyDescent="0.2">
      <c r="A315" s="124"/>
    </row>
    <row r="316" spans="1:1" ht="15.75" customHeight="1" x14ac:dyDescent="0.2">
      <c r="A316" s="124"/>
    </row>
    <row r="317" spans="1:1" ht="15.75" customHeight="1" x14ac:dyDescent="0.2">
      <c r="A317" s="124"/>
    </row>
    <row r="318" spans="1:1" ht="15.75" customHeight="1" x14ac:dyDescent="0.2">
      <c r="A318" s="124"/>
    </row>
    <row r="319" spans="1:1" ht="15.75" customHeight="1" x14ac:dyDescent="0.2">
      <c r="A319" s="124"/>
    </row>
    <row r="320" spans="1:1" ht="15.75" customHeight="1" x14ac:dyDescent="0.2">
      <c r="A320" s="124"/>
    </row>
    <row r="321" spans="1:1" ht="15.75" customHeight="1" x14ac:dyDescent="0.2">
      <c r="A321" s="124"/>
    </row>
    <row r="322" spans="1:1" ht="15.75" customHeight="1" x14ac:dyDescent="0.2">
      <c r="A322" s="124"/>
    </row>
    <row r="323" spans="1:1" ht="15.75" customHeight="1" x14ac:dyDescent="0.2">
      <c r="A323" s="124"/>
    </row>
    <row r="324" spans="1:1" ht="15.75" customHeight="1" x14ac:dyDescent="0.2">
      <c r="A324" s="124"/>
    </row>
    <row r="325" spans="1:1" ht="15.75" customHeight="1" x14ac:dyDescent="0.2">
      <c r="A325" s="124"/>
    </row>
    <row r="326" spans="1:1" ht="15.75" customHeight="1" x14ac:dyDescent="0.2">
      <c r="A326" s="124"/>
    </row>
    <row r="327" spans="1:1" ht="15.75" customHeight="1" x14ac:dyDescent="0.2">
      <c r="A327" s="124"/>
    </row>
    <row r="328" spans="1:1" ht="15.75" customHeight="1" x14ac:dyDescent="0.2">
      <c r="A328" s="124"/>
    </row>
    <row r="329" spans="1:1" ht="15.75" customHeight="1" x14ac:dyDescent="0.2">
      <c r="A329" s="124"/>
    </row>
    <row r="330" spans="1:1" ht="15.75" customHeight="1" x14ac:dyDescent="0.2">
      <c r="A330" s="124"/>
    </row>
    <row r="331" spans="1:1" ht="15.75" customHeight="1" x14ac:dyDescent="0.2">
      <c r="A331" s="124"/>
    </row>
    <row r="332" spans="1:1" ht="15.75" customHeight="1" x14ac:dyDescent="0.2">
      <c r="A332" s="124"/>
    </row>
    <row r="333" spans="1:1" ht="15.75" customHeight="1" x14ac:dyDescent="0.2">
      <c r="A333" s="124"/>
    </row>
    <row r="334" spans="1:1" ht="15.75" customHeight="1" x14ac:dyDescent="0.2">
      <c r="A334" s="124"/>
    </row>
    <row r="335" spans="1:1" ht="15.75" customHeight="1" x14ac:dyDescent="0.2">
      <c r="A335" s="124"/>
    </row>
    <row r="336" spans="1:1" ht="15.75" customHeight="1" x14ac:dyDescent="0.2">
      <c r="A336" s="124"/>
    </row>
    <row r="337" spans="1:1" ht="15.75" customHeight="1" x14ac:dyDescent="0.2">
      <c r="A337" s="124"/>
    </row>
    <row r="338" spans="1:1" ht="15.75" customHeight="1" x14ac:dyDescent="0.2">
      <c r="A338" s="124"/>
    </row>
    <row r="339" spans="1:1" ht="15.75" customHeight="1" x14ac:dyDescent="0.2">
      <c r="A339" s="124"/>
    </row>
    <row r="340" spans="1:1" ht="15.75" customHeight="1" x14ac:dyDescent="0.2">
      <c r="A340" s="124"/>
    </row>
    <row r="341" spans="1:1" ht="15.75" customHeight="1" x14ac:dyDescent="0.2">
      <c r="A341" s="124"/>
    </row>
    <row r="342" spans="1:1" ht="15.75" customHeight="1" x14ac:dyDescent="0.2">
      <c r="A342" s="124"/>
    </row>
    <row r="343" spans="1:1" ht="15.75" customHeight="1" x14ac:dyDescent="0.2">
      <c r="A343" s="124"/>
    </row>
    <row r="344" spans="1:1" ht="15.75" customHeight="1" x14ac:dyDescent="0.2">
      <c r="A344" s="124"/>
    </row>
    <row r="345" spans="1:1" ht="15.75" customHeight="1" x14ac:dyDescent="0.2">
      <c r="A345" s="124"/>
    </row>
    <row r="346" spans="1:1" ht="15.75" customHeight="1" x14ac:dyDescent="0.2">
      <c r="A346" s="124"/>
    </row>
    <row r="347" spans="1:1" ht="15.75" customHeight="1" x14ac:dyDescent="0.2">
      <c r="A347" s="124"/>
    </row>
    <row r="348" spans="1:1" ht="15.75" customHeight="1" x14ac:dyDescent="0.2">
      <c r="A348" s="124"/>
    </row>
    <row r="349" spans="1:1" ht="15.75" customHeight="1" x14ac:dyDescent="0.2">
      <c r="A349" s="124"/>
    </row>
    <row r="350" spans="1:1" ht="15.75" customHeight="1" x14ac:dyDescent="0.2">
      <c r="A350" s="124"/>
    </row>
    <row r="351" spans="1:1" ht="15.75" customHeight="1" x14ac:dyDescent="0.2">
      <c r="A351" s="124"/>
    </row>
    <row r="352" spans="1:1" ht="15.75" customHeight="1" x14ac:dyDescent="0.2">
      <c r="A352" s="124"/>
    </row>
    <row r="353" spans="1:1" ht="15.75" customHeight="1" x14ac:dyDescent="0.2">
      <c r="A353" s="124"/>
    </row>
    <row r="354" spans="1:1" ht="15.75" customHeight="1" x14ac:dyDescent="0.2">
      <c r="A354" s="124"/>
    </row>
    <row r="355" spans="1:1" ht="15.75" customHeight="1" x14ac:dyDescent="0.2">
      <c r="A355" s="124"/>
    </row>
    <row r="356" spans="1:1" ht="15.75" customHeight="1" x14ac:dyDescent="0.2">
      <c r="A356" s="124"/>
    </row>
    <row r="357" spans="1:1" ht="15.75" customHeight="1" x14ac:dyDescent="0.2">
      <c r="A357" s="124"/>
    </row>
    <row r="358" spans="1:1" ht="15.75" customHeight="1" x14ac:dyDescent="0.2">
      <c r="A358" s="124"/>
    </row>
    <row r="359" spans="1:1" ht="15.75" customHeight="1" x14ac:dyDescent="0.2">
      <c r="A359" s="124"/>
    </row>
    <row r="360" spans="1:1" ht="15.75" customHeight="1" x14ac:dyDescent="0.2">
      <c r="A360" s="124"/>
    </row>
    <row r="361" spans="1:1" ht="15.75" customHeight="1" x14ac:dyDescent="0.2">
      <c r="A361" s="124"/>
    </row>
    <row r="362" spans="1:1" ht="15.75" customHeight="1" x14ac:dyDescent="0.2">
      <c r="A362" s="124"/>
    </row>
    <row r="363" spans="1:1" ht="15.75" customHeight="1" x14ac:dyDescent="0.2">
      <c r="A363" s="124"/>
    </row>
    <row r="364" spans="1:1" ht="15.75" customHeight="1" x14ac:dyDescent="0.2">
      <c r="A364" s="124"/>
    </row>
    <row r="365" spans="1:1" ht="15.75" customHeight="1" x14ac:dyDescent="0.2">
      <c r="A365" s="124"/>
    </row>
    <row r="366" spans="1:1" ht="15.75" customHeight="1" x14ac:dyDescent="0.2">
      <c r="A366" s="124"/>
    </row>
    <row r="367" spans="1:1" ht="15.75" customHeight="1" x14ac:dyDescent="0.2">
      <c r="A367" s="124"/>
    </row>
    <row r="368" spans="1:1" ht="15.75" customHeight="1" x14ac:dyDescent="0.2">
      <c r="A368" s="124"/>
    </row>
    <row r="369" spans="1:1" ht="15.75" customHeight="1" x14ac:dyDescent="0.2">
      <c r="A369" s="124"/>
    </row>
    <row r="370" spans="1:1" ht="15.75" customHeight="1" x14ac:dyDescent="0.2">
      <c r="A370" s="124"/>
    </row>
    <row r="371" spans="1:1" ht="15.75" customHeight="1" x14ac:dyDescent="0.2">
      <c r="A371" s="124"/>
    </row>
    <row r="372" spans="1:1" ht="15.75" customHeight="1" x14ac:dyDescent="0.2">
      <c r="A372" s="124"/>
    </row>
    <row r="373" spans="1:1" ht="15.75" customHeight="1" x14ac:dyDescent="0.2">
      <c r="A373" s="124"/>
    </row>
    <row r="374" spans="1:1" ht="15.75" customHeight="1" x14ac:dyDescent="0.2">
      <c r="A374" s="124"/>
    </row>
    <row r="375" spans="1:1" ht="15.75" customHeight="1" x14ac:dyDescent="0.2">
      <c r="A375" s="124"/>
    </row>
    <row r="376" spans="1:1" ht="15.75" customHeight="1" x14ac:dyDescent="0.2">
      <c r="A376" s="124"/>
    </row>
    <row r="377" spans="1:1" ht="15.75" customHeight="1" x14ac:dyDescent="0.2">
      <c r="A377" s="124"/>
    </row>
    <row r="378" spans="1:1" ht="15.75" customHeight="1" x14ac:dyDescent="0.2">
      <c r="A378" s="124"/>
    </row>
    <row r="379" spans="1:1" ht="15.75" customHeight="1" x14ac:dyDescent="0.2">
      <c r="A379" s="124"/>
    </row>
    <row r="380" spans="1:1" ht="15.75" customHeight="1" x14ac:dyDescent="0.2">
      <c r="A380" s="124"/>
    </row>
    <row r="381" spans="1:1" ht="15.75" customHeight="1" x14ac:dyDescent="0.2">
      <c r="A381" s="124"/>
    </row>
    <row r="382" spans="1:1" ht="15.75" customHeight="1" x14ac:dyDescent="0.2">
      <c r="A382" s="124"/>
    </row>
    <row r="383" spans="1:1" ht="15.75" customHeight="1" x14ac:dyDescent="0.2">
      <c r="A383" s="124"/>
    </row>
    <row r="384" spans="1:1" ht="15.75" customHeight="1" x14ac:dyDescent="0.2">
      <c r="A384" s="124"/>
    </row>
    <row r="385" spans="1:1" ht="15.75" customHeight="1" x14ac:dyDescent="0.2">
      <c r="A385" s="124"/>
    </row>
    <row r="386" spans="1:1" ht="15.75" customHeight="1" x14ac:dyDescent="0.2">
      <c r="A386" s="124"/>
    </row>
    <row r="387" spans="1:1" ht="15.75" customHeight="1" x14ac:dyDescent="0.2">
      <c r="A387" s="124"/>
    </row>
    <row r="388" spans="1:1" ht="15.75" customHeight="1" x14ac:dyDescent="0.2">
      <c r="A388" s="124"/>
    </row>
    <row r="389" spans="1:1" ht="15.75" customHeight="1" x14ac:dyDescent="0.2">
      <c r="A389" s="124"/>
    </row>
    <row r="390" spans="1:1" ht="15.75" customHeight="1" x14ac:dyDescent="0.2">
      <c r="A390" s="124"/>
    </row>
    <row r="391" spans="1:1" ht="15.75" customHeight="1" x14ac:dyDescent="0.2">
      <c r="A391" s="124"/>
    </row>
    <row r="392" spans="1:1" ht="15.75" customHeight="1" x14ac:dyDescent="0.2">
      <c r="A392" s="124"/>
    </row>
    <row r="393" spans="1:1" ht="15.75" customHeight="1" x14ac:dyDescent="0.2">
      <c r="A393" s="124"/>
    </row>
    <row r="394" spans="1:1" ht="15.75" customHeight="1" x14ac:dyDescent="0.2">
      <c r="A394" s="124"/>
    </row>
    <row r="395" spans="1:1" ht="15.75" customHeight="1" x14ac:dyDescent="0.2">
      <c r="A395" s="124"/>
    </row>
    <row r="396" spans="1:1" ht="15.75" customHeight="1" x14ac:dyDescent="0.2">
      <c r="A396" s="124"/>
    </row>
    <row r="397" spans="1:1" ht="15.75" customHeight="1" x14ac:dyDescent="0.2">
      <c r="A397" s="124"/>
    </row>
    <row r="398" spans="1:1" ht="15.75" customHeight="1" x14ac:dyDescent="0.2">
      <c r="A398" s="124"/>
    </row>
    <row r="399" spans="1:1" ht="15.75" customHeight="1" x14ac:dyDescent="0.2">
      <c r="A399" s="124"/>
    </row>
    <row r="400" spans="1:1" ht="15.75" customHeight="1" x14ac:dyDescent="0.2">
      <c r="A400" s="124"/>
    </row>
    <row r="401" spans="1:1" ht="15.75" customHeight="1" x14ac:dyDescent="0.2">
      <c r="A401" s="124"/>
    </row>
    <row r="402" spans="1:1" ht="15.75" customHeight="1" x14ac:dyDescent="0.2">
      <c r="A402" s="124"/>
    </row>
    <row r="403" spans="1:1" ht="15.75" customHeight="1" x14ac:dyDescent="0.2">
      <c r="A403" s="124"/>
    </row>
    <row r="404" spans="1:1" ht="15.75" customHeight="1" x14ac:dyDescent="0.2">
      <c r="A404" s="124"/>
    </row>
    <row r="405" spans="1:1" ht="15.75" customHeight="1" x14ac:dyDescent="0.2">
      <c r="A405" s="124"/>
    </row>
    <row r="406" spans="1:1" ht="15.75" customHeight="1" x14ac:dyDescent="0.2">
      <c r="A406" s="124"/>
    </row>
    <row r="407" spans="1:1" ht="15.75" customHeight="1" x14ac:dyDescent="0.2">
      <c r="A407" s="124"/>
    </row>
    <row r="408" spans="1:1" ht="15.75" customHeight="1" x14ac:dyDescent="0.2">
      <c r="A408" s="124"/>
    </row>
    <row r="409" spans="1:1" ht="15.75" customHeight="1" x14ac:dyDescent="0.2">
      <c r="A409" s="124"/>
    </row>
    <row r="410" spans="1:1" ht="15.75" customHeight="1" x14ac:dyDescent="0.2">
      <c r="A410" s="124"/>
    </row>
    <row r="411" spans="1:1" ht="15.75" customHeight="1" x14ac:dyDescent="0.2">
      <c r="A411" s="124"/>
    </row>
    <row r="412" spans="1:1" ht="15.75" customHeight="1" x14ac:dyDescent="0.2">
      <c r="A412" s="124"/>
    </row>
    <row r="413" spans="1:1" ht="15.75" customHeight="1" x14ac:dyDescent="0.2">
      <c r="A413" s="124"/>
    </row>
    <row r="414" spans="1:1" ht="15.75" customHeight="1" x14ac:dyDescent="0.2">
      <c r="A414" s="124"/>
    </row>
    <row r="415" spans="1:1" ht="15.75" customHeight="1" x14ac:dyDescent="0.2">
      <c r="A415" s="124"/>
    </row>
    <row r="416" spans="1:1" ht="15.75" customHeight="1" x14ac:dyDescent="0.2">
      <c r="A416" s="124"/>
    </row>
    <row r="417" spans="1:1" ht="15.75" customHeight="1" x14ac:dyDescent="0.2">
      <c r="A417" s="124"/>
    </row>
    <row r="418" spans="1:1" ht="15.75" customHeight="1" x14ac:dyDescent="0.2">
      <c r="A418" s="124"/>
    </row>
    <row r="419" spans="1:1" ht="15.75" customHeight="1" x14ac:dyDescent="0.2">
      <c r="A419" s="124"/>
    </row>
    <row r="420" spans="1:1" ht="15.75" customHeight="1" x14ac:dyDescent="0.2">
      <c r="A420" s="124"/>
    </row>
    <row r="421" spans="1:1" ht="15.75" customHeight="1" x14ac:dyDescent="0.2">
      <c r="A421" s="124"/>
    </row>
    <row r="422" spans="1:1" ht="15.75" customHeight="1" x14ac:dyDescent="0.2">
      <c r="A422" s="124"/>
    </row>
    <row r="423" spans="1:1" ht="15.75" customHeight="1" x14ac:dyDescent="0.2">
      <c r="A423" s="124"/>
    </row>
    <row r="424" spans="1:1" ht="15.75" customHeight="1" x14ac:dyDescent="0.2">
      <c r="A424" s="124"/>
    </row>
    <row r="425" spans="1:1" ht="15.75" customHeight="1" x14ac:dyDescent="0.2">
      <c r="A425" s="124"/>
    </row>
    <row r="426" spans="1:1" ht="15.75" customHeight="1" x14ac:dyDescent="0.2">
      <c r="A426" s="124"/>
    </row>
    <row r="427" spans="1:1" ht="15.75" customHeight="1" x14ac:dyDescent="0.2">
      <c r="A427" s="124"/>
    </row>
    <row r="428" spans="1:1" ht="15.75" customHeight="1" x14ac:dyDescent="0.2">
      <c r="A428" s="124"/>
    </row>
    <row r="429" spans="1:1" ht="15.75" customHeight="1" x14ac:dyDescent="0.2">
      <c r="A429" s="124"/>
    </row>
    <row r="430" spans="1:1" ht="15.75" customHeight="1" x14ac:dyDescent="0.2">
      <c r="A430" s="124"/>
    </row>
    <row r="431" spans="1:1" ht="15.75" customHeight="1" x14ac:dyDescent="0.2">
      <c r="A431" s="124"/>
    </row>
    <row r="432" spans="1:1" ht="15.75" customHeight="1" x14ac:dyDescent="0.2">
      <c r="A432" s="124"/>
    </row>
    <row r="433" spans="1:1" ht="15.75" customHeight="1" x14ac:dyDescent="0.2">
      <c r="A433" s="124"/>
    </row>
    <row r="434" spans="1:1" ht="15.75" customHeight="1" x14ac:dyDescent="0.2">
      <c r="A434" s="124"/>
    </row>
    <row r="435" spans="1:1" ht="15.75" customHeight="1" x14ac:dyDescent="0.2">
      <c r="A435" s="124"/>
    </row>
    <row r="436" spans="1:1" ht="15.75" customHeight="1" x14ac:dyDescent="0.2">
      <c r="A436" s="124"/>
    </row>
    <row r="437" spans="1:1" ht="15.75" customHeight="1" x14ac:dyDescent="0.2">
      <c r="A437" s="124"/>
    </row>
    <row r="438" spans="1:1" ht="15.75" customHeight="1" x14ac:dyDescent="0.2">
      <c r="A438" s="124"/>
    </row>
    <row r="439" spans="1:1" ht="15.75" customHeight="1" x14ac:dyDescent="0.2">
      <c r="A439" s="124"/>
    </row>
    <row r="440" spans="1:1" ht="15.75" customHeight="1" x14ac:dyDescent="0.2">
      <c r="A440" s="124"/>
    </row>
    <row r="441" spans="1:1" ht="15.75" customHeight="1" x14ac:dyDescent="0.2">
      <c r="A441" s="124"/>
    </row>
    <row r="442" spans="1:1" ht="15.75" customHeight="1" x14ac:dyDescent="0.2">
      <c r="A442" s="124"/>
    </row>
    <row r="443" spans="1:1" ht="15.75" customHeight="1" x14ac:dyDescent="0.2">
      <c r="A443" s="124"/>
    </row>
    <row r="444" spans="1:1" ht="15.75" customHeight="1" x14ac:dyDescent="0.2">
      <c r="A444" s="124"/>
    </row>
    <row r="445" spans="1:1" ht="15.75" customHeight="1" x14ac:dyDescent="0.2">
      <c r="A445" s="124"/>
    </row>
    <row r="446" spans="1:1" ht="15.75" customHeight="1" x14ac:dyDescent="0.2">
      <c r="A446" s="124"/>
    </row>
    <row r="447" spans="1:1" ht="15.75" customHeight="1" x14ac:dyDescent="0.2">
      <c r="A447" s="124"/>
    </row>
    <row r="448" spans="1:1" ht="15.75" customHeight="1" x14ac:dyDescent="0.2">
      <c r="A448" s="124"/>
    </row>
    <row r="449" spans="1:1" ht="15.75" customHeight="1" x14ac:dyDescent="0.2">
      <c r="A449" s="124"/>
    </row>
    <row r="450" spans="1:1" ht="15.75" customHeight="1" x14ac:dyDescent="0.2">
      <c r="A450" s="124"/>
    </row>
    <row r="451" spans="1:1" ht="15.75" customHeight="1" x14ac:dyDescent="0.2">
      <c r="A451" s="124"/>
    </row>
    <row r="452" spans="1:1" ht="15.75" customHeight="1" x14ac:dyDescent="0.2">
      <c r="A452" s="124"/>
    </row>
    <row r="453" spans="1:1" ht="15.75" customHeight="1" x14ac:dyDescent="0.2">
      <c r="A453" s="124"/>
    </row>
    <row r="454" spans="1:1" ht="15.75" customHeight="1" x14ac:dyDescent="0.2">
      <c r="A454" s="124"/>
    </row>
    <row r="455" spans="1:1" ht="15.75" customHeight="1" x14ac:dyDescent="0.2">
      <c r="A455" s="124"/>
    </row>
    <row r="456" spans="1:1" ht="15.75" customHeight="1" x14ac:dyDescent="0.2">
      <c r="A456" s="124"/>
    </row>
    <row r="457" spans="1:1" ht="15.75" customHeight="1" x14ac:dyDescent="0.2">
      <c r="A457" s="124"/>
    </row>
    <row r="458" spans="1:1" ht="15.75" customHeight="1" x14ac:dyDescent="0.2">
      <c r="A458" s="124"/>
    </row>
    <row r="459" spans="1:1" ht="15.75" customHeight="1" x14ac:dyDescent="0.2">
      <c r="A459" s="124"/>
    </row>
    <row r="460" spans="1:1" ht="15.75" customHeight="1" x14ac:dyDescent="0.2">
      <c r="A460" s="124"/>
    </row>
    <row r="461" spans="1:1" ht="15.75" customHeight="1" x14ac:dyDescent="0.2">
      <c r="A461" s="124"/>
    </row>
    <row r="462" spans="1:1" ht="15.75" customHeight="1" x14ac:dyDescent="0.2">
      <c r="A462" s="124"/>
    </row>
    <row r="463" spans="1:1" ht="15.75" customHeight="1" x14ac:dyDescent="0.2">
      <c r="A463" s="124"/>
    </row>
    <row r="464" spans="1:1" ht="15.75" customHeight="1" x14ac:dyDescent="0.2">
      <c r="A464" s="124"/>
    </row>
    <row r="465" spans="1:1" ht="15.75" customHeight="1" x14ac:dyDescent="0.2">
      <c r="A465" s="124"/>
    </row>
    <row r="466" spans="1:1" ht="15.75" customHeight="1" x14ac:dyDescent="0.2">
      <c r="A466" s="124"/>
    </row>
    <row r="467" spans="1:1" ht="15.75" customHeight="1" x14ac:dyDescent="0.2">
      <c r="A467" s="124"/>
    </row>
    <row r="468" spans="1:1" ht="15.75" customHeight="1" x14ac:dyDescent="0.2">
      <c r="A468" s="124"/>
    </row>
    <row r="469" spans="1:1" ht="15.75" customHeight="1" x14ac:dyDescent="0.2">
      <c r="A469" s="124"/>
    </row>
    <row r="470" spans="1:1" ht="15.75" customHeight="1" x14ac:dyDescent="0.2">
      <c r="A470" s="124"/>
    </row>
    <row r="471" spans="1:1" ht="15.75" customHeight="1" x14ac:dyDescent="0.2">
      <c r="A471" s="124"/>
    </row>
    <row r="472" spans="1:1" ht="15.75" customHeight="1" x14ac:dyDescent="0.2">
      <c r="A472" s="124"/>
    </row>
    <row r="473" spans="1:1" ht="15.75" customHeight="1" x14ac:dyDescent="0.2">
      <c r="A473" s="124"/>
    </row>
    <row r="474" spans="1:1" ht="15.75" customHeight="1" x14ac:dyDescent="0.2">
      <c r="A474" s="124"/>
    </row>
    <row r="475" spans="1:1" ht="15.75" customHeight="1" x14ac:dyDescent="0.2">
      <c r="A475" s="124"/>
    </row>
    <row r="476" spans="1:1" ht="15.75" customHeight="1" x14ac:dyDescent="0.2">
      <c r="A476" s="124"/>
    </row>
    <row r="477" spans="1:1" ht="15.75" customHeight="1" x14ac:dyDescent="0.2">
      <c r="A477" s="124"/>
    </row>
    <row r="478" spans="1:1" ht="15.75" customHeight="1" x14ac:dyDescent="0.2">
      <c r="A478" s="124"/>
    </row>
    <row r="479" spans="1:1" ht="15.75" customHeight="1" x14ac:dyDescent="0.2">
      <c r="A479" s="124"/>
    </row>
    <row r="480" spans="1:1" ht="15.75" customHeight="1" x14ac:dyDescent="0.2">
      <c r="A480" s="124"/>
    </row>
    <row r="481" spans="1:1" ht="15.75" customHeight="1" x14ac:dyDescent="0.2">
      <c r="A481" s="124"/>
    </row>
    <row r="482" spans="1:1" ht="15.75" customHeight="1" x14ac:dyDescent="0.2">
      <c r="A482" s="124"/>
    </row>
    <row r="483" spans="1:1" ht="15.75" customHeight="1" x14ac:dyDescent="0.2">
      <c r="A483" s="124"/>
    </row>
    <row r="484" spans="1:1" ht="15.75" customHeight="1" x14ac:dyDescent="0.2">
      <c r="A484" s="124"/>
    </row>
    <row r="485" spans="1:1" ht="15.75" customHeight="1" x14ac:dyDescent="0.2">
      <c r="A485" s="124"/>
    </row>
    <row r="486" spans="1:1" ht="15.75" customHeight="1" x14ac:dyDescent="0.2">
      <c r="A486" s="124"/>
    </row>
    <row r="487" spans="1:1" ht="15.75" customHeight="1" x14ac:dyDescent="0.2">
      <c r="A487" s="124"/>
    </row>
    <row r="488" spans="1:1" ht="15.75" customHeight="1" x14ac:dyDescent="0.2">
      <c r="A488" s="124"/>
    </row>
    <row r="489" spans="1:1" ht="15.75" customHeight="1" x14ac:dyDescent="0.2">
      <c r="A489" s="124"/>
    </row>
    <row r="490" spans="1:1" ht="15.75" customHeight="1" x14ac:dyDescent="0.2">
      <c r="A490" s="124"/>
    </row>
    <row r="491" spans="1:1" ht="15.75" customHeight="1" x14ac:dyDescent="0.2">
      <c r="A491" s="124"/>
    </row>
    <row r="492" spans="1:1" ht="15.75" customHeight="1" x14ac:dyDescent="0.2">
      <c r="A492" s="124"/>
    </row>
    <row r="493" spans="1:1" ht="15.75" customHeight="1" x14ac:dyDescent="0.2">
      <c r="A493" s="124"/>
    </row>
    <row r="494" spans="1:1" ht="15.75" customHeight="1" x14ac:dyDescent="0.2">
      <c r="A494" s="124"/>
    </row>
    <row r="495" spans="1:1" ht="15.75" customHeight="1" x14ac:dyDescent="0.2">
      <c r="A495" s="124"/>
    </row>
    <row r="496" spans="1:1" ht="15.75" customHeight="1" x14ac:dyDescent="0.2">
      <c r="A496" s="124"/>
    </row>
    <row r="497" spans="1:1" ht="15.75" customHeight="1" x14ac:dyDescent="0.2">
      <c r="A497" s="124"/>
    </row>
    <row r="498" spans="1:1" ht="15.75" customHeight="1" x14ac:dyDescent="0.2">
      <c r="A498" s="124"/>
    </row>
    <row r="499" spans="1:1" ht="15.75" customHeight="1" x14ac:dyDescent="0.2">
      <c r="A499" s="124"/>
    </row>
    <row r="500" spans="1:1" ht="15.75" customHeight="1" x14ac:dyDescent="0.2">
      <c r="A500" s="124"/>
    </row>
    <row r="501" spans="1:1" ht="15.75" customHeight="1" x14ac:dyDescent="0.2">
      <c r="A501" s="124"/>
    </row>
    <row r="502" spans="1:1" ht="15.75" customHeight="1" x14ac:dyDescent="0.2">
      <c r="A502" s="124"/>
    </row>
    <row r="503" spans="1:1" ht="15.75" customHeight="1" x14ac:dyDescent="0.2">
      <c r="A503" s="124"/>
    </row>
    <row r="504" spans="1:1" ht="15.75" customHeight="1" x14ac:dyDescent="0.2">
      <c r="A504" s="124"/>
    </row>
    <row r="505" spans="1:1" ht="15.75" customHeight="1" x14ac:dyDescent="0.2">
      <c r="A505" s="124"/>
    </row>
    <row r="506" spans="1:1" ht="15.75" customHeight="1" x14ac:dyDescent="0.2">
      <c r="A506" s="124"/>
    </row>
    <row r="507" spans="1:1" ht="15.75" customHeight="1" x14ac:dyDescent="0.2">
      <c r="A507" s="124"/>
    </row>
    <row r="508" spans="1:1" ht="15.75" customHeight="1" x14ac:dyDescent="0.2">
      <c r="A508" s="124"/>
    </row>
    <row r="509" spans="1:1" ht="15.75" customHeight="1" x14ac:dyDescent="0.2">
      <c r="A509" s="124"/>
    </row>
    <row r="510" spans="1:1" ht="15.75" customHeight="1" x14ac:dyDescent="0.2">
      <c r="A510" s="124"/>
    </row>
    <row r="511" spans="1:1" ht="15.75" customHeight="1" x14ac:dyDescent="0.2">
      <c r="A511" s="124"/>
    </row>
    <row r="512" spans="1:1" ht="15.75" customHeight="1" x14ac:dyDescent="0.2">
      <c r="A512" s="124"/>
    </row>
    <row r="513" spans="1:1" ht="15.75" customHeight="1" x14ac:dyDescent="0.2">
      <c r="A513" s="124"/>
    </row>
    <row r="514" spans="1:1" ht="15.75" customHeight="1" x14ac:dyDescent="0.2">
      <c r="A514" s="124"/>
    </row>
    <row r="515" spans="1:1" ht="15.75" customHeight="1" x14ac:dyDescent="0.2">
      <c r="A515" s="124"/>
    </row>
    <row r="516" spans="1:1" ht="15.75" customHeight="1" x14ac:dyDescent="0.2">
      <c r="A516" s="124"/>
    </row>
    <row r="517" spans="1:1" ht="15.75" customHeight="1" x14ac:dyDescent="0.2">
      <c r="A517" s="124"/>
    </row>
    <row r="518" spans="1:1" ht="15.75" customHeight="1" x14ac:dyDescent="0.2">
      <c r="A518" s="124"/>
    </row>
    <row r="519" spans="1:1" ht="15.75" customHeight="1" x14ac:dyDescent="0.2">
      <c r="A519" s="124"/>
    </row>
    <row r="520" spans="1:1" ht="15.75" customHeight="1" x14ac:dyDescent="0.2">
      <c r="A520" s="124"/>
    </row>
    <row r="521" spans="1:1" ht="15.75" customHeight="1" x14ac:dyDescent="0.2">
      <c r="A521" s="124"/>
    </row>
    <row r="522" spans="1:1" ht="15.75" customHeight="1" x14ac:dyDescent="0.2">
      <c r="A522" s="124"/>
    </row>
    <row r="523" spans="1:1" ht="15.75" customHeight="1" x14ac:dyDescent="0.2">
      <c r="A523" s="124"/>
    </row>
    <row r="524" spans="1:1" ht="15.75" customHeight="1" x14ac:dyDescent="0.2">
      <c r="A524" s="124"/>
    </row>
    <row r="525" spans="1:1" ht="15.75" customHeight="1" x14ac:dyDescent="0.2">
      <c r="A525" s="124"/>
    </row>
    <row r="526" spans="1:1" ht="15.75" customHeight="1" x14ac:dyDescent="0.2">
      <c r="A526" s="124"/>
    </row>
    <row r="527" spans="1:1" ht="15.75" customHeight="1" x14ac:dyDescent="0.2">
      <c r="A527" s="124"/>
    </row>
    <row r="528" spans="1:1" ht="15.75" customHeight="1" x14ac:dyDescent="0.2">
      <c r="A528" s="124"/>
    </row>
    <row r="529" spans="1:1" ht="15.75" customHeight="1" x14ac:dyDescent="0.2">
      <c r="A529" s="124"/>
    </row>
    <row r="530" spans="1:1" ht="15.75" customHeight="1" x14ac:dyDescent="0.2">
      <c r="A530" s="124"/>
    </row>
    <row r="531" spans="1:1" ht="15.75" customHeight="1" x14ac:dyDescent="0.2">
      <c r="A531" s="124"/>
    </row>
    <row r="532" spans="1:1" ht="15.75" customHeight="1" x14ac:dyDescent="0.2">
      <c r="A532" s="124"/>
    </row>
    <row r="533" spans="1:1" ht="15.75" customHeight="1" x14ac:dyDescent="0.2">
      <c r="A533" s="124"/>
    </row>
    <row r="534" spans="1:1" ht="15.75" customHeight="1" x14ac:dyDescent="0.2">
      <c r="A534" s="124"/>
    </row>
    <row r="535" spans="1:1" ht="15.75" customHeight="1" x14ac:dyDescent="0.2">
      <c r="A535" s="124"/>
    </row>
    <row r="536" spans="1:1" ht="15.75" customHeight="1" x14ac:dyDescent="0.2">
      <c r="A536" s="124"/>
    </row>
    <row r="537" spans="1:1" ht="15.75" customHeight="1" x14ac:dyDescent="0.2">
      <c r="A537" s="124"/>
    </row>
    <row r="538" spans="1:1" ht="15.75" customHeight="1" x14ac:dyDescent="0.2">
      <c r="A538" s="124"/>
    </row>
    <row r="539" spans="1:1" ht="15.75" customHeight="1" x14ac:dyDescent="0.2">
      <c r="A539" s="124"/>
    </row>
    <row r="540" spans="1:1" ht="15.75" customHeight="1" x14ac:dyDescent="0.2">
      <c r="A540" s="124"/>
    </row>
    <row r="541" spans="1:1" ht="15.75" customHeight="1" x14ac:dyDescent="0.2">
      <c r="A541" s="124"/>
    </row>
    <row r="542" spans="1:1" ht="15.75" customHeight="1" x14ac:dyDescent="0.2">
      <c r="A542" s="124"/>
    </row>
    <row r="543" spans="1:1" ht="15.75" customHeight="1" x14ac:dyDescent="0.2">
      <c r="A543" s="124"/>
    </row>
    <row r="544" spans="1:1" ht="15.75" customHeight="1" x14ac:dyDescent="0.2">
      <c r="A544" s="124"/>
    </row>
    <row r="545" spans="1:1" ht="15.75" customHeight="1" x14ac:dyDescent="0.2">
      <c r="A545" s="124"/>
    </row>
    <row r="546" spans="1:1" ht="15.75" customHeight="1" x14ac:dyDescent="0.2">
      <c r="A546" s="124"/>
    </row>
    <row r="547" spans="1:1" ht="15.75" customHeight="1" x14ac:dyDescent="0.2">
      <c r="A547" s="124"/>
    </row>
    <row r="548" spans="1:1" ht="15.75" customHeight="1" x14ac:dyDescent="0.2">
      <c r="A548" s="124"/>
    </row>
    <row r="549" spans="1:1" ht="15.75" customHeight="1" x14ac:dyDescent="0.2">
      <c r="A549" s="124"/>
    </row>
    <row r="550" spans="1:1" ht="15.75" customHeight="1" x14ac:dyDescent="0.2">
      <c r="A550" s="124"/>
    </row>
    <row r="551" spans="1:1" ht="15.75" customHeight="1" x14ac:dyDescent="0.2">
      <c r="A551" s="124"/>
    </row>
    <row r="552" spans="1:1" ht="15.75" customHeight="1" x14ac:dyDescent="0.2">
      <c r="A552" s="124"/>
    </row>
    <row r="553" spans="1:1" ht="15.75" customHeight="1" x14ac:dyDescent="0.2">
      <c r="A553" s="124"/>
    </row>
    <row r="554" spans="1:1" ht="15.75" customHeight="1" x14ac:dyDescent="0.2">
      <c r="A554" s="124"/>
    </row>
    <row r="555" spans="1:1" ht="15.75" customHeight="1" x14ac:dyDescent="0.2">
      <c r="A555" s="124"/>
    </row>
    <row r="556" spans="1:1" ht="15.75" customHeight="1" x14ac:dyDescent="0.2">
      <c r="A556" s="124"/>
    </row>
    <row r="557" spans="1:1" ht="15.75" customHeight="1" x14ac:dyDescent="0.2">
      <c r="A557" s="124"/>
    </row>
    <row r="558" spans="1:1" ht="15.75" customHeight="1" x14ac:dyDescent="0.2">
      <c r="A558" s="124"/>
    </row>
    <row r="559" spans="1:1" ht="15.75" customHeight="1" x14ac:dyDescent="0.2">
      <c r="A559" s="124"/>
    </row>
    <row r="560" spans="1:1" ht="15.75" customHeight="1" x14ac:dyDescent="0.2">
      <c r="A560" s="124"/>
    </row>
    <row r="561" spans="1:1" ht="15.75" customHeight="1" x14ac:dyDescent="0.2">
      <c r="A561" s="124"/>
    </row>
    <row r="562" spans="1:1" ht="15.75" customHeight="1" x14ac:dyDescent="0.2">
      <c r="A562" s="124"/>
    </row>
    <row r="563" spans="1:1" ht="15.75" customHeight="1" x14ac:dyDescent="0.2">
      <c r="A563" s="124"/>
    </row>
    <row r="564" spans="1:1" ht="15.75" customHeight="1" x14ac:dyDescent="0.2">
      <c r="A564" s="124"/>
    </row>
    <row r="565" spans="1:1" ht="15.75" customHeight="1" x14ac:dyDescent="0.2">
      <c r="A565" s="124"/>
    </row>
    <row r="566" spans="1:1" ht="15.75" customHeight="1" x14ac:dyDescent="0.2">
      <c r="A566" s="124"/>
    </row>
    <row r="567" spans="1:1" ht="15.75" customHeight="1" x14ac:dyDescent="0.2">
      <c r="A567" s="124"/>
    </row>
    <row r="568" spans="1:1" ht="15.75" customHeight="1" x14ac:dyDescent="0.2">
      <c r="A568" s="124"/>
    </row>
    <row r="569" spans="1:1" ht="15.75" customHeight="1" x14ac:dyDescent="0.2">
      <c r="A569" s="124"/>
    </row>
    <row r="570" spans="1:1" ht="15.75" customHeight="1" x14ac:dyDescent="0.2">
      <c r="A570" s="124"/>
    </row>
    <row r="571" spans="1:1" ht="15.75" customHeight="1" x14ac:dyDescent="0.2">
      <c r="A571" s="124"/>
    </row>
    <row r="572" spans="1:1" ht="15.75" customHeight="1" x14ac:dyDescent="0.2">
      <c r="A572" s="124"/>
    </row>
    <row r="573" spans="1:1" ht="15.75" customHeight="1" x14ac:dyDescent="0.2">
      <c r="A573" s="124"/>
    </row>
    <row r="574" spans="1:1" ht="15.75" customHeight="1" x14ac:dyDescent="0.2">
      <c r="A574" s="124"/>
    </row>
    <row r="575" spans="1:1" ht="15.75" customHeight="1" x14ac:dyDescent="0.2">
      <c r="A575" s="124"/>
    </row>
    <row r="576" spans="1:1" ht="15.75" customHeight="1" x14ac:dyDescent="0.2">
      <c r="A576" s="124"/>
    </row>
    <row r="577" spans="1:1" ht="15.75" customHeight="1" x14ac:dyDescent="0.2">
      <c r="A577" s="124"/>
    </row>
    <row r="578" spans="1:1" ht="15.75" customHeight="1" x14ac:dyDescent="0.2">
      <c r="A578" s="124"/>
    </row>
    <row r="579" spans="1:1" ht="15.75" customHeight="1" x14ac:dyDescent="0.2">
      <c r="A579" s="124"/>
    </row>
    <row r="580" spans="1:1" ht="15.75" customHeight="1" x14ac:dyDescent="0.2">
      <c r="A580" s="124"/>
    </row>
    <row r="581" spans="1:1" ht="15.75" customHeight="1" x14ac:dyDescent="0.2">
      <c r="A581" s="124"/>
    </row>
    <row r="582" spans="1:1" ht="15.75" customHeight="1" x14ac:dyDescent="0.2">
      <c r="A582" s="124"/>
    </row>
    <row r="583" spans="1:1" ht="15.75" customHeight="1" x14ac:dyDescent="0.2">
      <c r="A583" s="124"/>
    </row>
    <row r="584" spans="1:1" ht="15.75" customHeight="1" x14ac:dyDescent="0.2">
      <c r="A584" s="124"/>
    </row>
    <row r="585" spans="1:1" ht="15.75" customHeight="1" x14ac:dyDescent="0.2">
      <c r="A585" s="124"/>
    </row>
    <row r="586" spans="1:1" ht="15.75" customHeight="1" x14ac:dyDescent="0.2">
      <c r="A586" s="124"/>
    </row>
    <row r="587" spans="1:1" ht="15.75" customHeight="1" x14ac:dyDescent="0.2">
      <c r="A587" s="124"/>
    </row>
    <row r="588" spans="1:1" ht="15.75" customHeight="1" x14ac:dyDescent="0.2">
      <c r="A588" s="124"/>
    </row>
    <row r="589" spans="1:1" ht="15.75" customHeight="1" x14ac:dyDescent="0.2">
      <c r="A589" s="124"/>
    </row>
    <row r="590" spans="1:1" ht="15.75" customHeight="1" x14ac:dyDescent="0.2">
      <c r="A590" s="124"/>
    </row>
    <row r="591" spans="1:1" ht="15.75" customHeight="1" x14ac:dyDescent="0.2">
      <c r="A591" s="124"/>
    </row>
    <row r="592" spans="1:1" ht="15.75" customHeight="1" x14ac:dyDescent="0.2">
      <c r="A592" s="124"/>
    </row>
    <row r="593" spans="1:1" ht="15.75" customHeight="1" x14ac:dyDescent="0.2">
      <c r="A593" s="124"/>
    </row>
    <row r="594" spans="1:1" ht="15.75" customHeight="1" x14ac:dyDescent="0.2">
      <c r="A594" s="124"/>
    </row>
    <row r="595" spans="1:1" ht="15.75" customHeight="1" x14ac:dyDescent="0.2">
      <c r="A595" s="124"/>
    </row>
    <row r="596" spans="1:1" ht="15.75" customHeight="1" x14ac:dyDescent="0.2">
      <c r="A596" s="124"/>
    </row>
    <row r="597" spans="1:1" ht="15.75" customHeight="1" x14ac:dyDescent="0.2">
      <c r="A597" s="124"/>
    </row>
    <row r="598" spans="1:1" ht="15.75" customHeight="1" x14ac:dyDescent="0.2">
      <c r="A598" s="124"/>
    </row>
    <row r="599" spans="1:1" ht="15.75" customHeight="1" x14ac:dyDescent="0.2">
      <c r="A599" s="124"/>
    </row>
    <row r="600" spans="1:1" ht="15.75" customHeight="1" x14ac:dyDescent="0.2">
      <c r="A600" s="124"/>
    </row>
    <row r="601" spans="1:1" ht="15.75" customHeight="1" x14ac:dyDescent="0.2">
      <c r="A601" s="124"/>
    </row>
    <row r="602" spans="1:1" ht="15.75" customHeight="1" x14ac:dyDescent="0.2">
      <c r="A602" s="124"/>
    </row>
    <row r="603" spans="1:1" ht="15.75" customHeight="1" x14ac:dyDescent="0.2">
      <c r="A603" s="124"/>
    </row>
    <row r="604" spans="1:1" ht="15.75" customHeight="1" x14ac:dyDescent="0.2">
      <c r="A604" s="124"/>
    </row>
    <row r="605" spans="1:1" ht="15.75" customHeight="1" x14ac:dyDescent="0.2">
      <c r="A605" s="124"/>
    </row>
    <row r="606" spans="1:1" ht="15.75" customHeight="1" x14ac:dyDescent="0.2">
      <c r="A606" s="124"/>
    </row>
    <row r="607" spans="1:1" ht="15.75" customHeight="1" x14ac:dyDescent="0.2">
      <c r="A607" s="124"/>
    </row>
    <row r="608" spans="1:1" ht="15.75" customHeight="1" x14ac:dyDescent="0.2">
      <c r="A608" s="124"/>
    </row>
    <row r="609" spans="1:1" ht="15.75" customHeight="1" x14ac:dyDescent="0.2">
      <c r="A609" s="124"/>
    </row>
    <row r="610" spans="1:1" ht="15.75" customHeight="1" x14ac:dyDescent="0.2">
      <c r="A610" s="124"/>
    </row>
    <row r="611" spans="1:1" ht="15.75" customHeight="1" x14ac:dyDescent="0.2">
      <c r="A611" s="124"/>
    </row>
    <row r="612" spans="1:1" ht="15.75" customHeight="1" x14ac:dyDescent="0.2">
      <c r="A612" s="124"/>
    </row>
    <row r="613" spans="1:1" ht="15.75" customHeight="1" x14ac:dyDescent="0.2">
      <c r="A613" s="124"/>
    </row>
    <row r="614" spans="1:1" ht="15.75" customHeight="1" x14ac:dyDescent="0.2">
      <c r="A614" s="124"/>
    </row>
    <row r="615" spans="1:1" ht="15.75" customHeight="1" x14ac:dyDescent="0.2">
      <c r="A615" s="124"/>
    </row>
    <row r="616" spans="1:1" ht="15.75" customHeight="1" x14ac:dyDescent="0.2">
      <c r="A616" s="124"/>
    </row>
    <row r="617" spans="1:1" ht="15.75" customHeight="1" x14ac:dyDescent="0.2">
      <c r="A617" s="124"/>
    </row>
    <row r="618" spans="1:1" ht="15.75" customHeight="1" x14ac:dyDescent="0.2">
      <c r="A618" s="124"/>
    </row>
    <row r="619" spans="1:1" ht="15.75" customHeight="1" x14ac:dyDescent="0.2">
      <c r="A619" s="124"/>
    </row>
    <row r="620" spans="1:1" ht="15.75" customHeight="1" x14ac:dyDescent="0.2">
      <c r="A620" s="124"/>
    </row>
    <row r="621" spans="1:1" ht="15.75" customHeight="1" x14ac:dyDescent="0.2">
      <c r="A621" s="124"/>
    </row>
    <row r="622" spans="1:1" ht="15.75" customHeight="1" x14ac:dyDescent="0.2">
      <c r="A622" s="124"/>
    </row>
    <row r="623" spans="1:1" ht="15.75" customHeight="1" x14ac:dyDescent="0.2">
      <c r="A623" s="124"/>
    </row>
    <row r="624" spans="1:1" ht="15.75" customHeight="1" x14ac:dyDescent="0.2">
      <c r="A624" s="124"/>
    </row>
    <row r="625" spans="1:1" ht="15.75" customHeight="1" x14ac:dyDescent="0.2">
      <c r="A625" s="124"/>
    </row>
    <row r="626" spans="1:1" ht="15.75" customHeight="1" x14ac:dyDescent="0.2">
      <c r="A626" s="124"/>
    </row>
    <row r="627" spans="1:1" ht="15.75" customHeight="1" x14ac:dyDescent="0.2">
      <c r="A627" s="124"/>
    </row>
    <row r="628" spans="1:1" ht="15.75" customHeight="1" x14ac:dyDescent="0.2">
      <c r="A628" s="124"/>
    </row>
    <row r="629" spans="1:1" ht="15.75" customHeight="1" x14ac:dyDescent="0.2">
      <c r="A629" s="124"/>
    </row>
    <row r="630" spans="1:1" ht="15.75" customHeight="1" x14ac:dyDescent="0.2">
      <c r="A630" s="124"/>
    </row>
    <row r="631" spans="1:1" ht="15.75" customHeight="1" x14ac:dyDescent="0.2">
      <c r="A631" s="124"/>
    </row>
    <row r="632" spans="1:1" ht="15.75" customHeight="1" x14ac:dyDescent="0.2">
      <c r="A632" s="124"/>
    </row>
    <row r="633" spans="1:1" ht="15.75" customHeight="1" x14ac:dyDescent="0.2">
      <c r="A633" s="124"/>
    </row>
    <row r="634" spans="1:1" ht="15.75" customHeight="1" x14ac:dyDescent="0.2">
      <c r="A634" s="124"/>
    </row>
    <row r="635" spans="1:1" ht="15.75" customHeight="1" x14ac:dyDescent="0.2">
      <c r="A635" s="124"/>
    </row>
    <row r="636" spans="1:1" ht="15.75" customHeight="1" x14ac:dyDescent="0.2">
      <c r="A636" s="124"/>
    </row>
    <row r="637" spans="1:1" ht="15.75" customHeight="1" x14ac:dyDescent="0.2">
      <c r="A637" s="124"/>
    </row>
    <row r="638" spans="1:1" ht="15.75" customHeight="1" x14ac:dyDescent="0.2">
      <c r="A638" s="124"/>
    </row>
    <row r="639" spans="1:1" ht="15.75" customHeight="1" x14ac:dyDescent="0.2">
      <c r="A639" s="124"/>
    </row>
    <row r="640" spans="1:1" ht="15.75" customHeight="1" x14ac:dyDescent="0.2">
      <c r="A640" s="124"/>
    </row>
    <row r="641" spans="1:1" ht="15.75" customHeight="1" x14ac:dyDescent="0.2">
      <c r="A641" s="124"/>
    </row>
    <row r="642" spans="1:1" ht="15.75" customHeight="1" x14ac:dyDescent="0.2">
      <c r="A642" s="124"/>
    </row>
    <row r="643" spans="1:1" ht="15.75" customHeight="1" x14ac:dyDescent="0.2">
      <c r="A643" s="124"/>
    </row>
    <row r="644" spans="1:1" ht="15.75" customHeight="1" x14ac:dyDescent="0.2">
      <c r="A644" s="124"/>
    </row>
    <row r="645" spans="1:1" ht="15.75" customHeight="1" x14ac:dyDescent="0.2">
      <c r="A645" s="124"/>
    </row>
    <row r="646" spans="1:1" ht="15.75" customHeight="1" x14ac:dyDescent="0.2">
      <c r="A646" s="124"/>
    </row>
    <row r="647" spans="1:1" ht="15.75" customHeight="1" x14ac:dyDescent="0.2">
      <c r="A647" s="124"/>
    </row>
    <row r="648" spans="1:1" ht="15.75" customHeight="1" x14ac:dyDescent="0.2">
      <c r="A648" s="124"/>
    </row>
    <row r="649" spans="1:1" ht="15.75" customHeight="1" x14ac:dyDescent="0.2">
      <c r="A649" s="124"/>
    </row>
    <row r="650" spans="1:1" ht="15.75" customHeight="1" x14ac:dyDescent="0.2">
      <c r="A650" s="124"/>
    </row>
    <row r="651" spans="1:1" ht="15.75" customHeight="1" x14ac:dyDescent="0.2">
      <c r="A651" s="124"/>
    </row>
    <row r="652" spans="1:1" ht="15.75" customHeight="1" x14ac:dyDescent="0.2">
      <c r="A652" s="124"/>
    </row>
    <row r="653" spans="1:1" ht="15.75" customHeight="1" x14ac:dyDescent="0.2">
      <c r="A653" s="124"/>
    </row>
    <row r="654" spans="1:1" ht="15.75" customHeight="1" x14ac:dyDescent="0.2">
      <c r="A654" s="124"/>
    </row>
    <row r="655" spans="1:1" ht="15.75" customHeight="1" x14ac:dyDescent="0.2">
      <c r="A655" s="124"/>
    </row>
    <row r="656" spans="1:1" ht="15.75" customHeight="1" x14ac:dyDescent="0.2">
      <c r="A656" s="124"/>
    </row>
    <row r="657" spans="1:1" ht="15.75" customHeight="1" x14ac:dyDescent="0.2">
      <c r="A657" s="124"/>
    </row>
    <row r="658" spans="1:1" ht="15.75" customHeight="1" x14ac:dyDescent="0.2">
      <c r="A658" s="124"/>
    </row>
    <row r="659" spans="1:1" ht="15.75" customHeight="1" x14ac:dyDescent="0.2">
      <c r="A659" s="124"/>
    </row>
    <row r="660" spans="1:1" ht="15.75" customHeight="1" x14ac:dyDescent="0.2">
      <c r="A660" s="124"/>
    </row>
    <row r="661" spans="1:1" ht="15.75" customHeight="1" x14ac:dyDescent="0.2">
      <c r="A661" s="124"/>
    </row>
    <row r="662" spans="1:1" ht="15.75" customHeight="1" x14ac:dyDescent="0.2">
      <c r="A662" s="124"/>
    </row>
    <row r="663" spans="1:1" ht="15.75" customHeight="1" x14ac:dyDescent="0.2">
      <c r="A663" s="124"/>
    </row>
    <row r="664" spans="1:1" ht="15.75" customHeight="1" x14ac:dyDescent="0.2">
      <c r="A664" s="124"/>
    </row>
    <row r="665" spans="1:1" ht="15.75" customHeight="1" x14ac:dyDescent="0.2">
      <c r="A665" s="124"/>
    </row>
    <row r="666" spans="1:1" ht="15.75" customHeight="1" x14ac:dyDescent="0.2">
      <c r="A666" s="124"/>
    </row>
    <row r="667" spans="1:1" ht="15.75" customHeight="1" x14ac:dyDescent="0.2">
      <c r="A667" s="124"/>
    </row>
    <row r="668" spans="1:1" ht="15.75" customHeight="1" x14ac:dyDescent="0.2">
      <c r="A668" s="124"/>
    </row>
    <row r="669" spans="1:1" ht="15.75" customHeight="1" x14ac:dyDescent="0.2">
      <c r="A669" s="124"/>
    </row>
    <row r="670" spans="1:1" ht="15.75" customHeight="1" x14ac:dyDescent="0.2">
      <c r="A670" s="124"/>
    </row>
    <row r="671" spans="1:1" ht="15.75" customHeight="1" x14ac:dyDescent="0.2">
      <c r="A671" s="124"/>
    </row>
    <row r="672" spans="1:1" ht="15.75" customHeight="1" x14ac:dyDescent="0.2">
      <c r="A672" s="124"/>
    </row>
    <row r="673" spans="1:1" ht="15.75" customHeight="1" x14ac:dyDescent="0.2">
      <c r="A673" s="124"/>
    </row>
    <row r="674" spans="1:1" ht="15.75" customHeight="1" x14ac:dyDescent="0.2">
      <c r="A674" s="124"/>
    </row>
    <row r="675" spans="1:1" ht="15.75" customHeight="1" x14ac:dyDescent="0.2">
      <c r="A675" s="124"/>
    </row>
    <row r="676" spans="1:1" ht="15.75" customHeight="1" x14ac:dyDescent="0.2">
      <c r="A676" s="124"/>
    </row>
    <row r="677" spans="1:1" ht="15.75" customHeight="1" x14ac:dyDescent="0.2">
      <c r="A677" s="124"/>
    </row>
    <row r="678" spans="1:1" ht="15.75" customHeight="1" x14ac:dyDescent="0.2">
      <c r="A678" s="124"/>
    </row>
    <row r="679" spans="1:1" ht="15.75" customHeight="1" x14ac:dyDescent="0.2">
      <c r="A679" s="124"/>
    </row>
    <row r="680" spans="1:1" ht="15.75" customHeight="1" x14ac:dyDescent="0.2">
      <c r="A680" s="124"/>
    </row>
    <row r="681" spans="1:1" ht="15.75" customHeight="1" x14ac:dyDescent="0.2">
      <c r="A681" s="124"/>
    </row>
    <row r="682" spans="1:1" ht="15.75" customHeight="1" x14ac:dyDescent="0.2">
      <c r="A682" s="124"/>
    </row>
    <row r="683" spans="1:1" ht="15.75" customHeight="1" x14ac:dyDescent="0.2">
      <c r="A683" s="124"/>
    </row>
    <row r="684" spans="1:1" ht="15.75" customHeight="1" x14ac:dyDescent="0.2">
      <c r="A684" s="124"/>
    </row>
    <row r="685" spans="1:1" ht="15.75" customHeight="1" x14ac:dyDescent="0.2">
      <c r="A685" s="124"/>
    </row>
    <row r="686" spans="1:1" ht="15.75" customHeight="1" x14ac:dyDescent="0.2">
      <c r="A686" s="124"/>
    </row>
    <row r="687" spans="1:1" ht="15.75" customHeight="1" x14ac:dyDescent="0.2">
      <c r="A687" s="124"/>
    </row>
    <row r="688" spans="1:1" ht="15.75" customHeight="1" x14ac:dyDescent="0.2">
      <c r="A688" s="124"/>
    </row>
    <row r="689" spans="1:1" ht="15.75" customHeight="1" x14ac:dyDescent="0.2">
      <c r="A689" s="124"/>
    </row>
    <row r="690" spans="1:1" ht="15.75" customHeight="1" x14ac:dyDescent="0.2">
      <c r="A690" s="124"/>
    </row>
    <row r="691" spans="1:1" ht="15.75" customHeight="1" x14ac:dyDescent="0.2">
      <c r="A691" s="124"/>
    </row>
    <row r="692" spans="1:1" ht="15.75" customHeight="1" x14ac:dyDescent="0.2">
      <c r="A692" s="124"/>
    </row>
    <row r="693" spans="1:1" ht="15.75" customHeight="1" x14ac:dyDescent="0.2">
      <c r="A693" s="124"/>
    </row>
    <row r="694" spans="1:1" ht="15.75" customHeight="1" x14ac:dyDescent="0.2">
      <c r="A694" s="124"/>
    </row>
    <row r="695" spans="1:1" ht="15.75" customHeight="1" x14ac:dyDescent="0.2">
      <c r="A695" s="124"/>
    </row>
    <row r="696" spans="1:1" ht="15.75" customHeight="1" x14ac:dyDescent="0.2">
      <c r="A696" s="124"/>
    </row>
    <row r="697" spans="1:1" ht="15.75" customHeight="1" x14ac:dyDescent="0.2">
      <c r="A697" s="124"/>
    </row>
    <row r="698" spans="1:1" ht="15.75" customHeight="1" x14ac:dyDescent="0.2">
      <c r="A698" s="124"/>
    </row>
    <row r="699" spans="1:1" ht="15.75" customHeight="1" x14ac:dyDescent="0.2">
      <c r="A699" s="124"/>
    </row>
    <row r="700" spans="1:1" ht="15.75" customHeight="1" x14ac:dyDescent="0.2">
      <c r="A700" s="124"/>
    </row>
    <row r="701" spans="1:1" ht="15.75" customHeight="1" x14ac:dyDescent="0.2">
      <c r="A701" s="124"/>
    </row>
    <row r="702" spans="1:1" ht="15.75" customHeight="1" x14ac:dyDescent="0.2">
      <c r="A702" s="124"/>
    </row>
    <row r="703" spans="1:1" ht="15.75" customHeight="1" x14ac:dyDescent="0.2">
      <c r="A703" s="124"/>
    </row>
    <row r="704" spans="1:1" ht="15.75" customHeight="1" x14ac:dyDescent="0.2">
      <c r="A704" s="124"/>
    </row>
    <row r="705" spans="1:1" ht="15.75" customHeight="1" x14ac:dyDescent="0.2">
      <c r="A705" s="124"/>
    </row>
    <row r="706" spans="1:1" ht="15.75" customHeight="1" x14ac:dyDescent="0.2">
      <c r="A706" s="124"/>
    </row>
    <row r="707" spans="1:1" ht="15.75" customHeight="1" x14ac:dyDescent="0.2">
      <c r="A707" s="124"/>
    </row>
    <row r="708" spans="1:1" ht="15.75" customHeight="1" x14ac:dyDescent="0.2">
      <c r="A708" s="124"/>
    </row>
    <row r="709" spans="1:1" ht="15.75" customHeight="1" x14ac:dyDescent="0.2">
      <c r="A709" s="124"/>
    </row>
    <row r="710" spans="1:1" ht="15.75" customHeight="1" x14ac:dyDescent="0.2">
      <c r="A710" s="124"/>
    </row>
    <row r="711" spans="1:1" ht="15.75" customHeight="1" x14ac:dyDescent="0.2">
      <c r="A711" s="124"/>
    </row>
    <row r="712" spans="1:1" ht="15.75" customHeight="1" x14ac:dyDescent="0.2">
      <c r="A712" s="124"/>
    </row>
    <row r="713" spans="1:1" ht="15.75" customHeight="1" x14ac:dyDescent="0.2">
      <c r="A713" s="124"/>
    </row>
    <row r="714" spans="1:1" ht="15.75" customHeight="1" x14ac:dyDescent="0.2">
      <c r="A714" s="124"/>
    </row>
    <row r="715" spans="1:1" ht="15.75" customHeight="1" x14ac:dyDescent="0.2">
      <c r="A715" s="124"/>
    </row>
    <row r="716" spans="1:1" ht="15.75" customHeight="1" x14ac:dyDescent="0.2">
      <c r="A716" s="124"/>
    </row>
    <row r="717" spans="1:1" ht="15.75" customHeight="1" x14ac:dyDescent="0.2">
      <c r="A717" s="124"/>
    </row>
    <row r="718" spans="1:1" ht="15.75" customHeight="1" x14ac:dyDescent="0.2">
      <c r="A718" s="124"/>
    </row>
    <row r="719" spans="1:1" ht="15.75" customHeight="1" x14ac:dyDescent="0.2">
      <c r="A719" s="124"/>
    </row>
    <row r="720" spans="1:1" ht="15.75" customHeight="1" x14ac:dyDescent="0.2">
      <c r="A720" s="124"/>
    </row>
    <row r="721" spans="1:1" ht="15.75" customHeight="1" x14ac:dyDescent="0.2">
      <c r="A721" s="124"/>
    </row>
    <row r="722" spans="1:1" ht="15.75" customHeight="1" x14ac:dyDescent="0.2">
      <c r="A722" s="124"/>
    </row>
    <row r="723" spans="1:1" ht="15.75" customHeight="1" x14ac:dyDescent="0.2">
      <c r="A723" s="124"/>
    </row>
    <row r="724" spans="1:1" ht="15.75" customHeight="1" x14ac:dyDescent="0.2">
      <c r="A724" s="124"/>
    </row>
    <row r="725" spans="1:1" ht="15.75" customHeight="1" x14ac:dyDescent="0.2">
      <c r="A725" s="124"/>
    </row>
    <row r="726" spans="1:1" ht="15.75" customHeight="1" x14ac:dyDescent="0.2">
      <c r="A726" s="124"/>
    </row>
    <row r="727" spans="1:1" ht="15.75" customHeight="1" x14ac:dyDescent="0.2">
      <c r="A727" s="124"/>
    </row>
    <row r="728" spans="1:1" ht="15.75" customHeight="1" x14ac:dyDescent="0.2">
      <c r="A728" s="124"/>
    </row>
    <row r="729" spans="1:1" ht="15.75" customHeight="1" x14ac:dyDescent="0.2">
      <c r="A729" s="124"/>
    </row>
    <row r="730" spans="1:1" ht="15.75" customHeight="1" x14ac:dyDescent="0.2">
      <c r="A730" s="124"/>
    </row>
    <row r="731" spans="1:1" ht="15.75" customHeight="1" x14ac:dyDescent="0.2">
      <c r="A731" s="124"/>
    </row>
    <row r="732" spans="1:1" ht="15.75" customHeight="1" x14ac:dyDescent="0.2">
      <c r="A732" s="124"/>
    </row>
    <row r="733" spans="1:1" ht="15.75" customHeight="1" x14ac:dyDescent="0.2">
      <c r="A733" s="124"/>
    </row>
    <row r="734" spans="1:1" ht="15.75" customHeight="1" x14ac:dyDescent="0.2">
      <c r="A734" s="124"/>
    </row>
    <row r="735" spans="1:1" ht="15.75" customHeight="1" x14ac:dyDescent="0.2">
      <c r="A735" s="124"/>
    </row>
    <row r="736" spans="1:1" ht="15.75" customHeight="1" x14ac:dyDescent="0.2">
      <c r="A736" s="124"/>
    </row>
    <row r="737" spans="1:1" ht="15.75" customHeight="1" x14ac:dyDescent="0.2">
      <c r="A737" s="124"/>
    </row>
    <row r="738" spans="1:1" ht="15.75" customHeight="1" x14ac:dyDescent="0.2">
      <c r="A738" s="124"/>
    </row>
    <row r="739" spans="1:1" ht="15.75" customHeight="1" x14ac:dyDescent="0.2">
      <c r="A739" s="124"/>
    </row>
    <row r="740" spans="1:1" ht="15.75" customHeight="1" x14ac:dyDescent="0.2">
      <c r="A740" s="124"/>
    </row>
    <row r="741" spans="1:1" ht="15.75" customHeight="1" x14ac:dyDescent="0.2">
      <c r="A741" s="124"/>
    </row>
    <row r="742" spans="1:1" ht="15.75" customHeight="1" x14ac:dyDescent="0.2">
      <c r="A742" s="124"/>
    </row>
    <row r="743" spans="1:1" ht="15.75" customHeight="1" x14ac:dyDescent="0.2">
      <c r="A743" s="124"/>
    </row>
    <row r="744" spans="1:1" ht="15.75" customHeight="1" x14ac:dyDescent="0.2">
      <c r="A744" s="124"/>
    </row>
    <row r="745" spans="1:1" ht="15.75" customHeight="1" x14ac:dyDescent="0.2">
      <c r="A745" s="124"/>
    </row>
    <row r="746" spans="1:1" ht="15.75" customHeight="1" x14ac:dyDescent="0.2">
      <c r="A746" s="124"/>
    </row>
    <row r="747" spans="1:1" ht="15.75" customHeight="1" x14ac:dyDescent="0.2">
      <c r="A747" s="124"/>
    </row>
    <row r="748" spans="1:1" ht="15.75" customHeight="1" x14ac:dyDescent="0.2">
      <c r="A748" s="124"/>
    </row>
    <row r="749" spans="1:1" ht="15.75" customHeight="1" x14ac:dyDescent="0.2">
      <c r="A749" s="124"/>
    </row>
    <row r="750" spans="1:1" ht="15.75" customHeight="1" x14ac:dyDescent="0.2">
      <c r="A750" s="124"/>
    </row>
    <row r="751" spans="1:1" ht="15.75" customHeight="1" x14ac:dyDescent="0.2">
      <c r="A751" s="124"/>
    </row>
    <row r="752" spans="1:1" ht="15.75" customHeight="1" x14ac:dyDescent="0.2">
      <c r="A752" s="124"/>
    </row>
    <row r="753" spans="1:1" ht="15.75" customHeight="1" x14ac:dyDescent="0.2">
      <c r="A753" s="124"/>
    </row>
    <row r="754" spans="1:1" ht="15.75" customHeight="1" x14ac:dyDescent="0.2">
      <c r="A754" s="124"/>
    </row>
    <row r="755" spans="1:1" ht="15.75" customHeight="1" x14ac:dyDescent="0.2">
      <c r="A755" s="124"/>
    </row>
    <row r="756" spans="1:1" ht="15.75" customHeight="1" x14ac:dyDescent="0.2">
      <c r="A756" s="124"/>
    </row>
    <row r="757" spans="1:1" ht="15.75" customHeight="1" x14ac:dyDescent="0.2">
      <c r="A757" s="124"/>
    </row>
    <row r="758" spans="1:1" ht="15.75" customHeight="1" x14ac:dyDescent="0.2">
      <c r="A758" s="124"/>
    </row>
    <row r="759" spans="1:1" ht="15.75" customHeight="1" x14ac:dyDescent="0.2">
      <c r="A759" s="124"/>
    </row>
    <row r="760" spans="1:1" ht="15.75" customHeight="1" x14ac:dyDescent="0.2">
      <c r="A760" s="124"/>
    </row>
    <row r="761" spans="1:1" ht="15.75" customHeight="1" x14ac:dyDescent="0.2">
      <c r="A761" s="124"/>
    </row>
    <row r="762" spans="1:1" ht="15.75" customHeight="1" x14ac:dyDescent="0.2">
      <c r="A762" s="124"/>
    </row>
    <row r="763" spans="1:1" ht="15.75" customHeight="1" x14ac:dyDescent="0.2">
      <c r="A763" s="124"/>
    </row>
    <row r="764" spans="1:1" ht="15.75" customHeight="1" x14ac:dyDescent="0.2">
      <c r="A764" s="124"/>
    </row>
    <row r="765" spans="1:1" ht="15.75" customHeight="1" x14ac:dyDescent="0.2">
      <c r="A765" s="124"/>
    </row>
    <row r="766" spans="1:1" ht="15.75" customHeight="1" x14ac:dyDescent="0.2">
      <c r="A766" s="124"/>
    </row>
    <row r="767" spans="1:1" ht="15.75" customHeight="1" x14ac:dyDescent="0.2">
      <c r="A767" s="124"/>
    </row>
    <row r="768" spans="1:1" ht="15.75" customHeight="1" x14ac:dyDescent="0.2">
      <c r="A768" s="124"/>
    </row>
    <row r="769" spans="1:1" ht="15.75" customHeight="1" x14ac:dyDescent="0.2">
      <c r="A769" s="124"/>
    </row>
    <row r="770" spans="1:1" ht="15.75" customHeight="1" x14ac:dyDescent="0.2">
      <c r="A770" s="124"/>
    </row>
    <row r="771" spans="1:1" ht="15.75" customHeight="1" x14ac:dyDescent="0.2">
      <c r="A771" s="124"/>
    </row>
    <row r="772" spans="1:1" ht="15.75" customHeight="1" x14ac:dyDescent="0.2">
      <c r="A772" s="124"/>
    </row>
    <row r="773" spans="1:1" ht="15.75" customHeight="1" x14ac:dyDescent="0.2">
      <c r="A773" s="124"/>
    </row>
    <row r="774" spans="1:1" ht="15.75" customHeight="1" x14ac:dyDescent="0.2">
      <c r="A774" s="124"/>
    </row>
    <row r="775" spans="1:1" ht="15.75" customHeight="1" x14ac:dyDescent="0.2">
      <c r="A775" s="124"/>
    </row>
    <row r="776" spans="1:1" ht="15.75" customHeight="1" x14ac:dyDescent="0.2">
      <c r="A776" s="124"/>
    </row>
    <row r="777" spans="1:1" ht="15.75" customHeight="1" x14ac:dyDescent="0.2">
      <c r="A777" s="124"/>
    </row>
    <row r="778" spans="1:1" ht="15.75" customHeight="1" x14ac:dyDescent="0.2">
      <c r="A778" s="124"/>
    </row>
    <row r="779" spans="1:1" ht="15.75" customHeight="1" x14ac:dyDescent="0.2">
      <c r="A779" s="124"/>
    </row>
    <row r="780" spans="1:1" ht="15.75" customHeight="1" x14ac:dyDescent="0.2">
      <c r="A780" s="124"/>
    </row>
    <row r="781" spans="1:1" ht="15.75" customHeight="1" x14ac:dyDescent="0.2">
      <c r="A781" s="124"/>
    </row>
    <row r="782" spans="1:1" ht="15.75" customHeight="1" x14ac:dyDescent="0.2">
      <c r="A782" s="124"/>
    </row>
    <row r="783" spans="1:1" ht="15.75" customHeight="1" x14ac:dyDescent="0.2">
      <c r="A783" s="124"/>
    </row>
    <row r="784" spans="1:1" ht="15.75" customHeight="1" x14ac:dyDescent="0.2">
      <c r="A784" s="124"/>
    </row>
    <row r="785" spans="1:1" ht="15.75" customHeight="1" x14ac:dyDescent="0.2">
      <c r="A785" s="124"/>
    </row>
    <row r="786" spans="1:1" ht="15.75" customHeight="1" x14ac:dyDescent="0.2">
      <c r="A786" s="124"/>
    </row>
    <row r="787" spans="1:1" ht="15.75" customHeight="1" x14ac:dyDescent="0.2">
      <c r="A787" s="124"/>
    </row>
    <row r="788" spans="1:1" ht="15.75" customHeight="1" x14ac:dyDescent="0.2">
      <c r="A788" s="124"/>
    </row>
    <row r="789" spans="1:1" ht="15.75" customHeight="1" x14ac:dyDescent="0.2">
      <c r="A789" s="124"/>
    </row>
    <row r="790" spans="1:1" ht="15.75" customHeight="1" x14ac:dyDescent="0.2">
      <c r="A790" s="124"/>
    </row>
    <row r="791" spans="1:1" ht="15.75" customHeight="1" x14ac:dyDescent="0.2">
      <c r="A791" s="124"/>
    </row>
    <row r="792" spans="1:1" ht="15.75" customHeight="1" x14ac:dyDescent="0.2">
      <c r="A792" s="124"/>
    </row>
    <row r="793" spans="1:1" ht="15.75" customHeight="1" x14ac:dyDescent="0.2">
      <c r="A793" s="124"/>
    </row>
    <row r="794" spans="1:1" ht="15.75" customHeight="1" x14ac:dyDescent="0.2">
      <c r="A794" s="124"/>
    </row>
    <row r="795" spans="1:1" ht="15.75" customHeight="1" x14ac:dyDescent="0.2">
      <c r="A795" s="124"/>
    </row>
    <row r="796" spans="1:1" ht="15.75" customHeight="1" x14ac:dyDescent="0.2">
      <c r="A796" s="124"/>
    </row>
    <row r="797" spans="1:1" ht="15.75" customHeight="1" x14ac:dyDescent="0.2">
      <c r="A797" s="124"/>
    </row>
    <row r="798" spans="1:1" ht="15.75" customHeight="1" x14ac:dyDescent="0.2">
      <c r="A798" s="124"/>
    </row>
    <row r="799" spans="1:1" ht="15.75" customHeight="1" x14ac:dyDescent="0.2">
      <c r="A799" s="124"/>
    </row>
    <row r="800" spans="1:1" ht="15.75" customHeight="1" x14ac:dyDescent="0.2">
      <c r="A800" s="124"/>
    </row>
    <row r="801" spans="1:1" ht="15.75" customHeight="1" x14ac:dyDescent="0.2">
      <c r="A801" s="124"/>
    </row>
    <row r="802" spans="1:1" ht="15.75" customHeight="1" x14ac:dyDescent="0.2">
      <c r="A802" s="124"/>
    </row>
    <row r="803" spans="1:1" ht="15.75" customHeight="1" x14ac:dyDescent="0.2">
      <c r="A803" s="124"/>
    </row>
    <row r="804" spans="1:1" ht="15.75" customHeight="1" x14ac:dyDescent="0.2">
      <c r="A804" s="124"/>
    </row>
    <row r="805" spans="1:1" ht="15.75" customHeight="1" x14ac:dyDescent="0.2">
      <c r="A805" s="124"/>
    </row>
    <row r="806" spans="1:1" ht="15.75" customHeight="1" x14ac:dyDescent="0.2">
      <c r="A806" s="124"/>
    </row>
    <row r="807" spans="1:1" ht="15.75" customHeight="1" x14ac:dyDescent="0.2">
      <c r="A807" s="124"/>
    </row>
    <row r="808" spans="1:1" ht="15.75" customHeight="1" x14ac:dyDescent="0.2">
      <c r="A808" s="124"/>
    </row>
    <row r="809" spans="1:1" ht="15.75" customHeight="1" x14ac:dyDescent="0.2">
      <c r="A809" s="124"/>
    </row>
    <row r="810" spans="1:1" ht="15.75" customHeight="1" x14ac:dyDescent="0.2">
      <c r="A810" s="124"/>
    </row>
    <row r="811" spans="1:1" ht="15.75" customHeight="1" x14ac:dyDescent="0.2">
      <c r="A811" s="124"/>
    </row>
    <row r="812" spans="1:1" ht="15.75" customHeight="1" x14ac:dyDescent="0.2">
      <c r="A812" s="124"/>
    </row>
    <row r="813" spans="1:1" ht="15.75" customHeight="1" x14ac:dyDescent="0.2">
      <c r="A813" s="124"/>
    </row>
    <row r="814" spans="1:1" ht="15.75" customHeight="1" x14ac:dyDescent="0.2">
      <c r="A814" s="124"/>
    </row>
    <row r="815" spans="1:1" ht="15.75" customHeight="1" x14ac:dyDescent="0.2">
      <c r="A815" s="124"/>
    </row>
    <row r="816" spans="1:1" ht="15.75" customHeight="1" x14ac:dyDescent="0.2">
      <c r="A816" s="124"/>
    </row>
    <row r="817" spans="1:1" ht="15.75" customHeight="1" x14ac:dyDescent="0.2">
      <c r="A817" s="124"/>
    </row>
    <row r="818" spans="1:1" ht="15.75" customHeight="1" x14ac:dyDescent="0.2">
      <c r="A818" s="124"/>
    </row>
    <row r="819" spans="1:1" ht="15.75" customHeight="1" x14ac:dyDescent="0.2">
      <c r="A819" s="124"/>
    </row>
    <row r="820" spans="1:1" ht="15.75" customHeight="1" x14ac:dyDescent="0.2">
      <c r="A820" s="124"/>
    </row>
    <row r="821" spans="1:1" ht="15.75" customHeight="1" x14ac:dyDescent="0.2">
      <c r="A821" s="124"/>
    </row>
    <row r="822" spans="1:1" ht="15.75" customHeight="1" x14ac:dyDescent="0.2">
      <c r="A822" s="124"/>
    </row>
    <row r="823" spans="1:1" ht="15.75" customHeight="1" x14ac:dyDescent="0.2">
      <c r="A823" s="124"/>
    </row>
    <row r="824" spans="1:1" ht="15.75" customHeight="1" x14ac:dyDescent="0.2">
      <c r="A824" s="124"/>
    </row>
    <row r="825" spans="1:1" ht="15.75" customHeight="1" x14ac:dyDescent="0.2">
      <c r="A825" s="124"/>
    </row>
    <row r="826" spans="1:1" ht="15.75" customHeight="1" x14ac:dyDescent="0.2">
      <c r="A826" s="124"/>
    </row>
    <row r="827" spans="1:1" ht="15.75" customHeight="1" x14ac:dyDescent="0.2">
      <c r="A827" s="124"/>
    </row>
    <row r="828" spans="1:1" ht="15.75" customHeight="1" x14ac:dyDescent="0.2">
      <c r="A828" s="124"/>
    </row>
    <row r="829" spans="1:1" ht="15.75" customHeight="1" x14ac:dyDescent="0.2">
      <c r="A829" s="124"/>
    </row>
    <row r="830" spans="1:1" ht="15.75" customHeight="1" x14ac:dyDescent="0.2">
      <c r="A830" s="124"/>
    </row>
    <row r="831" spans="1:1" ht="15.75" customHeight="1" x14ac:dyDescent="0.2">
      <c r="A831" s="124"/>
    </row>
    <row r="832" spans="1:1" ht="15.75" customHeight="1" x14ac:dyDescent="0.2">
      <c r="A832" s="124"/>
    </row>
    <row r="833" spans="1:1" ht="15.75" customHeight="1" x14ac:dyDescent="0.2">
      <c r="A833" s="124"/>
    </row>
    <row r="834" spans="1:1" ht="15.75" customHeight="1" x14ac:dyDescent="0.2">
      <c r="A834" s="124"/>
    </row>
    <row r="835" spans="1:1" ht="15.75" customHeight="1" x14ac:dyDescent="0.2">
      <c r="A835" s="124"/>
    </row>
    <row r="836" spans="1:1" ht="15.75" customHeight="1" x14ac:dyDescent="0.2">
      <c r="A836" s="124"/>
    </row>
    <row r="837" spans="1:1" ht="15.75" customHeight="1" x14ac:dyDescent="0.2">
      <c r="A837" s="124"/>
    </row>
    <row r="838" spans="1:1" ht="15.75" customHeight="1" x14ac:dyDescent="0.2">
      <c r="A838" s="124"/>
    </row>
    <row r="839" spans="1:1" ht="15.75" customHeight="1" x14ac:dyDescent="0.2">
      <c r="A839" s="124"/>
    </row>
    <row r="840" spans="1:1" ht="15.75" customHeight="1" x14ac:dyDescent="0.2">
      <c r="A840" s="124"/>
    </row>
    <row r="841" spans="1:1" ht="15.75" customHeight="1" x14ac:dyDescent="0.2">
      <c r="A841" s="124"/>
    </row>
    <row r="842" spans="1:1" ht="15.75" customHeight="1" x14ac:dyDescent="0.2">
      <c r="A842" s="124"/>
    </row>
    <row r="843" spans="1:1" ht="15.75" customHeight="1" x14ac:dyDescent="0.2">
      <c r="A843" s="124"/>
    </row>
    <row r="844" spans="1:1" ht="15.75" customHeight="1" x14ac:dyDescent="0.2">
      <c r="A844" s="124"/>
    </row>
    <row r="845" spans="1:1" ht="15.75" customHeight="1" x14ac:dyDescent="0.2">
      <c r="A845" s="124"/>
    </row>
    <row r="846" spans="1:1" ht="15.75" customHeight="1" x14ac:dyDescent="0.2">
      <c r="A846" s="124"/>
    </row>
    <row r="847" spans="1:1" ht="15.75" customHeight="1" x14ac:dyDescent="0.2">
      <c r="A847" s="124"/>
    </row>
    <row r="848" spans="1:1" ht="15.75" customHeight="1" x14ac:dyDescent="0.2">
      <c r="A848" s="124"/>
    </row>
    <row r="849" spans="1:1" ht="15.75" customHeight="1" x14ac:dyDescent="0.2">
      <c r="A849" s="124"/>
    </row>
    <row r="850" spans="1:1" ht="15.75" customHeight="1" x14ac:dyDescent="0.2">
      <c r="A850" s="124"/>
    </row>
    <row r="851" spans="1:1" ht="15.75" customHeight="1" x14ac:dyDescent="0.2">
      <c r="A851" s="124"/>
    </row>
    <row r="852" spans="1:1" ht="15.75" customHeight="1" x14ac:dyDescent="0.2">
      <c r="A852" s="124"/>
    </row>
    <row r="853" spans="1:1" ht="15.75" customHeight="1" x14ac:dyDescent="0.2">
      <c r="A853" s="124"/>
    </row>
    <row r="854" spans="1:1" ht="15.75" customHeight="1" x14ac:dyDescent="0.2">
      <c r="A854" s="124"/>
    </row>
    <row r="855" spans="1:1" ht="15.75" customHeight="1" x14ac:dyDescent="0.2">
      <c r="A855" s="124"/>
    </row>
    <row r="856" spans="1:1" ht="15.75" customHeight="1" x14ac:dyDescent="0.2">
      <c r="A856" s="124"/>
    </row>
    <row r="857" spans="1:1" ht="15.75" customHeight="1" x14ac:dyDescent="0.2">
      <c r="A857" s="124"/>
    </row>
    <row r="858" spans="1:1" ht="15.75" customHeight="1" x14ac:dyDescent="0.2">
      <c r="A858" s="124"/>
    </row>
    <row r="859" spans="1:1" ht="15.75" customHeight="1" x14ac:dyDescent="0.2">
      <c r="A859" s="124"/>
    </row>
    <row r="860" spans="1:1" ht="15.75" customHeight="1" x14ac:dyDescent="0.2">
      <c r="A860" s="124"/>
    </row>
    <row r="861" spans="1:1" ht="15.75" customHeight="1" x14ac:dyDescent="0.2">
      <c r="A861" s="124"/>
    </row>
    <row r="862" spans="1:1" ht="15.75" customHeight="1" x14ac:dyDescent="0.2">
      <c r="A862" s="124"/>
    </row>
    <row r="863" spans="1:1" ht="15.75" customHeight="1" x14ac:dyDescent="0.2">
      <c r="A863" s="124"/>
    </row>
    <row r="864" spans="1:1" ht="15.75" customHeight="1" x14ac:dyDescent="0.2">
      <c r="A864" s="124"/>
    </row>
    <row r="865" spans="1:1" ht="15.75" customHeight="1" x14ac:dyDescent="0.2">
      <c r="A865" s="124"/>
    </row>
    <row r="866" spans="1:1" ht="15.75" customHeight="1" x14ac:dyDescent="0.2">
      <c r="A866" s="124"/>
    </row>
    <row r="867" spans="1:1" ht="15.75" customHeight="1" x14ac:dyDescent="0.2">
      <c r="A867" s="124"/>
    </row>
    <row r="868" spans="1:1" ht="15.75" customHeight="1" x14ac:dyDescent="0.2">
      <c r="A868" s="124"/>
    </row>
    <row r="869" spans="1:1" ht="15.75" customHeight="1" x14ac:dyDescent="0.2">
      <c r="A869" s="124"/>
    </row>
    <row r="870" spans="1:1" ht="15.75" customHeight="1" x14ac:dyDescent="0.2">
      <c r="A870" s="124"/>
    </row>
    <row r="871" spans="1:1" ht="15.75" customHeight="1" x14ac:dyDescent="0.2">
      <c r="A871" s="124"/>
    </row>
    <row r="872" spans="1:1" ht="15.75" customHeight="1" x14ac:dyDescent="0.2">
      <c r="A872" s="124"/>
    </row>
    <row r="873" spans="1:1" ht="15.75" customHeight="1" x14ac:dyDescent="0.2">
      <c r="A873" s="124"/>
    </row>
    <row r="874" spans="1:1" ht="15.75" customHeight="1" x14ac:dyDescent="0.2">
      <c r="A874" s="124"/>
    </row>
    <row r="875" spans="1:1" ht="15.75" customHeight="1" x14ac:dyDescent="0.2">
      <c r="A875" s="124"/>
    </row>
    <row r="876" spans="1:1" ht="15.75" customHeight="1" x14ac:dyDescent="0.2">
      <c r="A876" s="124"/>
    </row>
    <row r="877" spans="1:1" ht="15.75" customHeight="1" x14ac:dyDescent="0.2">
      <c r="A877" s="124"/>
    </row>
    <row r="878" spans="1:1" ht="15.75" customHeight="1" x14ac:dyDescent="0.2">
      <c r="A878" s="124"/>
    </row>
    <row r="879" spans="1:1" ht="15.75" customHeight="1" x14ac:dyDescent="0.2">
      <c r="A879" s="124"/>
    </row>
    <row r="880" spans="1:1" ht="15.75" customHeight="1" x14ac:dyDescent="0.2">
      <c r="A880" s="124"/>
    </row>
    <row r="881" spans="1:1" ht="15.75" customHeight="1" x14ac:dyDescent="0.2">
      <c r="A881" s="124"/>
    </row>
    <row r="882" spans="1:1" ht="15.75" customHeight="1" x14ac:dyDescent="0.2">
      <c r="A882" s="124"/>
    </row>
    <row r="883" spans="1:1" ht="15.75" customHeight="1" x14ac:dyDescent="0.2">
      <c r="A883" s="124"/>
    </row>
    <row r="884" spans="1:1" ht="15.75" customHeight="1" x14ac:dyDescent="0.2">
      <c r="A884" s="124"/>
    </row>
    <row r="885" spans="1:1" ht="15.75" customHeight="1" x14ac:dyDescent="0.2">
      <c r="A885" s="124"/>
    </row>
    <row r="886" spans="1:1" ht="15.75" customHeight="1" x14ac:dyDescent="0.2">
      <c r="A886" s="124"/>
    </row>
    <row r="887" spans="1:1" ht="15.75" customHeight="1" x14ac:dyDescent="0.2">
      <c r="A887" s="124"/>
    </row>
    <row r="888" spans="1:1" ht="15.75" customHeight="1" x14ac:dyDescent="0.2">
      <c r="A888" s="124"/>
    </row>
    <row r="889" spans="1:1" ht="15.75" customHeight="1" x14ac:dyDescent="0.2">
      <c r="A889" s="124"/>
    </row>
    <row r="890" spans="1:1" ht="15.75" customHeight="1" x14ac:dyDescent="0.2">
      <c r="A890" s="124"/>
    </row>
    <row r="891" spans="1:1" ht="15.75" customHeight="1" x14ac:dyDescent="0.2">
      <c r="A891" s="124"/>
    </row>
    <row r="892" spans="1:1" ht="15.75" customHeight="1" x14ac:dyDescent="0.2">
      <c r="A892" s="124"/>
    </row>
    <row r="893" spans="1:1" ht="15.75" customHeight="1" x14ac:dyDescent="0.2">
      <c r="A893" s="124"/>
    </row>
    <row r="894" spans="1:1" ht="15.75" customHeight="1" x14ac:dyDescent="0.2">
      <c r="A894" s="124"/>
    </row>
    <row r="895" spans="1:1" ht="15.75" customHeight="1" x14ac:dyDescent="0.2">
      <c r="A895" s="124"/>
    </row>
    <row r="896" spans="1:1" ht="15.75" customHeight="1" x14ac:dyDescent="0.2">
      <c r="A896" s="124"/>
    </row>
    <row r="897" spans="1:1" ht="15.75" customHeight="1" x14ac:dyDescent="0.2">
      <c r="A897" s="124"/>
    </row>
    <row r="898" spans="1:1" ht="15.75" customHeight="1" x14ac:dyDescent="0.2">
      <c r="A898" s="124"/>
    </row>
    <row r="899" spans="1:1" ht="15.75" customHeight="1" x14ac:dyDescent="0.2">
      <c r="A899" s="124"/>
    </row>
    <row r="900" spans="1:1" ht="15.75" customHeight="1" x14ac:dyDescent="0.2">
      <c r="A900" s="124"/>
    </row>
    <row r="901" spans="1:1" ht="15.75" customHeight="1" x14ac:dyDescent="0.2">
      <c r="A901" s="124"/>
    </row>
    <row r="902" spans="1:1" ht="15.75" customHeight="1" x14ac:dyDescent="0.2">
      <c r="A902" s="124"/>
    </row>
    <row r="903" spans="1:1" ht="15.75" customHeight="1" x14ac:dyDescent="0.2">
      <c r="A903" s="124"/>
    </row>
    <row r="904" spans="1:1" ht="15.75" customHeight="1" x14ac:dyDescent="0.2">
      <c r="A904" s="124"/>
    </row>
    <row r="905" spans="1:1" ht="15.75" customHeight="1" x14ac:dyDescent="0.2">
      <c r="A905" s="124"/>
    </row>
    <row r="906" spans="1:1" ht="15.75" customHeight="1" x14ac:dyDescent="0.2">
      <c r="A906" s="124"/>
    </row>
    <row r="907" spans="1:1" ht="15.75" customHeight="1" x14ac:dyDescent="0.2">
      <c r="A907" s="124"/>
    </row>
    <row r="908" spans="1:1" ht="15.75" customHeight="1" x14ac:dyDescent="0.2">
      <c r="A908" s="124"/>
    </row>
    <row r="909" spans="1:1" ht="15.75" customHeight="1" x14ac:dyDescent="0.2">
      <c r="A909" s="124"/>
    </row>
    <row r="910" spans="1:1" ht="15.75" customHeight="1" x14ac:dyDescent="0.2">
      <c r="A910" s="124"/>
    </row>
    <row r="911" spans="1:1" ht="15.75" customHeight="1" x14ac:dyDescent="0.2">
      <c r="A911" s="124"/>
    </row>
    <row r="912" spans="1:1" ht="15.75" customHeight="1" x14ac:dyDescent="0.2">
      <c r="A912" s="124"/>
    </row>
    <row r="913" spans="1:1" ht="15.75" customHeight="1" x14ac:dyDescent="0.2">
      <c r="A913" s="124"/>
    </row>
    <row r="914" spans="1:1" ht="15.75" customHeight="1" x14ac:dyDescent="0.2">
      <c r="A914" s="124"/>
    </row>
    <row r="915" spans="1:1" ht="15.75" customHeight="1" x14ac:dyDescent="0.2">
      <c r="A915" s="124"/>
    </row>
    <row r="916" spans="1:1" ht="15.75" customHeight="1" x14ac:dyDescent="0.2">
      <c r="A916" s="124"/>
    </row>
    <row r="917" spans="1:1" ht="15.75" customHeight="1" x14ac:dyDescent="0.2">
      <c r="A917" s="124"/>
    </row>
    <row r="918" spans="1:1" ht="15.75" customHeight="1" x14ac:dyDescent="0.2">
      <c r="A918" s="124"/>
    </row>
    <row r="919" spans="1:1" ht="15.75" customHeight="1" x14ac:dyDescent="0.2">
      <c r="A919" s="124"/>
    </row>
    <row r="920" spans="1:1" ht="15.75" customHeight="1" x14ac:dyDescent="0.2">
      <c r="A920" s="124"/>
    </row>
    <row r="921" spans="1:1" ht="15.75" customHeight="1" x14ac:dyDescent="0.2">
      <c r="A921" s="124"/>
    </row>
    <row r="922" spans="1:1" ht="15.75" customHeight="1" x14ac:dyDescent="0.2">
      <c r="A922" s="124"/>
    </row>
    <row r="923" spans="1:1" ht="15.75" customHeight="1" x14ac:dyDescent="0.2">
      <c r="A923" s="124"/>
    </row>
    <row r="924" spans="1:1" ht="15.75" customHeight="1" x14ac:dyDescent="0.2">
      <c r="A924" s="124"/>
    </row>
    <row r="925" spans="1:1" ht="15.75" customHeight="1" x14ac:dyDescent="0.2">
      <c r="A925" s="124"/>
    </row>
    <row r="926" spans="1:1" ht="15.75" customHeight="1" x14ac:dyDescent="0.2">
      <c r="A926" s="124"/>
    </row>
    <row r="927" spans="1:1" ht="15.75" customHeight="1" x14ac:dyDescent="0.2">
      <c r="A927" s="124"/>
    </row>
    <row r="928" spans="1:1" ht="15.75" customHeight="1" x14ac:dyDescent="0.2">
      <c r="A928" s="124"/>
    </row>
    <row r="929" spans="1:1" ht="15.75" customHeight="1" x14ac:dyDescent="0.2">
      <c r="A929" s="124"/>
    </row>
    <row r="930" spans="1:1" ht="15.75" customHeight="1" x14ac:dyDescent="0.2">
      <c r="A930" s="124"/>
    </row>
    <row r="931" spans="1:1" ht="15.75" customHeight="1" x14ac:dyDescent="0.2">
      <c r="A931" s="124"/>
    </row>
    <row r="932" spans="1:1" ht="15.75" customHeight="1" x14ac:dyDescent="0.2">
      <c r="A932" s="124"/>
    </row>
    <row r="933" spans="1:1" ht="15.75" customHeight="1" x14ac:dyDescent="0.2">
      <c r="A933" s="124"/>
    </row>
    <row r="934" spans="1:1" ht="15.75" customHeight="1" x14ac:dyDescent="0.2">
      <c r="A934" s="124"/>
    </row>
    <row r="935" spans="1:1" ht="15.75" customHeight="1" x14ac:dyDescent="0.2">
      <c r="A935" s="124"/>
    </row>
    <row r="936" spans="1:1" ht="15.75" customHeight="1" x14ac:dyDescent="0.2">
      <c r="A936" s="124"/>
    </row>
    <row r="937" spans="1:1" ht="15.75" customHeight="1" x14ac:dyDescent="0.2">
      <c r="A937" s="124"/>
    </row>
    <row r="938" spans="1:1" ht="15.75" customHeight="1" x14ac:dyDescent="0.2">
      <c r="A938" s="124"/>
    </row>
    <row r="939" spans="1:1" ht="15.75" customHeight="1" x14ac:dyDescent="0.2">
      <c r="A939" s="124"/>
    </row>
    <row r="940" spans="1:1" ht="15.75" customHeight="1" x14ac:dyDescent="0.2">
      <c r="A940" s="124"/>
    </row>
    <row r="941" spans="1:1" ht="15.75" customHeight="1" x14ac:dyDescent="0.2">
      <c r="A941" s="124"/>
    </row>
    <row r="942" spans="1:1" ht="15.75" customHeight="1" x14ac:dyDescent="0.2">
      <c r="A942" s="124"/>
    </row>
    <row r="943" spans="1:1" ht="15.75" customHeight="1" x14ac:dyDescent="0.2">
      <c r="A943" s="124"/>
    </row>
    <row r="944" spans="1:1" ht="15.75" customHeight="1" x14ac:dyDescent="0.2">
      <c r="A944" s="124"/>
    </row>
    <row r="945" spans="1:1" ht="15.75" customHeight="1" x14ac:dyDescent="0.2">
      <c r="A945" s="124"/>
    </row>
    <row r="946" spans="1:1" ht="15.75" customHeight="1" x14ac:dyDescent="0.2">
      <c r="A946" s="124"/>
    </row>
    <row r="947" spans="1:1" ht="15.75" customHeight="1" x14ac:dyDescent="0.2">
      <c r="A947" s="124"/>
    </row>
    <row r="948" spans="1:1" ht="15.75" customHeight="1" x14ac:dyDescent="0.2">
      <c r="A948" s="124"/>
    </row>
    <row r="949" spans="1:1" ht="15.75" customHeight="1" x14ac:dyDescent="0.2">
      <c r="A949" s="124"/>
    </row>
    <row r="950" spans="1:1" ht="15.75" customHeight="1" x14ac:dyDescent="0.2">
      <c r="A950" s="124"/>
    </row>
    <row r="951" spans="1:1" ht="15.75" customHeight="1" x14ac:dyDescent="0.2">
      <c r="A951" s="124"/>
    </row>
    <row r="952" spans="1:1" ht="15.75" customHeight="1" x14ac:dyDescent="0.2">
      <c r="A952" s="124"/>
    </row>
    <row r="953" spans="1:1" ht="15.75" customHeight="1" x14ac:dyDescent="0.2">
      <c r="A953" s="124"/>
    </row>
    <row r="954" spans="1:1" ht="15.75" customHeight="1" x14ac:dyDescent="0.2">
      <c r="A954" s="124"/>
    </row>
    <row r="955" spans="1:1" ht="15.75" customHeight="1" x14ac:dyDescent="0.2">
      <c r="A955" s="124"/>
    </row>
    <row r="956" spans="1:1" ht="15.75" customHeight="1" x14ac:dyDescent="0.2">
      <c r="A956" s="124"/>
    </row>
    <row r="957" spans="1:1" ht="15.75" customHeight="1" x14ac:dyDescent="0.2">
      <c r="A957" s="124"/>
    </row>
    <row r="958" spans="1:1" ht="15.75" customHeight="1" x14ac:dyDescent="0.2">
      <c r="A958" s="124"/>
    </row>
    <row r="959" spans="1:1" ht="15.75" customHeight="1" x14ac:dyDescent="0.2">
      <c r="A959" s="124"/>
    </row>
    <row r="960" spans="1:1" ht="15.75" customHeight="1" x14ac:dyDescent="0.2">
      <c r="A960" s="124"/>
    </row>
    <row r="961" spans="1:1" ht="15.75" customHeight="1" x14ac:dyDescent="0.2">
      <c r="A961" s="124"/>
    </row>
    <row r="962" spans="1:1" ht="15.75" customHeight="1" x14ac:dyDescent="0.2">
      <c r="A962" s="124"/>
    </row>
    <row r="963" spans="1:1" ht="15.75" customHeight="1" x14ac:dyDescent="0.2">
      <c r="A963" s="124"/>
    </row>
    <row r="964" spans="1:1" ht="15.75" customHeight="1" x14ac:dyDescent="0.2">
      <c r="A964" s="124"/>
    </row>
    <row r="965" spans="1:1" ht="15.75" customHeight="1" x14ac:dyDescent="0.2">
      <c r="A965" s="124"/>
    </row>
    <row r="966" spans="1:1" ht="15.75" customHeight="1" x14ac:dyDescent="0.2">
      <c r="A966" s="124"/>
    </row>
    <row r="967" spans="1:1" ht="15.75" customHeight="1" x14ac:dyDescent="0.2">
      <c r="A967" s="124"/>
    </row>
    <row r="968" spans="1:1" ht="15.75" customHeight="1" x14ac:dyDescent="0.2">
      <c r="A968" s="124"/>
    </row>
    <row r="969" spans="1:1" ht="15.75" customHeight="1" x14ac:dyDescent="0.2">
      <c r="A969" s="124"/>
    </row>
    <row r="970" spans="1:1" ht="15.75" customHeight="1" x14ac:dyDescent="0.2">
      <c r="A970" s="124"/>
    </row>
    <row r="971" spans="1:1" ht="15.75" customHeight="1" x14ac:dyDescent="0.2">
      <c r="A971" s="124"/>
    </row>
    <row r="972" spans="1:1" ht="15.75" customHeight="1" x14ac:dyDescent="0.2">
      <c r="A972" s="124"/>
    </row>
    <row r="973" spans="1:1" ht="15.75" customHeight="1" x14ac:dyDescent="0.2">
      <c r="A973" s="124"/>
    </row>
    <row r="974" spans="1:1" ht="15.75" customHeight="1" x14ac:dyDescent="0.2">
      <c r="A974" s="124"/>
    </row>
    <row r="975" spans="1:1" ht="15.75" customHeight="1" x14ac:dyDescent="0.2">
      <c r="A975" s="124"/>
    </row>
    <row r="976" spans="1:1" ht="15.75" customHeight="1" x14ac:dyDescent="0.2">
      <c r="A976" s="124"/>
    </row>
    <row r="977" spans="1:1" ht="15.75" customHeight="1" x14ac:dyDescent="0.2">
      <c r="A977" s="124"/>
    </row>
    <row r="978" spans="1:1" ht="15.75" customHeight="1" x14ac:dyDescent="0.2">
      <c r="A978" s="124"/>
    </row>
    <row r="979" spans="1:1" ht="15.75" customHeight="1" x14ac:dyDescent="0.2">
      <c r="A979" s="124"/>
    </row>
    <row r="980" spans="1:1" ht="15.75" customHeight="1" x14ac:dyDescent="0.2">
      <c r="A980" s="124"/>
    </row>
    <row r="981" spans="1:1" ht="15.75" customHeight="1" x14ac:dyDescent="0.2">
      <c r="A981" s="124"/>
    </row>
    <row r="982" spans="1:1" ht="15.75" customHeight="1" x14ac:dyDescent="0.2">
      <c r="A982" s="124"/>
    </row>
    <row r="983" spans="1:1" ht="15.75" customHeight="1" x14ac:dyDescent="0.2">
      <c r="A983" s="124"/>
    </row>
    <row r="984" spans="1:1" ht="15.75" customHeight="1" x14ac:dyDescent="0.2">
      <c r="A984" s="124"/>
    </row>
    <row r="985" spans="1:1" ht="15.75" customHeight="1" x14ac:dyDescent="0.2">
      <c r="A985" s="124"/>
    </row>
    <row r="986" spans="1:1" ht="15.75" customHeight="1" x14ac:dyDescent="0.2">
      <c r="A986" s="124"/>
    </row>
    <row r="987" spans="1:1" ht="15.75" customHeight="1" x14ac:dyDescent="0.2">
      <c r="A987" s="124"/>
    </row>
    <row r="988" spans="1:1" ht="15.75" customHeight="1" x14ac:dyDescent="0.2">
      <c r="A988" s="124"/>
    </row>
    <row r="989" spans="1:1" ht="15.75" customHeight="1" x14ac:dyDescent="0.2">
      <c r="A989" s="124"/>
    </row>
    <row r="990" spans="1:1" ht="15.75" customHeight="1" x14ac:dyDescent="0.2">
      <c r="A990" s="124"/>
    </row>
    <row r="991" spans="1:1" ht="15.75" customHeight="1" x14ac:dyDescent="0.2">
      <c r="A991" s="124"/>
    </row>
    <row r="992" spans="1:1" ht="15.75" customHeight="1" x14ac:dyDescent="0.2">
      <c r="A992" s="124"/>
    </row>
    <row r="993" spans="1:1" ht="15.75" customHeight="1" x14ac:dyDescent="0.2">
      <c r="A993" s="124"/>
    </row>
    <row r="994" spans="1:1" ht="15.75" customHeight="1" x14ac:dyDescent="0.2">
      <c r="A994" s="124"/>
    </row>
    <row r="995" spans="1:1" ht="15.75" customHeight="1" x14ac:dyDescent="0.2">
      <c r="A995" s="124"/>
    </row>
    <row r="996" spans="1:1" ht="15.75" customHeight="1" x14ac:dyDescent="0.2">
      <c r="A996" s="124"/>
    </row>
    <row r="997" spans="1:1" ht="15.75" customHeight="1" x14ac:dyDescent="0.2">
      <c r="A997" s="124"/>
    </row>
    <row r="998" spans="1:1" ht="15.75" customHeight="1" x14ac:dyDescent="0.2">
      <c r="A998" s="124"/>
    </row>
    <row r="999" spans="1:1" ht="15.75" customHeight="1" x14ac:dyDescent="0.2">
      <c r="A999" s="124"/>
    </row>
    <row r="1000" spans="1:1" ht="15.75" customHeight="1" x14ac:dyDescent="0.2">
      <c r="A1000" s="124"/>
    </row>
    <row r="1001" spans="1:1" ht="15.75" customHeight="1" x14ac:dyDescent="0.2">
      <c r="A1001" s="124"/>
    </row>
    <row r="1002" spans="1:1" ht="15.75" customHeight="1" x14ac:dyDescent="0.2">
      <c r="A1002" s="124"/>
    </row>
    <row r="1003" spans="1:1" ht="15.75" customHeight="1" x14ac:dyDescent="0.2">
      <c r="A1003" s="124"/>
    </row>
    <row r="1004" spans="1:1" ht="15.75" customHeight="1" x14ac:dyDescent="0.2">
      <c r="A1004" s="124"/>
    </row>
    <row r="1005" spans="1:1" ht="15.75" customHeight="1" x14ac:dyDescent="0.2">
      <c r="A1005" s="124"/>
    </row>
    <row r="1006" spans="1:1" ht="15.75" customHeight="1" x14ac:dyDescent="0.2">
      <c r="A1006" s="124"/>
    </row>
    <row r="1007" spans="1:1" ht="15.75" customHeight="1" x14ac:dyDescent="0.2">
      <c r="A1007" s="124"/>
    </row>
    <row r="1008" spans="1:1" ht="15.75" customHeight="1" x14ac:dyDescent="0.2">
      <c r="A1008" s="124"/>
    </row>
    <row r="1009" spans="1:1" ht="15.75" customHeight="1" x14ac:dyDescent="0.2">
      <c r="A1009" s="124"/>
    </row>
    <row r="1010" spans="1:1" ht="15.75" customHeight="1" x14ac:dyDescent="0.2">
      <c r="A1010" s="124"/>
    </row>
    <row r="1011" spans="1:1" ht="15.75" customHeight="1" x14ac:dyDescent="0.2">
      <c r="A1011" s="124"/>
    </row>
    <row r="1012" spans="1:1" ht="15.75" customHeight="1" x14ac:dyDescent="0.2">
      <c r="A1012" s="124"/>
    </row>
    <row r="1013" spans="1:1" ht="15.75" customHeight="1" x14ac:dyDescent="0.2">
      <c r="A1013" s="124"/>
    </row>
    <row r="1014" spans="1:1" ht="15.75" customHeight="1" x14ac:dyDescent="0.2">
      <c r="A1014" s="124"/>
    </row>
    <row r="1015" spans="1:1" ht="15.75" customHeight="1" x14ac:dyDescent="0.2">
      <c r="A1015" s="124"/>
    </row>
    <row r="1016" spans="1:1" ht="15.75" customHeight="1" x14ac:dyDescent="0.2">
      <c r="A1016" s="124"/>
    </row>
    <row r="1017" spans="1:1" ht="15.75" customHeight="1" x14ac:dyDescent="0.2">
      <c r="A1017" s="124"/>
    </row>
    <row r="1018" spans="1:1" ht="15.75" customHeight="1" x14ac:dyDescent="0.2">
      <c r="A1018" s="124"/>
    </row>
    <row r="1019" spans="1:1" ht="15.75" customHeight="1" x14ac:dyDescent="0.2">
      <c r="A1019" s="124"/>
    </row>
    <row r="1020" spans="1:1" ht="15.75" customHeight="1" x14ac:dyDescent="0.2">
      <c r="A1020" s="124"/>
    </row>
    <row r="1021" spans="1:1" ht="15.75" customHeight="1" x14ac:dyDescent="0.2">
      <c r="A1021" s="124"/>
    </row>
    <row r="1022" spans="1:1" ht="15.75" customHeight="1" x14ac:dyDescent="0.2">
      <c r="A1022" s="124"/>
    </row>
    <row r="1023" spans="1:1" ht="15.75" customHeight="1" x14ac:dyDescent="0.2">
      <c r="A1023" s="124"/>
    </row>
    <row r="1024" spans="1:1" ht="15.75" customHeight="1" x14ac:dyDescent="0.2">
      <c r="A1024" s="124"/>
    </row>
    <row r="1025" spans="1:1" ht="15.75" customHeight="1" x14ac:dyDescent="0.2">
      <c r="A1025" s="124"/>
    </row>
    <row r="1026" spans="1:1" ht="15.75" customHeight="1" x14ac:dyDescent="0.2">
      <c r="A1026" s="124"/>
    </row>
    <row r="1027" spans="1:1" ht="15.75" customHeight="1" x14ac:dyDescent="0.2">
      <c r="A1027" s="124"/>
    </row>
    <row r="1028" spans="1:1" ht="15.75" customHeight="1" x14ac:dyDescent="0.2">
      <c r="A1028" s="124"/>
    </row>
    <row r="1029" spans="1:1" ht="15.75" customHeight="1" x14ac:dyDescent="0.2">
      <c r="A1029" s="124"/>
    </row>
    <row r="1030" spans="1:1" ht="15.75" customHeight="1" x14ac:dyDescent="0.2">
      <c r="A1030" s="124"/>
    </row>
    <row r="1031" spans="1:1" ht="15.75" customHeight="1" x14ac:dyDescent="0.2">
      <c r="A1031" s="124"/>
    </row>
    <row r="1032" spans="1:1" ht="15.75" customHeight="1" x14ac:dyDescent="0.2">
      <c r="A1032" s="124"/>
    </row>
    <row r="1033" spans="1:1" ht="15.75" customHeight="1" x14ac:dyDescent="0.2">
      <c r="A1033" s="124"/>
    </row>
    <row r="1034" spans="1:1" ht="15.75" customHeight="1" x14ac:dyDescent="0.2">
      <c r="A1034" s="124"/>
    </row>
  </sheetData>
  <mergeCells count="2">
    <mergeCell ref="A1:N1"/>
    <mergeCell ref="Q1:R1"/>
  </mergeCells>
  <printOptions horizontalCentered="1" gridLines="1"/>
  <pageMargins left="0.7" right="0.7" top="0.75" bottom="0.75" header="0" footer="0"/>
  <pageSetup paperSize="3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Capital Related Productivity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Barrie, April</dc:creator>
  <cp:lastModifiedBy>Thompson, Shayne</cp:lastModifiedBy>
  <dcterms:created xsi:type="dcterms:W3CDTF">2025-10-06T07:00:04Z</dcterms:created>
  <dcterms:modified xsi:type="dcterms:W3CDTF">2025-10-08T20:54:08Z</dcterms:modified>
</cp:coreProperties>
</file>