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9020" windowHeight="9090"/>
  </bookViews>
  <sheets>
    <sheet name="Cover" sheetId="10" r:id="rId1"/>
    <sheet name="Rates" sheetId="1" r:id="rId2"/>
    <sheet name="Residential R1 Impact" sheetId="4" r:id="rId3"/>
    <sheet name="Residential R1 Impact (2)" sheetId="12" r:id="rId4"/>
    <sheet name="Residential R2 Impact" sheetId="6" r:id="rId5"/>
    <sheet name="Residential R2 Impact Interval" sheetId="7" r:id="rId6"/>
    <sheet name="Seasonal Impact" sheetId="8" r:id="rId7"/>
    <sheet name="Street Light Impact" sheetId="9" r:id="rId8"/>
    <sheet name="Summary" sheetId="11" r:id="rId9"/>
  </sheets>
  <calcPr calcId="125725" iterate="1" calcOnSave="0"/>
</workbook>
</file>

<file path=xl/calcChain.xml><?xml version="1.0" encoding="utf-8"?>
<calcChain xmlns="http://schemas.openxmlformats.org/spreadsheetml/2006/main">
  <c r="K9" i="11"/>
  <c r="J9"/>
  <c r="K7"/>
  <c r="J7"/>
  <c r="K6"/>
  <c r="J6"/>
  <c r="G30" i="9"/>
  <c r="H30"/>
  <c r="I30" s="1"/>
  <c r="D30"/>
  <c r="F30"/>
  <c r="C30"/>
  <c r="E30"/>
  <c r="B30"/>
  <c r="A30"/>
  <c r="G49" i="8"/>
  <c r="G50" s="1"/>
  <c r="D49"/>
  <c r="D50" s="1"/>
  <c r="G31"/>
  <c r="H31" s="1"/>
  <c r="I31" s="1"/>
  <c r="D31"/>
  <c r="F31"/>
  <c r="C31"/>
  <c r="E31"/>
  <c r="B31"/>
  <c r="A31"/>
  <c r="G32" i="7"/>
  <c r="H32"/>
  <c r="I32" s="1"/>
  <c r="D32"/>
  <c r="F32"/>
  <c r="C32"/>
  <c r="E32"/>
  <c r="B32"/>
  <c r="A32"/>
  <c r="G32" i="6"/>
  <c r="H32"/>
  <c r="I32" s="1"/>
  <c r="F32"/>
  <c r="E32"/>
  <c r="D32"/>
  <c r="C32"/>
  <c r="B32"/>
  <c r="A32"/>
  <c r="G47" i="12"/>
  <c r="G48" s="1"/>
  <c r="D47"/>
  <c r="D48" s="1"/>
  <c r="G30"/>
  <c r="H30" s="1"/>
  <c r="I30" s="1"/>
  <c r="F30"/>
  <c r="D30"/>
  <c r="C30"/>
  <c r="E30"/>
  <c r="B30"/>
  <c r="A30"/>
  <c r="G47" i="4"/>
  <c r="G48" s="1"/>
  <c r="D47"/>
  <c r="D48" s="1"/>
  <c r="H50" i="8" l="1"/>
  <c r="I50" s="1"/>
  <c r="H48" i="12"/>
  <c r="I48" s="1"/>
  <c r="H48" i="4"/>
  <c r="I48" s="1"/>
  <c r="J30" l="1"/>
  <c r="I30"/>
  <c r="H30"/>
  <c r="G30"/>
  <c r="F30"/>
  <c r="E30"/>
  <c r="D30"/>
  <c r="C30"/>
  <c r="B30"/>
  <c r="A30"/>
  <c r="D8" i="9"/>
  <c r="B8"/>
  <c r="A8"/>
  <c r="D8" i="8"/>
  <c r="B8"/>
  <c r="A8"/>
  <c r="D8" i="7"/>
  <c r="B7"/>
  <c r="B8"/>
  <c r="A8"/>
  <c r="D8" i="6"/>
  <c r="B8"/>
  <c r="B7"/>
  <c r="A8"/>
  <c r="D8" i="12"/>
  <c r="B8"/>
  <c r="B7"/>
  <c r="B7" i="4"/>
  <c r="B8"/>
  <c r="A8" i="12"/>
  <c r="A8" i="4"/>
  <c r="D8"/>
  <c r="F44" i="12"/>
  <c r="C44"/>
  <c r="F42"/>
  <c r="E42"/>
  <c r="C42"/>
  <c r="B42"/>
  <c r="E40"/>
  <c r="B40"/>
  <c r="F39"/>
  <c r="E39"/>
  <c r="C39"/>
  <c r="B39"/>
  <c r="B38"/>
  <c r="B37"/>
  <c r="B34"/>
  <c r="B33"/>
  <c r="E31"/>
  <c r="B31"/>
  <c r="E29"/>
  <c r="B29"/>
  <c r="E28"/>
  <c r="B28"/>
  <c r="E27"/>
  <c r="B27"/>
  <c r="E26"/>
  <c r="F24"/>
  <c r="C24"/>
  <c r="B24"/>
  <c r="D24" s="1"/>
  <c r="F23"/>
  <c r="C23"/>
  <c r="B23"/>
  <c r="E19"/>
  <c r="H18"/>
  <c r="E38" s="1"/>
  <c r="D15"/>
  <c r="F40" s="1"/>
  <c r="C15"/>
  <c r="C40" s="1"/>
  <c r="B15"/>
  <c r="A15"/>
  <c r="A40" s="1"/>
  <c r="D14"/>
  <c r="C14"/>
  <c r="B14"/>
  <c r="A14"/>
  <c r="D13"/>
  <c r="F38" s="1"/>
  <c r="C13"/>
  <c r="C38" s="1"/>
  <c r="B13"/>
  <c r="A13"/>
  <c r="A38" s="1"/>
  <c r="D12"/>
  <c r="F37" s="1"/>
  <c r="C12"/>
  <c r="C37" s="1"/>
  <c r="B12"/>
  <c r="A12"/>
  <c r="A37" s="1"/>
  <c r="D11"/>
  <c r="F34" s="1"/>
  <c r="C11"/>
  <c r="C34" s="1"/>
  <c r="B11"/>
  <c r="A11"/>
  <c r="A34" s="1"/>
  <c r="D10"/>
  <c r="F33" s="1"/>
  <c r="C10"/>
  <c r="C33" s="1"/>
  <c r="B10"/>
  <c r="A10"/>
  <c r="A33" s="1"/>
  <c r="D9"/>
  <c r="F31" s="1"/>
  <c r="C9"/>
  <c r="C31" s="1"/>
  <c r="B9"/>
  <c r="A9"/>
  <c r="A31" s="1"/>
  <c r="D7"/>
  <c r="F29" s="1"/>
  <c r="C7"/>
  <c r="C29" s="1"/>
  <c r="A7"/>
  <c r="A29" s="1"/>
  <c r="D6"/>
  <c r="F28" s="1"/>
  <c r="C6"/>
  <c r="C28" s="1"/>
  <c r="B6"/>
  <c r="A6"/>
  <c r="A28" s="1"/>
  <c r="D5"/>
  <c r="F27" s="1"/>
  <c r="C5"/>
  <c r="C27" s="1"/>
  <c r="B5"/>
  <c r="A5"/>
  <c r="A27" s="1"/>
  <c r="D4"/>
  <c r="F26" s="1"/>
  <c r="C4"/>
  <c r="C26" s="1"/>
  <c r="D26" s="1"/>
  <c r="B4"/>
  <c r="A4"/>
  <c r="A26" s="1"/>
  <c r="D3"/>
  <c r="C3"/>
  <c r="B3"/>
  <c r="A3"/>
  <c r="A21" s="1"/>
  <c r="D14" i="9"/>
  <c r="C14"/>
  <c r="B14"/>
  <c r="A14"/>
  <c r="D15" i="8"/>
  <c r="C15"/>
  <c r="B15"/>
  <c r="A15"/>
  <c r="D16" i="7"/>
  <c r="C16"/>
  <c r="B16"/>
  <c r="A16"/>
  <c r="D16" i="6"/>
  <c r="A14" i="4"/>
  <c r="C16" i="6"/>
  <c r="B16"/>
  <c r="A16"/>
  <c r="D14" i="4"/>
  <c r="C14"/>
  <c r="B14"/>
  <c r="F44" i="9"/>
  <c r="C44"/>
  <c r="F46" i="8"/>
  <c r="C46"/>
  <c r="F46" i="7"/>
  <c r="C46"/>
  <c r="F46" i="6"/>
  <c r="C46"/>
  <c r="F44" i="4"/>
  <c r="C44"/>
  <c r="F23" i="9"/>
  <c r="H18"/>
  <c r="E23" s="1"/>
  <c r="F24"/>
  <c r="E24"/>
  <c r="D4"/>
  <c r="F26" s="1"/>
  <c r="G26" s="1"/>
  <c r="E26"/>
  <c r="D5"/>
  <c r="F27" s="1"/>
  <c r="B27"/>
  <c r="E27"/>
  <c r="D6"/>
  <c r="F28" s="1"/>
  <c r="E28"/>
  <c r="D7"/>
  <c r="F29" s="1"/>
  <c r="E29"/>
  <c r="D9"/>
  <c r="F31" s="1"/>
  <c r="E31"/>
  <c r="D10"/>
  <c r="F33" s="1"/>
  <c r="D11"/>
  <c r="F34" s="1"/>
  <c r="D12"/>
  <c r="F37" s="1"/>
  <c r="D13"/>
  <c r="F38" s="1"/>
  <c r="E39"/>
  <c r="F39"/>
  <c r="D15"/>
  <c r="F40" s="1"/>
  <c r="E40"/>
  <c r="E42"/>
  <c r="F42"/>
  <c r="B39"/>
  <c r="C39"/>
  <c r="F24" i="8"/>
  <c r="H19"/>
  <c r="E24" s="1"/>
  <c r="F25"/>
  <c r="E25"/>
  <c r="D4"/>
  <c r="F27" s="1"/>
  <c r="D5"/>
  <c r="F28" s="1"/>
  <c r="D6"/>
  <c r="F29" s="1"/>
  <c r="G29" s="1"/>
  <c r="E29"/>
  <c r="D7"/>
  <c r="F30" s="1"/>
  <c r="G30" s="1"/>
  <c r="E30"/>
  <c r="D9"/>
  <c r="F32" s="1"/>
  <c r="G32" s="1"/>
  <c r="E32"/>
  <c r="D10"/>
  <c r="F33" s="1"/>
  <c r="G33" s="1"/>
  <c r="E33"/>
  <c r="D11"/>
  <c r="F35" s="1"/>
  <c r="D12"/>
  <c r="F36" s="1"/>
  <c r="D13"/>
  <c r="F39" s="1"/>
  <c r="D14"/>
  <c r="F40" s="1"/>
  <c r="E41"/>
  <c r="F41"/>
  <c r="D16"/>
  <c r="F42" s="1"/>
  <c r="E44"/>
  <c r="F44"/>
  <c r="B41"/>
  <c r="C41"/>
  <c r="F25" i="7"/>
  <c r="H20"/>
  <c r="E25" s="1"/>
  <c r="F26"/>
  <c r="E26"/>
  <c r="D4"/>
  <c r="F28" s="1"/>
  <c r="D5"/>
  <c r="F29" s="1"/>
  <c r="D6"/>
  <c r="F30" s="1"/>
  <c r="E30"/>
  <c r="D7"/>
  <c r="F31" s="1"/>
  <c r="E31"/>
  <c r="D9"/>
  <c r="F33" s="1"/>
  <c r="E33"/>
  <c r="D12"/>
  <c r="F35" s="1"/>
  <c r="D13"/>
  <c r="F36" s="1"/>
  <c r="D14"/>
  <c r="F39" s="1"/>
  <c r="D15"/>
  <c r="F40" s="1"/>
  <c r="E41"/>
  <c r="F41"/>
  <c r="D17"/>
  <c r="F42" s="1"/>
  <c r="E44"/>
  <c r="F44"/>
  <c r="B41"/>
  <c r="C41"/>
  <c r="F25" i="6"/>
  <c r="H20"/>
  <c r="E25" s="1"/>
  <c r="F26"/>
  <c r="E26"/>
  <c r="D4"/>
  <c r="F28" s="1"/>
  <c r="D5"/>
  <c r="F29" s="1"/>
  <c r="D6"/>
  <c r="F30" s="1"/>
  <c r="D7"/>
  <c r="F31" s="1"/>
  <c r="D9"/>
  <c r="F33" s="1"/>
  <c r="D10"/>
  <c r="F35" s="1"/>
  <c r="D11"/>
  <c r="F36" s="1"/>
  <c r="D14"/>
  <c r="F39" s="1"/>
  <c r="D15"/>
  <c r="F40" s="1"/>
  <c r="E41"/>
  <c r="F41"/>
  <c r="D17"/>
  <c r="F42" s="1"/>
  <c r="E44"/>
  <c r="F44"/>
  <c r="B41"/>
  <c r="C41"/>
  <c r="E39" i="4"/>
  <c r="F39"/>
  <c r="H18"/>
  <c r="E23" s="1"/>
  <c r="F23"/>
  <c r="E24"/>
  <c r="F24"/>
  <c r="D4"/>
  <c r="F26" s="1"/>
  <c r="E26"/>
  <c r="D5"/>
  <c r="F27" s="1"/>
  <c r="B27"/>
  <c r="E27" s="1"/>
  <c r="D6"/>
  <c r="F28" s="1"/>
  <c r="E28"/>
  <c r="D7"/>
  <c r="F29" s="1"/>
  <c r="E29"/>
  <c r="D9"/>
  <c r="F31" s="1"/>
  <c r="E31"/>
  <c r="E33"/>
  <c r="D10"/>
  <c r="F33" s="1"/>
  <c r="E34"/>
  <c r="D11"/>
  <c r="F34" s="1"/>
  <c r="E37"/>
  <c r="D12"/>
  <c r="F37" s="1"/>
  <c r="E38"/>
  <c r="D13"/>
  <c r="F38" s="1"/>
  <c r="E40"/>
  <c r="D15"/>
  <c r="F40" s="1"/>
  <c r="E42"/>
  <c r="F42"/>
  <c r="B39"/>
  <c r="C39"/>
  <c r="C4"/>
  <c r="C26" s="1"/>
  <c r="D26" s="1"/>
  <c r="C5"/>
  <c r="C6"/>
  <c r="C7"/>
  <c r="C29" s="1"/>
  <c r="C9"/>
  <c r="C10"/>
  <c r="C11"/>
  <c r="C12"/>
  <c r="C13"/>
  <c r="C15"/>
  <c r="C40" s="1"/>
  <c r="C42"/>
  <c r="B24" i="9"/>
  <c r="B25" i="8"/>
  <c r="B26" i="7"/>
  <c r="B26" i="6"/>
  <c r="B24" i="4"/>
  <c r="C5" i="9"/>
  <c r="C27" s="1"/>
  <c r="D27" s="1"/>
  <c r="B34"/>
  <c r="B33"/>
  <c r="C15"/>
  <c r="C40" s="1"/>
  <c r="C6"/>
  <c r="C28" s="1"/>
  <c r="C7"/>
  <c r="C29" s="1"/>
  <c r="C9"/>
  <c r="C10"/>
  <c r="C11"/>
  <c r="C34" s="1"/>
  <c r="D34" s="1"/>
  <c r="C12"/>
  <c r="C13"/>
  <c r="C4"/>
  <c r="C26" s="1"/>
  <c r="D26" s="1"/>
  <c r="B15"/>
  <c r="B6"/>
  <c r="B7"/>
  <c r="B9"/>
  <c r="B10"/>
  <c r="B11"/>
  <c r="B12"/>
  <c r="B13"/>
  <c r="B5"/>
  <c r="B4"/>
  <c r="A3"/>
  <c r="A21" s="1"/>
  <c r="B3"/>
  <c r="C3"/>
  <c r="D3"/>
  <c r="A4"/>
  <c r="A26" s="1"/>
  <c r="A5"/>
  <c r="A6"/>
  <c r="A28" s="1"/>
  <c r="A7"/>
  <c r="A29" s="1"/>
  <c r="A9"/>
  <c r="A31" s="1"/>
  <c r="A10"/>
  <c r="A33" s="1"/>
  <c r="A11"/>
  <c r="A12"/>
  <c r="A37" s="1"/>
  <c r="A13"/>
  <c r="A38" s="1"/>
  <c r="A15"/>
  <c r="A40" s="1"/>
  <c r="E19"/>
  <c r="B23"/>
  <c r="C23"/>
  <c r="C24"/>
  <c r="D24" s="1"/>
  <c r="A27"/>
  <c r="B28"/>
  <c r="B29"/>
  <c r="B31"/>
  <c r="C31"/>
  <c r="C33"/>
  <c r="A34"/>
  <c r="B37"/>
  <c r="C37"/>
  <c r="B38"/>
  <c r="C38"/>
  <c r="B40"/>
  <c r="B42"/>
  <c r="C42"/>
  <c r="C16" i="8"/>
  <c r="C42" s="1"/>
  <c r="C6"/>
  <c r="C29" s="1"/>
  <c r="C7"/>
  <c r="C30" s="1"/>
  <c r="C9"/>
  <c r="C32" s="1"/>
  <c r="C10"/>
  <c r="C33" s="1"/>
  <c r="C11"/>
  <c r="C12"/>
  <c r="C36" s="1"/>
  <c r="C13"/>
  <c r="C39" s="1"/>
  <c r="C14"/>
  <c r="C40" s="1"/>
  <c r="C5"/>
  <c r="C28" s="1"/>
  <c r="C4"/>
  <c r="C27" s="1"/>
  <c r="D27" s="1"/>
  <c r="B16"/>
  <c r="B7"/>
  <c r="B9"/>
  <c r="B10"/>
  <c r="B11"/>
  <c r="B12"/>
  <c r="B13"/>
  <c r="B14"/>
  <c r="B6"/>
  <c r="B5"/>
  <c r="B4"/>
  <c r="A6"/>
  <c r="A7"/>
  <c r="A30" s="1"/>
  <c r="A9"/>
  <c r="A32" s="1"/>
  <c r="A10"/>
  <c r="A33" s="1"/>
  <c r="A11"/>
  <c r="A35" s="1"/>
  <c r="A12"/>
  <c r="A36" s="1"/>
  <c r="A13"/>
  <c r="A39" s="1"/>
  <c r="A14"/>
  <c r="A16"/>
  <c r="A42" s="1"/>
  <c r="A5"/>
  <c r="A28" s="1"/>
  <c r="A4"/>
  <c r="A27" s="1"/>
  <c r="A3"/>
  <c r="A22" s="1"/>
  <c r="B3"/>
  <c r="C3"/>
  <c r="D3"/>
  <c r="E20"/>
  <c r="B24"/>
  <c r="C24"/>
  <c r="C25"/>
  <c r="D25" s="1"/>
  <c r="E27"/>
  <c r="B28"/>
  <c r="E28"/>
  <c r="G28" s="1"/>
  <c r="A29"/>
  <c r="B29"/>
  <c r="B30"/>
  <c r="B32"/>
  <c r="B33"/>
  <c r="B35"/>
  <c r="C35"/>
  <c r="B36"/>
  <c r="B39"/>
  <c r="A40"/>
  <c r="B40"/>
  <c r="B42"/>
  <c r="E42"/>
  <c r="B44"/>
  <c r="C44"/>
  <c r="A13" i="7"/>
  <c r="A36" s="1"/>
  <c r="A12"/>
  <c r="A35" s="1"/>
  <c r="C13"/>
  <c r="C36" s="1"/>
  <c r="C12"/>
  <c r="C35" s="1"/>
  <c r="A3"/>
  <c r="B3"/>
  <c r="C3"/>
  <c r="D3"/>
  <c r="A4"/>
  <c r="B4"/>
  <c r="C4"/>
  <c r="C28" s="1"/>
  <c r="D28" s="1"/>
  <c r="A5"/>
  <c r="A29" s="1"/>
  <c r="B5"/>
  <c r="C5"/>
  <c r="C29" s="1"/>
  <c r="A6"/>
  <c r="A30" s="1"/>
  <c r="B6"/>
  <c r="C6"/>
  <c r="C30" s="1"/>
  <c r="A7"/>
  <c r="A31" s="1"/>
  <c r="C7"/>
  <c r="C31" s="1"/>
  <c r="A9"/>
  <c r="A33" s="1"/>
  <c r="B9"/>
  <c r="C9"/>
  <c r="C33" s="1"/>
  <c r="A10"/>
  <c r="B10"/>
  <c r="C10"/>
  <c r="D10"/>
  <c r="A11"/>
  <c r="B11"/>
  <c r="C11"/>
  <c r="D11"/>
  <c r="B12"/>
  <c r="B13"/>
  <c r="A14"/>
  <c r="A39" s="1"/>
  <c r="B14"/>
  <c r="C14"/>
  <c r="C39" s="1"/>
  <c r="A15"/>
  <c r="A40" s="1"/>
  <c r="B15"/>
  <c r="C15"/>
  <c r="C40" s="1"/>
  <c r="A17"/>
  <c r="A42" s="1"/>
  <c r="B17"/>
  <c r="C17"/>
  <c r="C42" s="1"/>
  <c r="E21"/>
  <c r="A23"/>
  <c r="B25"/>
  <c r="C25"/>
  <c r="C26"/>
  <c r="D26" s="1"/>
  <c r="A28"/>
  <c r="E28"/>
  <c r="B29"/>
  <c r="E29" s="1"/>
  <c r="B30"/>
  <c r="B31"/>
  <c r="B33"/>
  <c r="B35"/>
  <c r="B36"/>
  <c r="B39"/>
  <c r="B40"/>
  <c r="B42"/>
  <c r="E42"/>
  <c r="B44"/>
  <c r="C44"/>
  <c r="B36" i="6"/>
  <c r="B35"/>
  <c r="E33"/>
  <c r="E31"/>
  <c r="G31" s="1"/>
  <c r="E30"/>
  <c r="B33"/>
  <c r="B31"/>
  <c r="B30"/>
  <c r="A3"/>
  <c r="D12"/>
  <c r="D13"/>
  <c r="C5"/>
  <c r="C29" s="1"/>
  <c r="C6"/>
  <c r="C7"/>
  <c r="C31" s="1"/>
  <c r="C9"/>
  <c r="C33" s="1"/>
  <c r="C10"/>
  <c r="C35" s="1"/>
  <c r="C11"/>
  <c r="C36" s="1"/>
  <c r="D36" s="1"/>
  <c r="C12"/>
  <c r="C13"/>
  <c r="C14"/>
  <c r="C39" s="1"/>
  <c r="C15"/>
  <c r="C17"/>
  <c r="C42" s="1"/>
  <c r="C4"/>
  <c r="C28" s="1"/>
  <c r="D28" s="1"/>
  <c r="B5"/>
  <c r="B6"/>
  <c r="B9"/>
  <c r="B10"/>
  <c r="B11"/>
  <c r="B12"/>
  <c r="B13"/>
  <c r="B14"/>
  <c r="B15"/>
  <c r="B17"/>
  <c r="B4"/>
  <c r="A17"/>
  <c r="A42" s="1"/>
  <c r="A15"/>
  <c r="A40" s="1"/>
  <c r="A14"/>
  <c r="A39" s="1"/>
  <c r="A13"/>
  <c r="A12"/>
  <c r="A11"/>
  <c r="A10"/>
  <c r="A35" s="1"/>
  <c r="A9"/>
  <c r="A33" s="1"/>
  <c r="A7"/>
  <c r="A31" s="1"/>
  <c r="A6"/>
  <c r="A30" s="1"/>
  <c r="A5"/>
  <c r="A29" s="1"/>
  <c r="A4"/>
  <c r="A28" s="1"/>
  <c r="B3"/>
  <c r="C3"/>
  <c r="D3"/>
  <c r="E21"/>
  <c r="A23"/>
  <c r="B25"/>
  <c r="C25"/>
  <c r="C26"/>
  <c r="D26" s="1"/>
  <c r="E28"/>
  <c r="B29"/>
  <c r="E29" s="1"/>
  <c r="G29" s="1"/>
  <c r="C30"/>
  <c r="D30" s="1"/>
  <c r="A36"/>
  <c r="B39"/>
  <c r="B40"/>
  <c r="C40"/>
  <c r="B42"/>
  <c r="E42"/>
  <c r="B44"/>
  <c r="C44"/>
  <c r="C28" i="4"/>
  <c r="B28"/>
  <c r="B29"/>
  <c r="C31"/>
  <c r="B31"/>
  <c r="C27"/>
  <c r="D27" s="1"/>
  <c r="B33"/>
  <c r="C33"/>
  <c r="B34"/>
  <c r="C34"/>
  <c r="B37"/>
  <c r="C37"/>
  <c r="B38"/>
  <c r="C38"/>
  <c r="B40"/>
  <c r="B42"/>
  <c r="D42" s="1"/>
  <c r="B23"/>
  <c r="C23"/>
  <c r="C24"/>
  <c r="D24" s="1"/>
  <c r="A13"/>
  <c r="A38" s="1"/>
  <c r="A15"/>
  <c r="A40" s="1"/>
  <c r="A12"/>
  <c r="A37" s="1"/>
  <c r="A11"/>
  <c r="A34" s="1"/>
  <c r="A10"/>
  <c r="A33" s="1"/>
  <c r="A5"/>
  <c r="A27" s="1"/>
  <c r="A6"/>
  <c r="A28" s="1"/>
  <c r="A7"/>
  <c r="A29" s="1"/>
  <c r="A9"/>
  <c r="A31" s="1"/>
  <c r="A4"/>
  <c r="A26" s="1"/>
  <c r="A3"/>
  <c r="A21" s="1"/>
  <c r="E19"/>
  <c r="B3"/>
  <c r="D3"/>
  <c r="B5"/>
  <c r="B6"/>
  <c r="B9"/>
  <c r="B10"/>
  <c r="B11"/>
  <c r="B12"/>
  <c r="B13"/>
  <c r="B15"/>
  <c r="B4"/>
  <c r="C3"/>
  <c r="G33" i="6" l="1"/>
  <c r="D33" i="9"/>
  <c r="D35" s="1"/>
  <c r="D23" i="12"/>
  <c r="D25" s="1"/>
  <c r="G27" i="9"/>
  <c r="D42" i="12"/>
  <c r="E24"/>
  <c r="G24" s="1"/>
  <c r="H24" s="1"/>
  <c r="I24" s="1"/>
  <c r="G38"/>
  <c r="D27"/>
  <c r="D28"/>
  <c r="D39"/>
  <c r="H39" s="1"/>
  <c r="I39" s="1"/>
  <c r="G39"/>
  <c r="G42"/>
  <c r="H42" s="1"/>
  <c r="I42" s="1"/>
  <c r="G26"/>
  <c r="G27"/>
  <c r="G28"/>
  <c r="G29"/>
  <c r="G31"/>
  <c r="D34"/>
  <c r="D38"/>
  <c r="H38" s="1"/>
  <c r="I38" s="1"/>
  <c r="G40"/>
  <c r="D29"/>
  <c r="D31"/>
  <c r="D33"/>
  <c r="D37"/>
  <c r="D40"/>
  <c r="E23"/>
  <c r="G23" s="1"/>
  <c r="E33"/>
  <c r="G33" s="1"/>
  <c r="E34"/>
  <c r="G34" s="1"/>
  <c r="E37"/>
  <c r="G37" s="1"/>
  <c r="G39" i="4"/>
  <c r="E40" i="8"/>
  <c r="E39"/>
  <c r="E36"/>
  <c r="E35"/>
  <c r="G41"/>
  <c r="D38" i="9"/>
  <c r="D29"/>
  <c r="D28"/>
  <c r="D23"/>
  <c r="E38"/>
  <c r="E37"/>
  <c r="G37" s="1"/>
  <c r="E34"/>
  <c r="G34" s="1"/>
  <c r="H34" s="1"/>
  <c r="I34" s="1"/>
  <c r="E33"/>
  <c r="G33" s="1"/>
  <c r="D31"/>
  <c r="D33" i="8"/>
  <c r="H33" s="1"/>
  <c r="I33" s="1"/>
  <c r="D30"/>
  <c r="H30" s="1"/>
  <c r="I30" s="1"/>
  <c r="D28"/>
  <c r="D32"/>
  <c r="D29"/>
  <c r="H29" s="1"/>
  <c r="I29" s="1"/>
  <c r="G29" i="7"/>
  <c r="D41"/>
  <c r="G44"/>
  <c r="E40"/>
  <c r="E39"/>
  <c r="E36"/>
  <c r="E35"/>
  <c r="G33"/>
  <c r="G31"/>
  <c r="G30"/>
  <c r="D33"/>
  <c r="D29"/>
  <c r="D31"/>
  <c r="H31" s="1"/>
  <c r="I31" s="1"/>
  <c r="D30"/>
  <c r="D33" i="6"/>
  <c r="H33" s="1"/>
  <c r="I33" s="1"/>
  <c r="D31"/>
  <c r="H31" s="1"/>
  <c r="I31" s="1"/>
  <c r="G42"/>
  <c r="D35"/>
  <c r="G28"/>
  <c r="H28" s="1"/>
  <c r="I28" s="1"/>
  <c r="D29"/>
  <c r="G26"/>
  <c r="H26" s="1"/>
  <c r="I26" s="1"/>
  <c r="G26" i="4"/>
  <c r="D28"/>
  <c r="G42"/>
  <c r="H42" s="1"/>
  <c r="I42" s="1"/>
  <c r="G40"/>
  <c r="G38"/>
  <c r="G37"/>
  <c r="G34"/>
  <c r="D42" i="6"/>
  <c r="D42" i="8"/>
  <c r="D35"/>
  <c r="D37" i="4"/>
  <c r="H37" s="1"/>
  <c r="I37" s="1"/>
  <c r="D33"/>
  <c r="D29"/>
  <c r="D42" i="7"/>
  <c r="G44" i="6"/>
  <c r="E40"/>
  <c r="G40" s="1"/>
  <c r="E39"/>
  <c r="G42" i="8"/>
  <c r="H42" s="1"/>
  <c r="I42" s="1"/>
  <c r="D41" i="6"/>
  <c r="G41"/>
  <c r="G39"/>
  <c r="D41" i="8"/>
  <c r="H41" s="1"/>
  <c r="I41" s="1"/>
  <c r="G44"/>
  <c r="D23" i="4"/>
  <c r="D25" s="1"/>
  <c r="D40" i="6"/>
  <c r="D37"/>
  <c r="D25"/>
  <c r="D27" s="1"/>
  <c r="D40" i="7"/>
  <c r="G28"/>
  <c r="H28" s="1"/>
  <c r="I28" s="1"/>
  <c r="D25"/>
  <c r="D27" s="1"/>
  <c r="D40" i="8"/>
  <c r="D44" i="7"/>
  <c r="D39"/>
  <c r="D24" i="8"/>
  <c r="D26" s="1"/>
  <c r="D42" i="9"/>
  <c r="D40"/>
  <c r="G25" i="6"/>
  <c r="G41" i="7"/>
  <c r="H41" s="1"/>
  <c r="I41" s="1"/>
  <c r="D40" i="4"/>
  <c r="H40" s="1"/>
  <c r="I40" s="1"/>
  <c r="D38"/>
  <c r="H38" s="1"/>
  <c r="I38" s="1"/>
  <c r="D44" i="6"/>
  <c r="D39"/>
  <c r="D35" i="7"/>
  <c r="D44" i="8"/>
  <c r="D39"/>
  <c r="D39" i="9"/>
  <c r="G42"/>
  <c r="H42" s="1"/>
  <c r="I42" s="1"/>
  <c r="G39"/>
  <c r="H39" s="1"/>
  <c r="I39" s="1"/>
  <c r="G38"/>
  <c r="H38" s="1"/>
  <c r="I38" s="1"/>
  <c r="G26" i="7"/>
  <c r="H26" s="1"/>
  <c r="I26" s="1"/>
  <c r="G24" i="9"/>
  <c r="H24" s="1"/>
  <c r="I24" s="1"/>
  <c r="G23" i="4"/>
  <c r="G25" i="7"/>
  <c r="G23" i="9"/>
  <c r="H23" s="1"/>
  <c r="I23" s="1"/>
  <c r="G30" i="6"/>
  <c r="H30" s="1"/>
  <c r="I30" s="1"/>
  <c r="H30" i="7"/>
  <c r="I30" s="1"/>
  <c r="G27" i="8"/>
  <c r="D39" i="4"/>
  <c r="H39" s="1"/>
  <c r="I39" s="1"/>
  <c r="G40" i="7"/>
  <c r="H40" s="1"/>
  <c r="I40" s="1"/>
  <c r="G36"/>
  <c r="G40" i="8"/>
  <c r="G36"/>
  <c r="G25"/>
  <c r="H25" s="1"/>
  <c r="I25" s="1"/>
  <c r="G24"/>
  <c r="D34" i="4"/>
  <c r="H34" s="1"/>
  <c r="I34" s="1"/>
  <c r="D31"/>
  <c r="G42" i="7"/>
  <c r="D36"/>
  <c r="D36" i="8"/>
  <c r="H32"/>
  <c r="I32" s="1"/>
  <c r="D37" i="9"/>
  <c r="D41" s="1"/>
  <c r="G33" i="4"/>
  <c r="G27"/>
  <c r="H27" s="1"/>
  <c r="I27" s="1"/>
  <c r="G24"/>
  <c r="G39" i="7"/>
  <c r="G35"/>
  <c r="G37" s="1"/>
  <c r="G39" i="8"/>
  <c r="G35"/>
  <c r="H35" s="1"/>
  <c r="I35" s="1"/>
  <c r="H26" i="9"/>
  <c r="I26" s="1"/>
  <c r="D32"/>
  <c r="D34" i="8"/>
  <c r="H28"/>
  <c r="I28" s="1"/>
  <c r="H27" i="9"/>
  <c r="I27" s="1"/>
  <c r="H26" i="4"/>
  <c r="I26" s="1"/>
  <c r="D25" i="9"/>
  <c r="G31" i="4"/>
  <c r="G29"/>
  <c r="G28"/>
  <c r="G40" i="9"/>
  <c r="G31"/>
  <c r="G29"/>
  <c r="G28"/>
  <c r="E36" i="6"/>
  <c r="G36" s="1"/>
  <c r="E35"/>
  <c r="G35" s="1"/>
  <c r="D36" i="9" l="1"/>
  <c r="F10" i="11" s="1"/>
  <c r="H44" i="7"/>
  <c r="I44" s="1"/>
  <c r="H33" i="9"/>
  <c r="I33" s="1"/>
  <c r="D35" i="12"/>
  <c r="D32"/>
  <c r="D36" s="1"/>
  <c r="H29" i="7"/>
  <c r="I29" s="1"/>
  <c r="D41" i="12"/>
  <c r="G25"/>
  <c r="H23"/>
  <c r="I23" s="1"/>
  <c r="G41"/>
  <c r="H37"/>
  <c r="I37" s="1"/>
  <c r="G35"/>
  <c r="H33"/>
  <c r="I33" s="1"/>
  <c r="H40"/>
  <c r="I40" s="1"/>
  <c r="H29"/>
  <c r="I29" s="1"/>
  <c r="H27"/>
  <c r="I27" s="1"/>
  <c r="H34"/>
  <c r="I34" s="1"/>
  <c r="H31"/>
  <c r="I31" s="1"/>
  <c r="H28"/>
  <c r="I28" s="1"/>
  <c r="G32"/>
  <c r="H26"/>
  <c r="I26" s="1"/>
  <c r="H33" i="7"/>
  <c r="I33" s="1"/>
  <c r="D32" i="4"/>
  <c r="D43" i="6"/>
  <c r="H37" i="9"/>
  <c r="I37" s="1"/>
  <c r="G41"/>
  <c r="H41" s="1"/>
  <c r="I41" s="1"/>
  <c r="D37" i="8"/>
  <c r="H44"/>
  <c r="I44" s="1"/>
  <c r="G43"/>
  <c r="H39"/>
  <c r="I39" s="1"/>
  <c r="D43" i="7"/>
  <c r="D34"/>
  <c r="H41" i="6"/>
  <c r="I41" s="1"/>
  <c r="H42"/>
  <c r="I42" s="1"/>
  <c r="H44"/>
  <c r="I44" s="1"/>
  <c r="D34"/>
  <c r="D38" s="1"/>
  <c r="H29"/>
  <c r="I29" s="1"/>
  <c r="H40"/>
  <c r="I40" s="1"/>
  <c r="G41" i="4"/>
  <c r="H23"/>
  <c r="I23" s="1"/>
  <c r="H33"/>
  <c r="I33" s="1"/>
  <c r="G25"/>
  <c r="H25" s="1"/>
  <c r="I25" s="1"/>
  <c r="D43" i="8"/>
  <c r="D35" i="4"/>
  <c r="G34" i="7"/>
  <c r="G34" i="8"/>
  <c r="H34" s="1"/>
  <c r="I34" s="1"/>
  <c r="G43" i="7"/>
  <c r="H43" s="1"/>
  <c r="I43" s="1"/>
  <c r="G26" i="8"/>
  <c r="H26" s="1"/>
  <c r="I26" s="1"/>
  <c r="H36"/>
  <c r="I36" s="1"/>
  <c r="H36" i="7"/>
  <c r="I36" s="1"/>
  <c r="H25"/>
  <c r="I25" s="1"/>
  <c r="H25" i="6"/>
  <c r="I25" s="1"/>
  <c r="H39" i="7"/>
  <c r="I39" s="1"/>
  <c r="H40" i="8"/>
  <c r="I40" s="1"/>
  <c r="H39" i="6"/>
  <c r="I39" s="1"/>
  <c r="G35" i="4"/>
  <c r="G25" i="9"/>
  <c r="G35"/>
  <c r="H35" s="1"/>
  <c r="I35" s="1"/>
  <c r="G27" i="6"/>
  <c r="H27" s="1"/>
  <c r="I27" s="1"/>
  <c r="H42" i="7"/>
  <c r="I42" s="1"/>
  <c r="G34" i="6"/>
  <c r="G43"/>
  <c r="H43" s="1"/>
  <c r="I43" s="1"/>
  <c r="D41" i="4"/>
  <c r="H41" s="1"/>
  <c r="I41" s="1"/>
  <c r="G37" i="8"/>
  <c r="G38" s="1"/>
  <c r="G9" i="11" s="1"/>
  <c r="H35" i="7"/>
  <c r="I35" s="1"/>
  <c r="H27" i="8"/>
  <c r="I27" s="1"/>
  <c r="G32" i="9"/>
  <c r="H32" s="1"/>
  <c r="I32" s="1"/>
  <c r="H24" i="8"/>
  <c r="I24" s="1"/>
  <c r="G27" i="7"/>
  <c r="H27" s="1"/>
  <c r="I27" s="1"/>
  <c r="D37"/>
  <c r="H24" i="4"/>
  <c r="I24" s="1"/>
  <c r="D43" i="9"/>
  <c r="D44" s="1"/>
  <c r="D45" s="1"/>
  <c r="J10" i="11" s="1"/>
  <c r="D38" i="8"/>
  <c r="F9" i="11" s="1"/>
  <c r="H36" i="6"/>
  <c r="I36" s="1"/>
  <c r="H28" i="9"/>
  <c r="I28" s="1"/>
  <c r="H29" i="4"/>
  <c r="I29" s="1"/>
  <c r="H31"/>
  <c r="I31" s="1"/>
  <c r="H35" i="6"/>
  <c r="I35" s="1"/>
  <c r="G37"/>
  <c r="H29" i="9"/>
  <c r="I29" s="1"/>
  <c r="H31"/>
  <c r="I31" s="1"/>
  <c r="H40"/>
  <c r="I40" s="1"/>
  <c r="H28" i="4"/>
  <c r="I28" s="1"/>
  <c r="G32"/>
  <c r="H43" i="8" l="1"/>
  <c r="I43" s="1"/>
  <c r="D43" i="12"/>
  <c r="D44" s="1"/>
  <c r="D45" s="1"/>
  <c r="F7" i="11"/>
  <c r="G36" i="12"/>
  <c r="G7" i="11" s="1"/>
  <c r="H32" i="12"/>
  <c r="I32" s="1"/>
  <c r="H41"/>
  <c r="I41" s="1"/>
  <c r="H35"/>
  <c r="I35" s="1"/>
  <c r="G43"/>
  <c r="H25"/>
  <c r="I25" s="1"/>
  <c r="D45" i="6"/>
  <c r="D46" s="1"/>
  <c r="D47" s="1"/>
  <c r="J8" i="11" s="1"/>
  <c r="F8"/>
  <c r="H9"/>
  <c r="D36" i="4"/>
  <c r="F6" i="11" s="1"/>
  <c r="D38" i="7"/>
  <c r="D45" s="1"/>
  <c r="D46" s="1"/>
  <c r="D47" s="1"/>
  <c r="H34"/>
  <c r="I34" s="1"/>
  <c r="H34" i="6"/>
  <c r="I34" s="1"/>
  <c r="H35" i="4"/>
  <c r="I35" s="1"/>
  <c r="G38" i="7"/>
  <c r="G45" s="1"/>
  <c r="D45" i="8"/>
  <c r="D46" s="1"/>
  <c r="D47" s="1"/>
  <c r="G36" i="9"/>
  <c r="G38" i="6"/>
  <c r="G45" i="8"/>
  <c r="G46" s="1"/>
  <c r="H25" i="9"/>
  <c r="I25" s="1"/>
  <c r="H37" i="7"/>
  <c r="I37" s="1"/>
  <c r="H37" i="8"/>
  <c r="I37" s="1"/>
  <c r="G36" i="4"/>
  <c r="G6" i="11" s="1"/>
  <c r="H32" i="4"/>
  <c r="I32" s="1"/>
  <c r="H38" i="8"/>
  <c r="I38" s="1"/>
  <c r="H37" i="6"/>
  <c r="I37" s="1"/>
  <c r="H7" i="11" l="1"/>
  <c r="G44" i="12"/>
  <c r="H43"/>
  <c r="I43" s="1"/>
  <c r="H36"/>
  <c r="I36" s="1"/>
  <c r="H36" i="9"/>
  <c r="I36" s="1"/>
  <c r="G10" i="11"/>
  <c r="H10" s="1"/>
  <c r="D43" i="4"/>
  <c r="D44" s="1"/>
  <c r="D45" s="1"/>
  <c r="H38" i="7"/>
  <c r="I38" s="1"/>
  <c r="H6" i="11"/>
  <c r="G43" i="9"/>
  <c r="H38" i="6"/>
  <c r="I38" s="1"/>
  <c r="G8" i="11"/>
  <c r="H8" s="1"/>
  <c r="G45" i="6"/>
  <c r="H45" i="8"/>
  <c r="I45" s="1"/>
  <c r="H46"/>
  <c r="I46" s="1"/>
  <c r="G46" i="7"/>
  <c r="H45"/>
  <c r="I45" s="1"/>
  <c r="H36" i="4"/>
  <c r="I36" s="1"/>
  <c r="G43"/>
  <c r="G47" i="8"/>
  <c r="J31" s="1"/>
  <c r="H44" i="12" l="1"/>
  <c r="I44" s="1"/>
  <c r="G45"/>
  <c r="G44" i="9"/>
  <c r="H43"/>
  <c r="I43" s="1"/>
  <c r="J46" i="8"/>
  <c r="L9" i="11"/>
  <c r="H45" i="6"/>
  <c r="I45" s="1"/>
  <c r="G46"/>
  <c r="G44" i="4"/>
  <c r="G45" s="1"/>
  <c r="H43"/>
  <c r="I43" s="1"/>
  <c r="H46" i="7"/>
  <c r="I46" s="1"/>
  <c r="J30" i="8"/>
  <c r="J33"/>
  <c r="J29"/>
  <c r="J32"/>
  <c r="H47"/>
  <c r="I47" s="1"/>
  <c r="J47"/>
  <c r="J27"/>
  <c r="J24"/>
  <c r="J42"/>
  <c r="J28"/>
  <c r="J44"/>
  <c r="J35"/>
  <c r="J40"/>
  <c r="J36"/>
  <c r="J25"/>
  <c r="J39"/>
  <c r="J41"/>
  <c r="J43"/>
  <c r="J34"/>
  <c r="J37"/>
  <c r="J26"/>
  <c r="J38"/>
  <c r="J45"/>
  <c r="G47" i="7"/>
  <c r="J46" l="1"/>
  <c r="J32"/>
  <c r="J30" i="12"/>
  <c r="J45"/>
  <c r="H45"/>
  <c r="I45" s="1"/>
  <c r="J38"/>
  <c r="J42"/>
  <c r="J24"/>
  <c r="J39"/>
  <c r="J37"/>
  <c r="J26"/>
  <c r="J23"/>
  <c r="J33"/>
  <c r="J40"/>
  <c r="J29"/>
  <c r="J27"/>
  <c r="J34"/>
  <c r="J31"/>
  <c r="J28"/>
  <c r="J25"/>
  <c r="J32"/>
  <c r="J41"/>
  <c r="J35"/>
  <c r="J43"/>
  <c r="J36"/>
  <c r="J44"/>
  <c r="G45" i="9"/>
  <c r="J30" s="1"/>
  <c r="H44"/>
  <c r="I44" s="1"/>
  <c r="J44"/>
  <c r="G47" i="6"/>
  <c r="J32" s="1"/>
  <c r="H46"/>
  <c r="I46" s="1"/>
  <c r="J46"/>
  <c r="J43" i="4"/>
  <c r="L6" i="11"/>
  <c r="L7"/>
  <c r="J39" i="4"/>
  <c r="H45"/>
  <c r="I45" s="1"/>
  <c r="J24"/>
  <c r="J26"/>
  <c r="J33"/>
  <c r="J37"/>
  <c r="J40"/>
  <c r="J42"/>
  <c r="J23"/>
  <c r="J25"/>
  <c r="J27"/>
  <c r="J34"/>
  <c r="J38"/>
  <c r="J45"/>
  <c r="J29"/>
  <c r="J31"/>
  <c r="J35"/>
  <c r="J28"/>
  <c r="J41"/>
  <c r="J32"/>
  <c r="J36"/>
  <c r="J31" i="7"/>
  <c r="J33"/>
  <c r="J30"/>
  <c r="H47"/>
  <c r="I47" s="1"/>
  <c r="J47"/>
  <c r="J40"/>
  <c r="J36"/>
  <c r="J26"/>
  <c r="J44"/>
  <c r="J35"/>
  <c r="J41"/>
  <c r="J25"/>
  <c r="J42"/>
  <c r="J29"/>
  <c r="J28"/>
  <c r="J39"/>
  <c r="J43"/>
  <c r="J27"/>
  <c r="J34"/>
  <c r="J37"/>
  <c r="J38"/>
  <c r="J45"/>
  <c r="J44" i="4"/>
  <c r="H44"/>
  <c r="I44" s="1"/>
  <c r="J43" i="9" l="1"/>
  <c r="K10" i="11"/>
  <c r="L10" s="1"/>
  <c r="J27" i="9"/>
  <c r="J41"/>
  <c r="H45"/>
  <c r="I45" s="1"/>
  <c r="J42"/>
  <c r="J33"/>
  <c r="J23"/>
  <c r="J37"/>
  <c r="J24"/>
  <c r="J32"/>
  <c r="J28"/>
  <c r="J31"/>
  <c r="J25"/>
  <c r="J36"/>
  <c r="J26"/>
  <c r="J45"/>
  <c r="J38"/>
  <c r="J39"/>
  <c r="J34"/>
  <c r="J35"/>
  <c r="J29"/>
  <c r="J40"/>
  <c r="K8" i="11"/>
  <c r="L8" s="1"/>
  <c r="J45" i="6"/>
  <c r="J44"/>
  <c r="J47"/>
  <c r="J30"/>
  <c r="J25"/>
  <c r="J42"/>
  <c r="J28"/>
  <c r="J33"/>
  <c r="J43"/>
  <c r="J34"/>
  <c r="J37"/>
  <c r="J38"/>
  <c r="J40"/>
  <c r="H47"/>
  <c r="I47" s="1"/>
  <c r="J39"/>
  <c r="J41"/>
  <c r="J29"/>
  <c r="J26"/>
  <c r="J31"/>
  <c r="J36"/>
  <c r="J27"/>
  <c r="J35"/>
</calcChain>
</file>

<file path=xl/sharedStrings.xml><?xml version="1.0" encoding="utf-8"?>
<sst xmlns="http://schemas.openxmlformats.org/spreadsheetml/2006/main" count="350" uniqueCount="72">
  <si>
    <t>Monthly Rates and Charges</t>
  </si>
  <si>
    <t>Residential - R1</t>
  </si>
  <si>
    <t>Smart Meter Rate Adder</t>
  </si>
  <si>
    <t>Monthly Service Charge</t>
  </si>
  <si>
    <t>Distribution Volumetric Rate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</si>
  <si>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</si>
  <si>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</si>
  <si>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</si>
  <si>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</si>
  <si>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Standard Supply Service - Administarive Charge (if applicable)</t>
  </si>
  <si>
    <t>Residential - R2</t>
  </si>
  <si>
    <t>Retail Transmission Rate - Network Service Rate - Interval Meter &gt; 1,000 kW</t>
  </si>
  <si>
    <t>Retail Transmission Rate - Line and Transformation Connection Service Rate - Interval &gt; 1,000 kW</t>
  </si>
  <si>
    <t>Seasonal</t>
  </si>
  <si>
    <t>Street Lighting</t>
  </si>
  <si>
    <t>$</t>
  </si>
  <si>
    <t>$/kWh</t>
  </si>
  <si>
    <t>$/kW</t>
  </si>
  <si>
    <t>Other</t>
  </si>
  <si>
    <t>Debt Retirement Charge</t>
  </si>
  <si>
    <t>Energy - First Tier</t>
  </si>
  <si>
    <t>Energy - Second Tier</t>
  </si>
  <si>
    <t>%</t>
  </si>
  <si>
    <t>Loss Factor</t>
  </si>
  <si>
    <t>Total Loss Factor</t>
  </si>
  <si>
    <t>Metric</t>
  </si>
  <si>
    <t>Consumption</t>
  </si>
  <si>
    <t>kWh</t>
  </si>
  <si>
    <t>kW</t>
  </si>
  <si>
    <t>RPP Tier One</t>
  </si>
  <si>
    <t>Load Factor</t>
  </si>
  <si>
    <t>Volume</t>
  </si>
  <si>
    <t>Total:    Retail Transmission</t>
  </si>
  <si>
    <t>Total Bill</t>
  </si>
  <si>
    <t>% of Total Bill</t>
  </si>
  <si>
    <t>Energy, First Tier (kWh)</t>
  </si>
  <si>
    <t>Energy, Second Tier (kWh)</t>
  </si>
  <si>
    <t>Rate</t>
  </si>
  <si>
    <t>Charge</t>
  </si>
  <si>
    <t>Sub-Total:    Energy</t>
  </si>
  <si>
    <t>Total:    Distribution</t>
  </si>
  <si>
    <t>Sub-Total:    Delivery (Distribution and Retail Transmission)</t>
  </si>
  <si>
    <t>Sub-Total:    Regulatory</t>
  </si>
  <si>
    <t>Total Bill Before Taxes</t>
  </si>
  <si>
    <t>Impacts</t>
  </si>
  <si>
    <t>Special Purpose Charge</t>
  </si>
  <si>
    <t>GST / HST</t>
  </si>
  <si>
    <t>Algoma Power Inc.</t>
  </si>
  <si>
    <t>Residential Customers with an Interval Meter</t>
  </si>
  <si>
    <t>Current Approved Rates</t>
  </si>
  <si>
    <t>Rate Rider for Deferral/Variance Account Disposition - effective until May 31, 2013</t>
  </si>
  <si>
    <t>Rate Rider for Deferral/Variance Account Disposition - effective until November 30, 2015</t>
  </si>
  <si>
    <t>2012 Distribution Rate Impact Module</t>
  </si>
  <si>
    <t>Proposed January 1, 2012</t>
  </si>
  <si>
    <t>Rate Rider for Tax Changes - effective until December 31, 2012</t>
  </si>
  <si>
    <t>Customer Class</t>
  </si>
  <si>
    <t>Usage Profile</t>
  </si>
  <si>
    <t>Delivery Charges</t>
  </si>
  <si>
    <t>Current</t>
  </si>
  <si>
    <t>Proposed</t>
  </si>
  <si>
    <t>% Chg.</t>
  </si>
  <si>
    <t>Residential R1</t>
  </si>
  <si>
    <t>Residential R2</t>
  </si>
  <si>
    <t>2012 IR</t>
  </si>
  <si>
    <t>Electricty Distribution Rate Proposal</t>
  </si>
  <si>
    <t>EB-2011-0152</t>
  </si>
  <si>
    <t>Rate Impacts Summary Arising from this Application</t>
  </si>
  <si>
    <t>September 15, 2011</t>
  </si>
  <si>
    <t>Amended October 12, 2011</t>
  </si>
  <si>
    <t>Rate Rider for Deferral/Variance Account Disposition #2 - effective until May 31, 2013</t>
  </si>
  <si>
    <t>OCEB Credit</t>
  </si>
  <si>
    <t>Balance after OCEB Credit has been applied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</si>
</sst>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0.0%"/>
    <numFmt numFmtId="166" formatCode="0.0000"/>
    <numFmt numFmtId="167" formatCode="_(* #,##0_);_(* \(#,##0\);_(* &quot;-&quot;??_);_(@_)"/>
    <numFmt numFmtId="168" formatCode="0.0"/>
    <numFmt numFmtId="169" formatCode="_(* #,##0.0000000_);_(* \(#,##0.0000000\);_(* &quot;-&quot;??_);_(@_)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164" fontId="0" fillId="0" borderId="0" xfId="1" applyNumberFormat="1" applyFont="1"/>
    <xf numFmtId="165" fontId="0" fillId="0" borderId="0" xfId="3" applyNumberFormat="1" applyFont="1"/>
    <xf numFmtId="43" fontId="0" fillId="0" borderId="0" xfId="0" applyNumberFormat="1"/>
    <xf numFmtId="165" fontId="0" fillId="0" borderId="0" xfId="0" applyNumberForma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/>
    <xf numFmtId="43" fontId="5" fillId="0" borderId="2" xfId="0" applyNumberFormat="1" applyFont="1" applyBorder="1"/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43" fontId="5" fillId="0" borderId="6" xfId="0" applyNumberFormat="1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164" fontId="5" fillId="0" borderId="8" xfId="0" applyNumberFormat="1" applyFont="1" applyBorder="1"/>
    <xf numFmtId="164" fontId="5" fillId="0" borderId="9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43" fontId="5" fillId="0" borderId="11" xfId="0" applyNumberFormat="1" applyFont="1" applyBorder="1"/>
    <xf numFmtId="43" fontId="5" fillId="0" borderId="12" xfId="0" applyNumberFormat="1" applyFont="1" applyBorder="1"/>
    <xf numFmtId="0" fontId="5" fillId="0" borderId="13" xfId="0" applyFont="1" applyBorder="1"/>
    <xf numFmtId="0" fontId="5" fillId="0" borderId="14" xfId="0" applyFont="1" applyBorder="1" applyAlignment="1">
      <alignment horizontal="center"/>
    </xf>
    <xf numFmtId="43" fontId="5" fillId="0" borderId="14" xfId="0" applyNumberFormat="1" applyFont="1" applyBorder="1"/>
    <xf numFmtId="43" fontId="5" fillId="0" borderId="15" xfId="0" applyNumberFormat="1" applyFont="1" applyBorder="1"/>
    <xf numFmtId="164" fontId="5" fillId="0" borderId="14" xfId="0" applyNumberFormat="1" applyFont="1" applyBorder="1"/>
    <xf numFmtId="164" fontId="5" fillId="0" borderId="15" xfId="0" applyNumberFormat="1" applyFont="1" applyBorder="1"/>
    <xf numFmtId="0" fontId="3" fillId="0" borderId="5" xfId="0" applyFont="1" applyBorder="1"/>
    <xf numFmtId="167" fontId="5" fillId="2" borderId="3" xfId="1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2" borderId="3" xfId="0" applyFont="1" applyFill="1" applyBorder="1"/>
    <xf numFmtId="0" fontId="5" fillId="0" borderId="3" xfId="0" applyFont="1" applyBorder="1"/>
    <xf numFmtId="0" fontId="5" fillId="0" borderId="4" xfId="0" applyFont="1" applyBorder="1"/>
    <xf numFmtId="1" fontId="5" fillId="0" borderId="16" xfId="0" applyNumberFormat="1" applyFont="1" applyBorder="1" applyAlignment="1">
      <alignment horizontal="center"/>
    </xf>
    <xf numFmtId="166" fontId="5" fillId="0" borderId="16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10" fontId="5" fillId="0" borderId="16" xfId="3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166" fontId="5" fillId="0" borderId="17" xfId="0" applyNumberFormat="1" applyFont="1" applyBorder="1" applyAlignment="1">
      <alignment horizontal="center"/>
    </xf>
    <xf numFmtId="0" fontId="5" fillId="0" borderId="17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10" fontId="5" fillId="0" borderId="17" xfId="3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1" xfId="0" applyFont="1" applyBorder="1" applyAlignment="1">
      <alignment horizontal="left" indent="1"/>
    </xf>
    <xf numFmtId="1" fontId="5" fillId="0" borderId="18" xfId="0" applyNumberFormat="1" applyFont="1" applyBorder="1" applyAlignment="1">
      <alignment horizontal="center"/>
    </xf>
    <xf numFmtId="166" fontId="5" fillId="0" borderId="18" xfId="0" applyNumberFormat="1" applyFont="1" applyBorder="1" applyAlignment="1">
      <alignment horizontal="center"/>
    </xf>
    <xf numFmtId="0" fontId="5" fillId="0" borderId="18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10" fontId="5" fillId="0" borderId="18" xfId="3" applyNumberFormat="1" applyFont="1" applyBorder="1" applyAlignment="1">
      <alignment horizontal="center"/>
    </xf>
    <xf numFmtId="10" fontId="5" fillId="0" borderId="22" xfId="3" applyNumberFormat="1" applyFont="1" applyBorder="1" applyAlignment="1">
      <alignment horizontal="center"/>
    </xf>
    <xf numFmtId="0" fontId="5" fillId="0" borderId="23" xfId="0" applyFont="1" applyBorder="1" applyAlignment="1">
      <alignment horizontal="left" indent="1"/>
    </xf>
    <xf numFmtId="10" fontId="5" fillId="0" borderId="24" xfId="3" applyNumberFormat="1" applyFont="1" applyBorder="1" applyAlignment="1">
      <alignment horizontal="center"/>
    </xf>
    <xf numFmtId="0" fontId="5" fillId="0" borderId="25" xfId="0" applyFont="1" applyBorder="1" applyAlignment="1">
      <alignment horizontal="left" indent="1"/>
    </xf>
    <xf numFmtId="1" fontId="5" fillId="0" borderId="26" xfId="0" applyNumberFormat="1" applyFont="1" applyBorder="1" applyAlignment="1">
      <alignment horizontal="center"/>
    </xf>
    <xf numFmtId="166" fontId="5" fillId="0" borderId="26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10" fontId="5" fillId="0" borderId="26" xfId="3" applyNumberFormat="1" applyFont="1" applyBorder="1" applyAlignment="1">
      <alignment horizontal="center"/>
    </xf>
    <xf numFmtId="10" fontId="5" fillId="0" borderId="27" xfId="3" applyNumberFormat="1" applyFont="1" applyBorder="1" applyAlignment="1">
      <alignment horizontal="center"/>
    </xf>
    <xf numFmtId="0" fontId="5" fillId="0" borderId="28" xfId="0" applyFont="1" applyBorder="1" applyAlignment="1">
      <alignment horizontal="left" indent="1"/>
    </xf>
    <xf numFmtId="0" fontId="5" fillId="2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10" fontId="5" fillId="0" borderId="29" xfId="3" applyNumberFormat="1" applyFont="1" applyBorder="1" applyAlignment="1">
      <alignment horizontal="center"/>
    </xf>
    <xf numFmtId="0" fontId="8" fillId="3" borderId="30" xfId="0" applyFont="1" applyFill="1" applyBorder="1"/>
    <xf numFmtId="0" fontId="5" fillId="3" borderId="31" xfId="0" applyFont="1" applyFill="1" applyBorder="1" applyAlignment="1">
      <alignment horizontal="center"/>
    </xf>
    <xf numFmtId="0" fontId="5" fillId="3" borderId="31" xfId="0" applyFont="1" applyFill="1" applyBorder="1"/>
    <xf numFmtId="2" fontId="5" fillId="3" borderId="31" xfId="0" applyNumberFormat="1" applyFont="1" applyFill="1" applyBorder="1" applyAlignment="1">
      <alignment horizontal="center"/>
    </xf>
    <xf numFmtId="10" fontId="5" fillId="3" borderId="31" xfId="3" applyNumberFormat="1" applyFont="1" applyFill="1" applyBorder="1" applyAlignment="1">
      <alignment horizontal="center"/>
    </xf>
    <xf numFmtId="10" fontId="5" fillId="3" borderId="32" xfId="3" applyNumberFormat="1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3" borderId="31" xfId="0" applyNumberFormat="1" applyFont="1" applyFill="1" applyBorder="1" applyAlignment="1">
      <alignment horizontal="center"/>
    </xf>
    <xf numFmtId="0" fontId="8" fillId="4" borderId="30" xfId="0" applyFont="1" applyFill="1" applyBorder="1"/>
    <xf numFmtId="0" fontId="5" fillId="4" borderId="31" xfId="0" applyFont="1" applyFill="1" applyBorder="1" applyAlignment="1">
      <alignment horizontal="center"/>
    </xf>
    <xf numFmtId="0" fontId="5" fillId="4" borderId="31" xfId="0" applyFont="1" applyFill="1" applyBorder="1"/>
    <xf numFmtId="2" fontId="5" fillId="4" borderId="31" xfId="0" applyNumberFormat="1" applyFont="1" applyFill="1" applyBorder="1" applyAlignment="1">
      <alignment horizontal="center"/>
    </xf>
    <xf numFmtId="10" fontId="5" fillId="4" borderId="31" xfId="3" applyNumberFormat="1" applyFont="1" applyFill="1" applyBorder="1" applyAlignment="1">
      <alignment horizontal="center"/>
    </xf>
    <xf numFmtId="10" fontId="5" fillId="4" borderId="32" xfId="3" applyNumberFormat="1" applyFont="1" applyFill="1" applyBorder="1" applyAlignment="1">
      <alignment horizontal="center"/>
    </xf>
    <xf numFmtId="0" fontId="5" fillId="0" borderId="33" xfId="0" applyFont="1" applyBorder="1" applyAlignment="1">
      <alignment horizontal="left" indent="1"/>
    </xf>
    <xf numFmtId="1" fontId="5" fillId="0" borderId="34" xfId="0" applyNumberFormat="1" applyFont="1" applyBorder="1" applyAlignment="1">
      <alignment horizontal="center"/>
    </xf>
    <xf numFmtId="166" fontId="5" fillId="0" borderId="34" xfId="0" applyNumberFormat="1" applyFont="1" applyBorder="1" applyAlignment="1">
      <alignment horizontal="center"/>
    </xf>
    <xf numFmtId="2" fontId="5" fillId="0" borderId="34" xfId="0" applyNumberFormat="1" applyFont="1" applyBorder="1" applyAlignment="1">
      <alignment horizontal="center"/>
    </xf>
    <xf numFmtId="10" fontId="5" fillId="0" borderId="34" xfId="3" applyNumberFormat="1" applyFont="1" applyBorder="1" applyAlignment="1">
      <alignment horizontal="center"/>
    </xf>
    <xf numFmtId="10" fontId="5" fillId="0" borderId="35" xfId="3" applyNumberFormat="1" applyFont="1" applyBorder="1" applyAlignment="1">
      <alignment horizontal="center"/>
    </xf>
    <xf numFmtId="0" fontId="8" fillId="0" borderId="33" xfId="0" applyFont="1" applyBorder="1" applyAlignment="1">
      <alignment horizontal="left" indent="1"/>
    </xf>
    <xf numFmtId="0" fontId="5" fillId="0" borderId="34" xfId="0" applyFont="1" applyBorder="1" applyAlignment="1">
      <alignment horizontal="center"/>
    </xf>
    <xf numFmtId="9" fontId="5" fillId="0" borderId="34" xfId="3" applyFont="1" applyBorder="1" applyAlignment="1">
      <alignment horizontal="center"/>
    </xf>
    <xf numFmtId="0" fontId="5" fillId="0" borderId="34" xfId="0" applyFont="1" applyBorder="1"/>
    <xf numFmtId="165" fontId="5" fillId="0" borderId="4" xfId="3" applyNumberFormat="1" applyFont="1" applyBorder="1" applyAlignment="1">
      <alignment horizontal="center"/>
    </xf>
    <xf numFmtId="9" fontId="5" fillId="0" borderId="4" xfId="3" applyFont="1" applyBorder="1" applyAlignment="1">
      <alignment horizontal="center"/>
    </xf>
    <xf numFmtId="168" fontId="5" fillId="0" borderId="17" xfId="0" applyNumberFormat="1" applyFont="1" applyBorder="1" applyAlignment="1">
      <alignment horizontal="center"/>
    </xf>
    <xf numFmtId="168" fontId="5" fillId="0" borderId="26" xfId="0" applyNumberFormat="1" applyFont="1" applyBorder="1" applyAlignment="1">
      <alignment horizontal="center"/>
    </xf>
    <xf numFmtId="10" fontId="0" fillId="0" borderId="0" xfId="3" applyNumberFormat="1" applyFont="1"/>
    <xf numFmtId="0" fontId="8" fillId="0" borderId="3" xfId="0" applyFont="1" applyBorder="1"/>
    <xf numFmtId="169" fontId="0" fillId="0" borderId="0" xfId="1" applyNumberFormat="1" applyFont="1"/>
    <xf numFmtId="44" fontId="8" fillId="4" borderId="31" xfId="2" applyFont="1" applyFill="1" applyBorder="1" applyAlignment="1">
      <alignment horizontal="center"/>
    </xf>
    <xf numFmtId="9" fontId="0" fillId="0" borderId="0" xfId="3" applyFont="1"/>
    <xf numFmtId="0" fontId="5" fillId="0" borderId="23" xfId="0" applyFont="1" applyBorder="1" applyAlignment="1">
      <alignment horizontal="left"/>
    </xf>
    <xf numFmtId="0" fontId="4" fillId="0" borderId="0" xfId="0" applyFont="1" applyAlignment="1">
      <alignment horizontal="center"/>
    </xf>
    <xf numFmtId="164" fontId="0" fillId="0" borderId="0" xfId="1" applyNumberFormat="1" applyFont="1" applyFill="1"/>
    <xf numFmtId="0" fontId="1" fillId="0" borderId="0" xfId="0" applyFont="1"/>
    <xf numFmtId="0" fontId="0" fillId="0" borderId="16" xfId="0" applyBorder="1" applyAlignment="1">
      <alignment horizontal="center"/>
    </xf>
    <xf numFmtId="167" fontId="0" fillId="0" borderId="16" xfId="1" applyNumberFormat="1" applyFont="1" applyBorder="1"/>
    <xf numFmtId="43" fontId="0" fillId="0" borderId="16" xfId="1" applyFont="1" applyBorder="1"/>
    <xf numFmtId="165" fontId="0" fillId="0" borderId="16" xfId="3" applyNumberFormat="1" applyFont="1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/>
    <xf numFmtId="165" fontId="0" fillId="0" borderId="24" xfId="3" applyNumberFormat="1" applyFont="1" applyBorder="1"/>
    <xf numFmtId="0" fontId="0" fillId="0" borderId="36" xfId="0" applyBorder="1"/>
    <xf numFmtId="167" fontId="0" fillId="0" borderId="19" xfId="1" applyNumberFormat="1" applyFont="1" applyBorder="1"/>
    <xf numFmtId="43" fontId="0" fillId="0" borderId="19" xfId="1" applyFont="1" applyBorder="1"/>
    <xf numFmtId="165" fontId="0" fillId="0" borderId="19" xfId="3" applyNumberFormat="1" applyFont="1" applyBorder="1"/>
    <xf numFmtId="165" fontId="0" fillId="0" borderId="20" xfId="3" applyNumberFormat="1" applyFont="1" applyBorder="1"/>
    <xf numFmtId="0" fontId="0" fillId="0" borderId="28" xfId="0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167" fontId="0" fillId="5" borderId="16" xfId="1" applyNumberFormat="1" applyFont="1" applyFill="1" applyBorder="1"/>
    <xf numFmtId="167" fontId="0" fillId="5" borderId="19" xfId="1" applyNumberFormat="1" applyFont="1" applyFill="1" applyBorder="1"/>
    <xf numFmtId="165" fontId="0" fillId="5" borderId="16" xfId="3" applyNumberFormat="1" applyFont="1" applyFill="1" applyBorder="1"/>
    <xf numFmtId="165" fontId="0" fillId="5" borderId="19" xfId="3" applyNumberFormat="1" applyFont="1" applyFill="1" applyBorder="1"/>
    <xf numFmtId="0" fontId="8" fillId="0" borderId="18" xfId="0" applyFont="1" applyBorder="1" applyAlignment="1">
      <alignment horizontal="center"/>
    </xf>
    <xf numFmtId="0" fontId="5" fillId="0" borderId="37" xfId="0" applyFont="1" applyBorder="1"/>
    <xf numFmtId="0" fontId="5" fillId="0" borderId="38" xfId="0" applyFont="1" applyBorder="1" applyAlignment="1">
      <alignment horizontal="center"/>
    </xf>
    <xf numFmtId="0" fontId="5" fillId="0" borderId="38" xfId="0" applyFont="1" applyBorder="1"/>
    <xf numFmtId="0" fontId="5" fillId="0" borderId="39" xfId="0" applyFont="1" applyBorder="1"/>
    <xf numFmtId="0" fontId="6" fillId="0" borderId="4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44" fontId="6" fillId="0" borderId="0" xfId="0" applyNumberFormat="1" applyFont="1" applyBorder="1"/>
    <xf numFmtId="0" fontId="6" fillId="0" borderId="41" xfId="0" applyFont="1" applyBorder="1"/>
    <xf numFmtId="0" fontId="6" fillId="6" borderId="1" xfId="0" applyFont="1" applyFill="1" applyBorder="1"/>
    <xf numFmtId="0" fontId="6" fillId="6" borderId="42" xfId="0" applyFont="1" applyFill="1" applyBorder="1" applyAlignment="1">
      <alignment horizontal="center"/>
    </xf>
    <xf numFmtId="0" fontId="6" fillId="6" borderId="42" xfId="0" applyFont="1" applyFill="1" applyBorder="1"/>
    <xf numFmtId="44" fontId="6" fillId="6" borderId="42" xfId="0" applyNumberFormat="1" applyFont="1" applyFill="1" applyBorder="1"/>
    <xf numFmtId="0" fontId="6" fillId="6" borderId="2" xfId="0" applyFont="1" applyFill="1" applyBorder="1"/>
    <xf numFmtId="44" fontId="6" fillId="6" borderId="42" xfId="0" applyNumberFormat="1" applyFont="1" applyFill="1" applyBorder="1" applyAlignment="1">
      <alignment horizontal="center"/>
    </xf>
    <xf numFmtId="10" fontId="6" fillId="6" borderId="42" xfId="3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4" fillId="0" borderId="21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114300</xdr:rowOff>
    </xdr:from>
    <xdr:to>
      <xdr:col>8</xdr:col>
      <xdr:colOff>800100</xdr:colOff>
      <xdr:row>12</xdr:row>
      <xdr:rowOff>152400</xdr:rowOff>
    </xdr:to>
    <xdr:pic>
      <xdr:nvPicPr>
        <xdr:cNvPr id="1025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14097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0:I27"/>
  <sheetViews>
    <sheetView tabSelected="1" topLeftCell="A4" workbookViewId="0">
      <selection activeCell="G34" sqref="G34"/>
    </sheetView>
  </sheetViews>
  <sheetFormatPr defaultRowHeight="12.75"/>
  <cols>
    <col min="1" max="1" width="5" customWidth="1"/>
    <col min="9" max="9" width="47" customWidth="1"/>
  </cols>
  <sheetData>
    <row r="20" spans="2:9" ht="33.75">
      <c r="B20" s="147" t="s">
        <v>47</v>
      </c>
      <c r="C20" s="147"/>
      <c r="D20" s="147"/>
      <c r="E20" s="147"/>
      <c r="F20" s="147"/>
      <c r="G20" s="147"/>
      <c r="H20" s="147"/>
      <c r="I20" s="147"/>
    </row>
    <row r="21" spans="2:9" ht="33.75">
      <c r="B21" s="147" t="s">
        <v>52</v>
      </c>
      <c r="C21" s="147"/>
      <c r="D21" s="147"/>
      <c r="E21" s="147"/>
      <c r="F21" s="147"/>
      <c r="G21" s="147"/>
      <c r="H21" s="147"/>
      <c r="I21" s="147"/>
    </row>
    <row r="22" spans="2:9" ht="33.75">
      <c r="B22" s="147" t="s">
        <v>63</v>
      </c>
      <c r="C22" s="147"/>
      <c r="D22" s="147"/>
      <c r="E22" s="147"/>
      <c r="F22" s="147"/>
      <c r="G22" s="147"/>
      <c r="H22" s="147"/>
      <c r="I22" s="147"/>
    </row>
    <row r="23" spans="2:9" ht="33.75">
      <c r="B23" s="147" t="s">
        <v>64</v>
      </c>
      <c r="C23" s="147"/>
      <c r="D23" s="147"/>
      <c r="E23" s="147"/>
      <c r="F23" s="147"/>
      <c r="G23" s="147"/>
      <c r="H23" s="147"/>
      <c r="I23" s="147"/>
    </row>
    <row r="24" spans="2:9" ht="33.75">
      <c r="B24" s="147" t="s">
        <v>65</v>
      </c>
      <c r="C24" s="147"/>
      <c r="D24" s="147"/>
      <c r="E24" s="147"/>
      <c r="F24" s="147"/>
      <c r="G24" s="147"/>
      <c r="H24" s="147"/>
      <c r="I24" s="147"/>
    </row>
    <row r="25" spans="2:9" ht="33.75">
      <c r="B25" s="148"/>
      <c r="C25" s="148"/>
      <c r="D25" s="148"/>
      <c r="E25" s="148"/>
      <c r="F25" s="148"/>
      <c r="G25" s="148"/>
      <c r="H25" s="148"/>
      <c r="I25" s="148"/>
    </row>
    <row r="26" spans="2:9" ht="33.75">
      <c r="B26" s="148" t="s">
        <v>67</v>
      </c>
      <c r="C26" s="148"/>
      <c r="D26" s="148"/>
      <c r="E26" s="148"/>
      <c r="F26" s="148"/>
      <c r="G26" s="148"/>
      <c r="H26" s="148"/>
      <c r="I26" s="148"/>
    </row>
    <row r="27" spans="2:9" ht="33.75">
      <c r="B27" s="147" t="s">
        <v>68</v>
      </c>
      <c r="C27" s="148"/>
      <c r="D27" s="148"/>
      <c r="E27" s="148"/>
      <c r="F27" s="148"/>
      <c r="G27" s="148"/>
      <c r="H27" s="148"/>
      <c r="I27" s="148"/>
    </row>
  </sheetData>
  <mergeCells count="8">
    <mergeCell ref="B27:I27"/>
    <mergeCell ref="B26:I26"/>
    <mergeCell ref="B25:I25"/>
    <mergeCell ref="B20:I20"/>
    <mergeCell ref="B21:I21"/>
    <mergeCell ref="B22:I22"/>
    <mergeCell ref="B24:I24"/>
    <mergeCell ref="B23:I23"/>
  </mergeCells>
  <phoneticPr fontId="2" type="noConversion"/>
  <pageMargins left="0.75" right="0.75" top="1" bottom="1" header="0.5" footer="0.5"/>
  <pageSetup scale="78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71"/>
  <sheetViews>
    <sheetView zoomScaleNormal="100" workbookViewId="0">
      <selection activeCell="F55" sqref="F55"/>
    </sheetView>
  </sheetViews>
  <sheetFormatPr defaultRowHeight="12.75"/>
  <cols>
    <col min="1" max="1" width="84.28515625" bestFit="1" customWidth="1"/>
    <col min="2" max="2" width="6.7109375" style="2" customWidth="1"/>
    <col min="3" max="3" width="2.85546875" style="2" customWidth="1"/>
    <col min="4" max="4" width="11.28515625" bestFit="1" customWidth="1"/>
    <col min="5" max="5" width="2.85546875" customWidth="1"/>
    <col min="6" max="6" width="10.85546875" customWidth="1"/>
  </cols>
  <sheetData>
    <row r="3" spans="1:6" ht="38.25">
      <c r="A3" s="1" t="s">
        <v>0</v>
      </c>
      <c r="B3" s="9" t="s">
        <v>25</v>
      </c>
      <c r="C3" s="9"/>
      <c r="D3" s="10" t="s">
        <v>49</v>
      </c>
      <c r="E3" s="9"/>
      <c r="F3" s="10" t="s">
        <v>53</v>
      </c>
    </row>
    <row r="4" spans="1:6">
      <c r="A4" s="1" t="s">
        <v>1</v>
      </c>
    </row>
    <row r="5" spans="1:6">
      <c r="A5" t="s">
        <v>3</v>
      </c>
      <c r="B5" s="2" t="s">
        <v>15</v>
      </c>
      <c r="D5" s="3">
        <v>20.92</v>
      </c>
      <c r="E5" s="101"/>
      <c r="F5" s="3">
        <v>21.29</v>
      </c>
    </row>
    <row r="6" spans="1:6">
      <c r="A6" t="s">
        <v>2</v>
      </c>
      <c r="B6" s="2" t="s">
        <v>15</v>
      </c>
      <c r="D6" s="6">
        <v>1</v>
      </c>
      <c r="E6" s="3"/>
      <c r="F6" s="6">
        <v>1</v>
      </c>
    </row>
    <row r="7" spans="1:6">
      <c r="A7" t="s">
        <v>4</v>
      </c>
      <c r="B7" s="2" t="s">
        <v>16</v>
      </c>
      <c r="D7" s="4">
        <v>2.9399999999999999E-2</v>
      </c>
      <c r="E7" s="101"/>
      <c r="F7" s="4">
        <v>2.9899999999999999E-2</v>
      </c>
    </row>
    <row r="8" spans="1:6">
      <c r="A8" s="109" t="s">
        <v>50</v>
      </c>
      <c r="B8" s="2" t="s">
        <v>16</v>
      </c>
      <c r="D8" s="108">
        <v>4.4000000000000003E-3</v>
      </c>
      <c r="F8" s="108">
        <v>4.4000000000000003E-3</v>
      </c>
    </row>
    <row r="9" spans="1:6">
      <c r="A9" s="109" t="s">
        <v>69</v>
      </c>
      <c r="B9" s="2" t="s">
        <v>16</v>
      </c>
      <c r="D9" s="108"/>
      <c r="F9" s="108">
        <v>-3.5999999999999999E-3</v>
      </c>
    </row>
    <row r="10" spans="1:6">
      <c r="A10" s="109" t="s">
        <v>54</v>
      </c>
      <c r="B10" s="2" t="s">
        <v>16</v>
      </c>
      <c r="D10" s="4"/>
      <c r="E10" s="3"/>
      <c r="F10" s="4">
        <v>-2.0000000000000001E-4</v>
      </c>
    </row>
    <row r="11" spans="1:6">
      <c r="A11" t="s">
        <v>5</v>
      </c>
      <c r="B11" s="2" t="s">
        <v>16</v>
      </c>
      <c r="D11" s="4">
        <v>5.7000000000000002E-3</v>
      </c>
      <c r="E11" s="5"/>
      <c r="F11" s="4">
        <v>6.1999999999999998E-3</v>
      </c>
    </row>
    <row r="12" spans="1:6">
      <c r="A12" t="s">
        <v>6</v>
      </c>
      <c r="B12" s="2" t="s">
        <v>16</v>
      </c>
      <c r="D12" s="4">
        <v>4.7000000000000002E-3</v>
      </c>
      <c r="E12" s="7"/>
      <c r="F12" s="4">
        <v>4.8999999999999998E-3</v>
      </c>
    </row>
    <row r="13" spans="1:6">
      <c r="A13" t="s">
        <v>7</v>
      </c>
      <c r="B13" s="2" t="s">
        <v>16</v>
      </c>
      <c r="D13" s="4">
        <v>5.1999999999999998E-3</v>
      </c>
      <c r="E13" s="3"/>
      <c r="F13" s="4">
        <v>5.1999999999999998E-3</v>
      </c>
    </row>
    <row r="14" spans="1:6">
      <c r="A14" t="s">
        <v>8</v>
      </c>
      <c r="B14" s="2" t="s">
        <v>16</v>
      </c>
      <c r="D14" s="4">
        <v>1.2999999999999999E-3</v>
      </c>
      <c r="E14" s="4"/>
      <c r="F14" s="4">
        <v>1.2999999999999999E-3</v>
      </c>
    </row>
    <row r="15" spans="1:6">
      <c r="A15" t="s">
        <v>45</v>
      </c>
      <c r="B15" s="2" t="s">
        <v>16</v>
      </c>
      <c r="D15" s="103"/>
      <c r="E15" s="4"/>
      <c r="F15" s="103"/>
    </row>
    <row r="16" spans="1:6">
      <c r="A16" t="s">
        <v>9</v>
      </c>
      <c r="B16" s="2" t="s">
        <v>15</v>
      </c>
      <c r="D16" s="3">
        <v>0.25</v>
      </c>
      <c r="E16" s="3"/>
      <c r="F16" s="3">
        <v>0.25</v>
      </c>
    </row>
    <row r="18" spans="1:6">
      <c r="A18" s="1" t="s">
        <v>10</v>
      </c>
    </row>
    <row r="19" spans="1:6">
      <c r="A19" t="s">
        <v>3</v>
      </c>
      <c r="B19" s="2" t="s">
        <v>15</v>
      </c>
      <c r="D19" s="3">
        <v>596.12</v>
      </c>
      <c r="E19" s="101"/>
      <c r="F19" s="3">
        <v>596.12</v>
      </c>
    </row>
    <row r="20" spans="1:6">
      <c r="A20" t="s">
        <v>2</v>
      </c>
      <c r="B20" s="2" t="s">
        <v>15</v>
      </c>
      <c r="D20" s="6">
        <v>1</v>
      </c>
      <c r="E20" s="3"/>
      <c r="F20" s="6">
        <v>1</v>
      </c>
    </row>
    <row r="21" spans="1:6">
      <c r="A21" t="s">
        <v>4</v>
      </c>
      <c r="B21" s="2" t="s">
        <v>17</v>
      </c>
      <c r="D21" s="4">
        <v>2.5728</v>
      </c>
      <c r="E21" s="101"/>
      <c r="F21" s="4">
        <v>2.6574</v>
      </c>
    </row>
    <row r="22" spans="1:6">
      <c r="A22" s="109" t="s">
        <v>50</v>
      </c>
      <c r="B22" s="2" t="s">
        <v>17</v>
      </c>
      <c r="D22" s="108">
        <v>2.1951000000000001</v>
      </c>
      <c r="F22" s="108">
        <v>2.1951000000000001</v>
      </c>
    </row>
    <row r="23" spans="1:6">
      <c r="A23" s="109" t="s">
        <v>69</v>
      </c>
      <c r="B23" s="2" t="s">
        <v>17</v>
      </c>
      <c r="D23" s="108"/>
      <c r="F23" s="108">
        <v>-1.6952</v>
      </c>
    </row>
    <row r="24" spans="1:6">
      <c r="A24" s="109" t="s">
        <v>54</v>
      </c>
      <c r="B24" s="2" t="s">
        <v>17</v>
      </c>
      <c r="D24" s="4"/>
      <c r="E24" s="3"/>
      <c r="F24" s="4">
        <v>-2.2800000000000001E-2</v>
      </c>
    </row>
    <row r="25" spans="1:6">
      <c r="A25" t="s">
        <v>5</v>
      </c>
      <c r="B25" s="2" t="s">
        <v>17</v>
      </c>
      <c r="D25" s="4">
        <v>2.1217999999999999</v>
      </c>
      <c r="E25" s="5"/>
      <c r="F25" s="4">
        <v>2.3003999999999998</v>
      </c>
    </row>
    <row r="26" spans="1:6">
      <c r="A26" t="s">
        <v>6</v>
      </c>
      <c r="B26" s="2" t="s">
        <v>17</v>
      </c>
      <c r="D26" s="4">
        <v>1.6634</v>
      </c>
      <c r="E26" s="7"/>
      <c r="F26" s="4">
        <v>1.7452000000000001</v>
      </c>
    </row>
    <row r="27" spans="1:6">
      <c r="A27" t="s">
        <v>11</v>
      </c>
      <c r="B27" s="2" t="s">
        <v>17</v>
      </c>
      <c r="D27" s="4">
        <v>2.2507999999999999</v>
      </c>
      <c r="E27" s="5"/>
      <c r="F27" s="4">
        <v>2.4403000000000001</v>
      </c>
    </row>
    <row r="28" spans="1:6">
      <c r="A28" t="s">
        <v>12</v>
      </c>
      <c r="B28" s="2" t="s">
        <v>17</v>
      </c>
      <c r="D28" s="4">
        <v>1.8384</v>
      </c>
      <c r="E28" s="7"/>
      <c r="F28" s="4">
        <v>1.9288000000000001</v>
      </c>
    </row>
    <row r="29" spans="1:6">
      <c r="A29" t="s">
        <v>7</v>
      </c>
      <c r="B29" s="2" t="s">
        <v>16</v>
      </c>
      <c r="D29" s="4">
        <v>5.1999999999999998E-3</v>
      </c>
      <c r="E29" s="3"/>
      <c r="F29" s="4">
        <v>5.1999999999999998E-3</v>
      </c>
    </row>
    <row r="30" spans="1:6">
      <c r="A30" t="s">
        <v>8</v>
      </c>
      <c r="B30" s="2" t="s">
        <v>16</v>
      </c>
      <c r="D30" s="4">
        <v>1.2999999999999999E-3</v>
      </c>
      <c r="E30" s="4"/>
      <c r="F30" s="4">
        <v>1.2999999999999999E-3</v>
      </c>
    </row>
    <row r="31" spans="1:6">
      <c r="A31" t="s">
        <v>45</v>
      </c>
      <c r="B31" s="2" t="s">
        <v>16</v>
      </c>
      <c r="D31" s="103"/>
      <c r="E31" s="4"/>
      <c r="F31" s="103"/>
    </row>
    <row r="32" spans="1:6">
      <c r="A32" t="s">
        <v>9</v>
      </c>
      <c r="B32" s="2" t="s">
        <v>15</v>
      </c>
      <c r="D32" s="3">
        <v>0.25</v>
      </c>
      <c r="E32" s="3"/>
      <c r="F32" s="3">
        <v>0.25</v>
      </c>
    </row>
    <row r="34" spans="1:6">
      <c r="A34" s="1" t="s">
        <v>13</v>
      </c>
    </row>
    <row r="35" spans="1:6">
      <c r="A35" t="s">
        <v>3</v>
      </c>
      <c r="B35" s="2" t="s">
        <v>15</v>
      </c>
      <c r="D35" s="3">
        <v>26.07</v>
      </c>
      <c r="E35" s="101"/>
      <c r="F35" s="3">
        <v>25.85</v>
      </c>
    </row>
    <row r="36" spans="1:6">
      <c r="A36" t="s">
        <v>2</v>
      </c>
      <c r="B36" s="2" t="s">
        <v>15</v>
      </c>
      <c r="D36" s="6">
        <v>1</v>
      </c>
      <c r="E36" s="3"/>
      <c r="F36" s="6">
        <v>1</v>
      </c>
    </row>
    <row r="37" spans="1:6">
      <c r="A37" t="s">
        <v>4</v>
      </c>
      <c r="B37" s="2" t="s">
        <v>16</v>
      </c>
      <c r="D37" s="4">
        <v>0.10009999999999999</v>
      </c>
      <c r="E37" s="101"/>
      <c r="F37" s="4">
        <v>9.9400000000000002E-2</v>
      </c>
    </row>
    <row r="38" spans="1:6">
      <c r="A38" s="109" t="s">
        <v>50</v>
      </c>
      <c r="B38" s="2" t="s">
        <v>16</v>
      </c>
      <c r="D38" s="108">
        <v>4.4999999999999997E-3</v>
      </c>
      <c r="F38" s="108">
        <v>4.4999999999999997E-3</v>
      </c>
    </row>
    <row r="39" spans="1:6">
      <c r="A39" s="109" t="s">
        <v>69</v>
      </c>
      <c r="B39" s="2" t="s">
        <v>16</v>
      </c>
      <c r="D39" s="108"/>
      <c r="F39" s="108">
        <v>-3.5999999999999999E-3</v>
      </c>
    </row>
    <row r="40" spans="1:6">
      <c r="A40" s="109" t="s">
        <v>51</v>
      </c>
      <c r="B40" s="2" t="s">
        <v>16</v>
      </c>
      <c r="D40" s="108">
        <v>3.0700000000000002E-2</v>
      </c>
      <c r="F40" s="108">
        <v>3.0700000000000002E-2</v>
      </c>
    </row>
    <row r="41" spans="1:6">
      <c r="A41" s="109" t="s">
        <v>54</v>
      </c>
      <c r="B41" s="2" t="s">
        <v>16</v>
      </c>
      <c r="D41" s="4"/>
      <c r="E41" s="3"/>
      <c r="F41" s="4">
        <v>-2.0000000000000001E-4</v>
      </c>
    </row>
    <row r="42" spans="1:6">
      <c r="A42" t="s">
        <v>5</v>
      </c>
      <c r="B42" s="2" t="s">
        <v>16</v>
      </c>
      <c r="D42" s="4">
        <v>5.7000000000000002E-3</v>
      </c>
      <c r="E42" s="5"/>
      <c r="F42" s="4">
        <v>6.1999999999999998E-3</v>
      </c>
    </row>
    <row r="43" spans="1:6">
      <c r="A43" t="s">
        <v>6</v>
      </c>
      <c r="B43" s="2" t="s">
        <v>16</v>
      </c>
      <c r="D43" s="4">
        <v>4.7000000000000002E-3</v>
      </c>
      <c r="E43" s="7"/>
      <c r="F43" s="4">
        <v>4.8999999999999998E-3</v>
      </c>
    </row>
    <row r="44" spans="1:6">
      <c r="A44" t="s">
        <v>7</v>
      </c>
      <c r="B44" s="2" t="s">
        <v>16</v>
      </c>
      <c r="D44" s="4">
        <v>5.1999999999999998E-3</v>
      </c>
      <c r="E44" s="3"/>
      <c r="F44" s="4">
        <v>5.1999999999999998E-3</v>
      </c>
    </row>
    <row r="45" spans="1:6">
      <c r="A45" t="s">
        <v>8</v>
      </c>
      <c r="B45" s="2" t="s">
        <v>16</v>
      </c>
      <c r="D45" s="4">
        <v>1.2999999999999999E-3</v>
      </c>
      <c r="E45" s="4"/>
      <c r="F45" s="4">
        <v>1.2999999999999999E-3</v>
      </c>
    </row>
    <row r="46" spans="1:6">
      <c r="A46" t="s">
        <v>45</v>
      </c>
      <c r="B46" s="2" t="s">
        <v>16</v>
      </c>
      <c r="D46" s="103"/>
      <c r="E46" s="4"/>
      <c r="F46" s="103"/>
    </row>
    <row r="47" spans="1:6">
      <c r="A47" t="s">
        <v>9</v>
      </c>
      <c r="B47" s="2" t="s">
        <v>15</v>
      </c>
      <c r="D47" s="3">
        <v>0.25</v>
      </c>
      <c r="E47" s="3"/>
      <c r="F47" s="3">
        <v>0.25</v>
      </c>
    </row>
    <row r="49" spans="1:6">
      <c r="A49" s="1" t="s">
        <v>14</v>
      </c>
    </row>
    <row r="50" spans="1:6">
      <c r="A50" t="s">
        <v>3</v>
      </c>
      <c r="B50" s="2" t="s">
        <v>15</v>
      </c>
      <c r="D50" s="3">
        <v>0.96</v>
      </c>
      <c r="E50" s="101"/>
      <c r="F50" s="3">
        <v>0.97</v>
      </c>
    </row>
    <row r="51" spans="1:6">
      <c r="A51" t="s">
        <v>2</v>
      </c>
      <c r="B51" s="2" t="s">
        <v>15</v>
      </c>
      <c r="D51" s="6">
        <v>0</v>
      </c>
      <c r="E51" s="3"/>
      <c r="F51" s="6">
        <v>0</v>
      </c>
    </row>
    <row r="52" spans="1:6">
      <c r="A52" t="s">
        <v>4</v>
      </c>
      <c r="B52" s="2" t="s">
        <v>16</v>
      </c>
      <c r="D52" s="4">
        <v>0.1537</v>
      </c>
      <c r="E52" s="101"/>
      <c r="F52" s="4">
        <v>0.18149999999999999</v>
      </c>
    </row>
    <row r="53" spans="1:6">
      <c r="A53" s="109" t="s">
        <v>50</v>
      </c>
      <c r="B53" s="2" t="s">
        <v>16</v>
      </c>
      <c r="D53" s="108">
        <v>4.7000000000000002E-3</v>
      </c>
      <c r="F53" s="108">
        <v>4.7000000000000002E-3</v>
      </c>
    </row>
    <row r="54" spans="1:6">
      <c r="A54" s="109" t="s">
        <v>69</v>
      </c>
      <c r="B54" s="2" t="s">
        <v>16</v>
      </c>
      <c r="D54" s="108"/>
      <c r="F54" s="108">
        <v>-3.5999999999999999E-3</v>
      </c>
    </row>
    <row r="55" spans="1:6">
      <c r="A55" s="109" t="s">
        <v>54</v>
      </c>
      <c r="B55" s="2" t="s">
        <v>16</v>
      </c>
      <c r="D55" s="4"/>
      <c r="E55" s="3"/>
      <c r="F55" s="4">
        <v>-2.0000000000000001E-4</v>
      </c>
    </row>
    <row r="56" spans="1:6">
      <c r="A56" t="s">
        <v>5</v>
      </c>
      <c r="B56" s="2" t="s">
        <v>17</v>
      </c>
      <c r="D56" s="4">
        <v>1.6002000000000001</v>
      </c>
      <c r="E56" s="5"/>
      <c r="F56" s="4">
        <v>1.7349000000000001</v>
      </c>
    </row>
    <row r="57" spans="1:6">
      <c r="A57" t="s">
        <v>6</v>
      </c>
      <c r="B57" s="2" t="s">
        <v>17</v>
      </c>
      <c r="D57" s="4">
        <v>1.2859</v>
      </c>
      <c r="E57" s="7"/>
      <c r="F57" s="4">
        <v>1.3491</v>
      </c>
    </row>
    <row r="58" spans="1:6">
      <c r="A58" t="s">
        <v>7</v>
      </c>
      <c r="B58" s="2" t="s">
        <v>16</v>
      </c>
      <c r="D58" s="4">
        <v>5.1999999999999998E-3</v>
      </c>
      <c r="E58" s="3"/>
      <c r="F58" s="4">
        <v>5.1999999999999998E-3</v>
      </c>
    </row>
    <row r="59" spans="1:6">
      <c r="A59" t="s">
        <v>8</v>
      </c>
      <c r="B59" s="2" t="s">
        <v>16</v>
      </c>
      <c r="D59" s="4">
        <v>1.2999999999999999E-3</v>
      </c>
      <c r="E59" s="4"/>
      <c r="F59" s="4">
        <v>1.2999999999999999E-3</v>
      </c>
    </row>
    <row r="60" spans="1:6">
      <c r="A60" t="s">
        <v>45</v>
      </c>
      <c r="B60" s="2" t="s">
        <v>16</v>
      </c>
      <c r="D60" s="103"/>
      <c r="E60" s="4"/>
      <c r="F60" s="103"/>
    </row>
    <row r="61" spans="1:6">
      <c r="A61" t="s">
        <v>9</v>
      </c>
      <c r="B61" s="2" t="s">
        <v>15</v>
      </c>
      <c r="D61" s="3">
        <v>0.25</v>
      </c>
      <c r="E61" s="3"/>
      <c r="F61" s="3">
        <v>0.25</v>
      </c>
    </row>
    <row r="63" spans="1:6">
      <c r="A63" s="1" t="s">
        <v>18</v>
      </c>
    </row>
    <row r="64" spans="1:6">
      <c r="A64" t="s">
        <v>19</v>
      </c>
      <c r="B64" s="2" t="s">
        <v>16</v>
      </c>
      <c r="D64" s="4">
        <v>2E-3</v>
      </c>
      <c r="F64" s="4">
        <v>2E-3</v>
      </c>
    </row>
    <row r="65" spans="1:6">
      <c r="A65" t="s">
        <v>20</v>
      </c>
      <c r="B65" s="2" t="s">
        <v>16</v>
      </c>
      <c r="D65" s="4">
        <v>6.8000000000000005E-2</v>
      </c>
      <c r="F65" s="4">
        <v>6.8000000000000005E-2</v>
      </c>
    </row>
    <row r="66" spans="1:6">
      <c r="A66" t="s">
        <v>21</v>
      </c>
      <c r="B66" s="2" t="s">
        <v>16</v>
      </c>
      <c r="D66" s="4">
        <v>7.9000000000000001E-2</v>
      </c>
      <c r="F66" s="4">
        <v>7.9000000000000001E-2</v>
      </c>
    </row>
    <row r="69" spans="1:6">
      <c r="A69" s="1" t="s">
        <v>23</v>
      </c>
      <c r="E69" s="3"/>
    </row>
    <row r="70" spans="1:6">
      <c r="A70" t="s">
        <v>24</v>
      </c>
      <c r="D70" s="4">
        <v>1.0864</v>
      </c>
      <c r="F70" s="4">
        <v>1.0864</v>
      </c>
    </row>
    <row r="71" spans="1:6">
      <c r="A71" t="s">
        <v>46</v>
      </c>
      <c r="D71" s="105">
        <v>0.13</v>
      </c>
      <c r="F71" s="105">
        <v>0.13</v>
      </c>
    </row>
  </sheetData>
  <phoneticPr fontId="2" type="noConversion"/>
  <pageMargins left="0.75" right="0.75" top="1" bottom="1" header="0.5" footer="0.5"/>
  <pageSetup scale="71" orientation="portrait" verticalDpi="1200" r:id="rId1"/>
  <headerFooter alignWithMargins="0">
    <oddHeader xml:space="preserve">&amp;C&amp;"Arial,Bold"&amp;16Electricity Distribution Impacts
Rates Effective January 1, 2012&amp;"Arial,Regular"&amp;10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48"/>
  <sheetViews>
    <sheetView topLeftCell="A10" zoomScaleNormal="100" workbookViewId="0">
      <selection activeCell="A46" sqref="A46:J48"/>
    </sheetView>
  </sheetViews>
  <sheetFormatPr defaultRowHeight="12"/>
  <cols>
    <col min="1" max="1" width="73.140625" style="8" bestFit="1" customWidth="1"/>
    <col min="2" max="2" width="10.42578125" style="11" bestFit="1" customWidth="1"/>
    <col min="3" max="3" width="10" style="8" bestFit="1" customWidth="1"/>
    <col min="4" max="4" width="11.85546875" style="8" bestFit="1" customWidth="1"/>
    <col min="5" max="6" width="9.28515625" style="8" bestFit="1" customWidth="1"/>
    <col min="7" max="7" width="11.5703125" style="8" bestFit="1" customWidth="1"/>
    <col min="8" max="8" width="10.5703125" style="8" bestFit="1" customWidth="1"/>
    <col min="9" max="9" width="9.28515625" style="8" bestFit="1" customWidth="1"/>
    <col min="10" max="10" width="11.710937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Rates!A4</f>
        <v>Residential - R1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2012</v>
      </c>
    </row>
    <row r="4" spans="1:4">
      <c r="A4" s="23" t="str">
        <f>Rates!A5</f>
        <v>Monthly Service Charge</v>
      </c>
      <c r="B4" s="24" t="str">
        <f>Rates!B5</f>
        <v>$</v>
      </c>
      <c r="C4" s="25">
        <f>Rates!D5</f>
        <v>20.92</v>
      </c>
      <c r="D4" s="26">
        <f>Rates!F5</f>
        <v>21.29</v>
      </c>
    </row>
    <row r="5" spans="1:4">
      <c r="A5" s="27" t="str">
        <f>Rates!A6</f>
        <v>Smart Meter Rate Adder</v>
      </c>
      <c r="B5" s="28" t="str">
        <f>Rates!B6</f>
        <v>$</v>
      </c>
      <c r="C5" s="29">
        <f>Rates!D6</f>
        <v>1</v>
      </c>
      <c r="D5" s="30">
        <f>Rates!F6</f>
        <v>1</v>
      </c>
    </row>
    <row r="6" spans="1:4">
      <c r="A6" s="27" t="str">
        <f>Rates!A7</f>
        <v>Distribution Volumetric Rate</v>
      </c>
      <c r="B6" s="28" t="str">
        <f>Rates!B7</f>
        <v>$/kWh</v>
      </c>
      <c r="C6" s="31">
        <f>Rates!D7</f>
        <v>2.9399999999999999E-2</v>
      </c>
      <c r="D6" s="32">
        <f>Rates!F7</f>
        <v>2.9899999999999999E-2</v>
      </c>
    </row>
    <row r="7" spans="1:4">
      <c r="A7" s="27" t="str">
        <f>Rates!A8</f>
        <v>Rate Rider for Deferral/Variance Account Disposition - effective until May 31, 2013</v>
      </c>
      <c r="B7" s="28" t="str">
        <f>Rates!B8</f>
        <v>$/kWh</v>
      </c>
      <c r="C7" s="31">
        <f>Rates!D8</f>
        <v>4.4000000000000003E-3</v>
      </c>
      <c r="D7" s="32">
        <f>Rates!F8</f>
        <v>4.4000000000000003E-3</v>
      </c>
    </row>
    <row r="8" spans="1:4">
      <c r="A8" s="27" t="str">
        <f>Rates!A9</f>
        <v>Rate Rider for Deferral/Variance Account Disposition #2 - effective until May 31, 2013</v>
      </c>
      <c r="B8" s="28" t="str">
        <f>Rates!B9</f>
        <v>$/kWh</v>
      </c>
      <c r="C8" s="31"/>
      <c r="D8" s="32">
        <f>Rates!F9</f>
        <v>-3.5999999999999999E-3</v>
      </c>
    </row>
    <row r="9" spans="1:4">
      <c r="A9" s="27" t="str">
        <f>Rates!A10</f>
        <v>Rate Rider for Tax Changes - effective until December 31, 2012</v>
      </c>
      <c r="B9" s="28" t="str">
        <f>Rates!B10</f>
        <v>$/kWh</v>
      </c>
      <c r="C9" s="31">
        <f>Rates!D10</f>
        <v>0</v>
      </c>
      <c r="D9" s="32">
        <f>Rates!F10</f>
        <v>-2.0000000000000001E-4</v>
      </c>
    </row>
    <row r="10" spans="1:4">
      <c r="A10" s="27" t="str">
        <f>Rates!A11</f>
        <v>Retail Transmission Rate - Network Service Rate</v>
      </c>
      <c r="B10" s="28" t="str">
        <f>Rates!B11</f>
        <v>$/kWh</v>
      </c>
      <c r="C10" s="31">
        <f>Rates!D11</f>
        <v>5.7000000000000002E-3</v>
      </c>
      <c r="D10" s="32">
        <f>Rates!F11</f>
        <v>6.1999999999999998E-3</v>
      </c>
    </row>
    <row r="11" spans="1:4">
      <c r="A11" s="27" t="str">
        <f>Rates!A12</f>
        <v>Retail Transmission Rate - Line and Transformation Connection Service Rate</v>
      </c>
      <c r="B11" s="28" t="str">
        <f>Rates!B12</f>
        <v>$/kWh</v>
      </c>
      <c r="C11" s="31">
        <f>Rates!D12</f>
        <v>4.7000000000000002E-3</v>
      </c>
      <c r="D11" s="32">
        <f>Rates!F12</f>
        <v>4.8999999999999998E-3</v>
      </c>
    </row>
    <row r="12" spans="1:4">
      <c r="A12" s="19" t="str">
        <f>Rates!A13</f>
        <v>Wholesale Market Service Rate</v>
      </c>
      <c r="B12" s="20" t="str">
        <f>Rates!B13</f>
        <v>$/kWh</v>
      </c>
      <c r="C12" s="21">
        <f>Rates!D13</f>
        <v>5.1999999999999998E-3</v>
      </c>
      <c r="D12" s="22">
        <f>Rates!F13</f>
        <v>5.1999999999999998E-3</v>
      </c>
    </row>
    <row r="13" spans="1:4">
      <c r="A13" s="27" t="str">
        <f>Rates!A14</f>
        <v>Rural Rate Protection Charge</v>
      </c>
      <c r="B13" s="28" t="str">
        <f>Rates!B14</f>
        <v>$/kWh</v>
      </c>
      <c r="C13" s="31">
        <f>Rates!D14</f>
        <v>1.2999999999999999E-3</v>
      </c>
      <c r="D13" s="32">
        <f>Rates!F14</f>
        <v>1.2999999999999999E-3</v>
      </c>
    </row>
    <row r="14" spans="1:4">
      <c r="A14" s="106" t="str">
        <f>Rates!A15</f>
        <v>Special Purpose Charge</v>
      </c>
      <c r="B14" s="28" t="str">
        <f>Rates!B15</f>
        <v>$/kWh</v>
      </c>
      <c r="C14" s="31">
        <f>Rates!D15</f>
        <v>0</v>
      </c>
      <c r="D14" s="32">
        <f>Rates!F15</f>
        <v>0</v>
      </c>
    </row>
    <row r="15" spans="1:4" ht="12.75" thickBot="1">
      <c r="A15" s="12" t="str">
        <f>Rates!A16</f>
        <v>Standard Supply Service - Administarive Charge (if applicable)</v>
      </c>
      <c r="B15" s="17" t="str">
        <f>Rates!B16</f>
        <v>$</v>
      </c>
      <c r="C15" s="18">
        <f>Rates!D16</f>
        <v>0.25</v>
      </c>
      <c r="D15" s="13">
        <f>Rates!F16</f>
        <v>0.25</v>
      </c>
    </row>
    <row r="17" spans="1:10" ht="12.75" thickBot="1"/>
    <row r="18" spans="1:10" ht="13.5" thickBot="1">
      <c r="A18" s="33" t="s">
        <v>26</v>
      </c>
      <c r="B18" s="34">
        <v>800</v>
      </c>
      <c r="C18" s="35" t="s">
        <v>27</v>
      </c>
      <c r="D18" s="36"/>
      <c r="E18" s="35" t="s">
        <v>28</v>
      </c>
      <c r="G18" s="102" t="s">
        <v>23</v>
      </c>
      <c r="H18" s="53">
        <f>Rates!F70</f>
        <v>1.0864</v>
      </c>
    </row>
    <row r="19" spans="1:10" ht="13.5" thickBot="1">
      <c r="A19" s="33" t="s">
        <v>29</v>
      </c>
      <c r="B19" s="34">
        <v>750</v>
      </c>
      <c r="C19" s="35" t="s">
        <v>27</v>
      </c>
      <c r="D19" s="37" t="s">
        <v>30</v>
      </c>
      <c r="E19" s="38" t="str">
        <f>IF(D18&gt;0,B18/(D18*24*30.4)," ")</f>
        <v xml:space="preserve"> </v>
      </c>
    </row>
    <row r="20" spans="1:10" ht="12.75" thickBot="1"/>
    <row r="21" spans="1:10" ht="12.75" customHeight="1">
      <c r="A21" s="149" t="str">
        <f>A3</f>
        <v>Residential - R1</v>
      </c>
      <c r="B21" s="151" t="s">
        <v>31</v>
      </c>
      <c r="C21" s="49" t="s">
        <v>37</v>
      </c>
      <c r="D21" s="49" t="s">
        <v>38</v>
      </c>
      <c r="E21" s="151" t="s">
        <v>31</v>
      </c>
      <c r="F21" s="49" t="s">
        <v>37</v>
      </c>
      <c r="G21" s="49" t="s">
        <v>38</v>
      </c>
      <c r="H21" s="153" t="s">
        <v>44</v>
      </c>
      <c r="I21" s="153"/>
      <c r="J21" s="154"/>
    </row>
    <row r="22" spans="1:10" ht="12.75" thickBot="1">
      <c r="A22" s="150"/>
      <c r="B22" s="152"/>
      <c r="C22" s="50" t="s">
        <v>15</v>
      </c>
      <c r="D22" s="50" t="s">
        <v>15</v>
      </c>
      <c r="E22" s="152"/>
      <c r="F22" s="50" t="s">
        <v>15</v>
      </c>
      <c r="G22" s="50" t="s">
        <v>15</v>
      </c>
      <c r="H22" s="50" t="s">
        <v>15</v>
      </c>
      <c r="I22" s="51" t="s">
        <v>22</v>
      </c>
      <c r="J22" s="52" t="s">
        <v>34</v>
      </c>
    </row>
    <row r="23" spans="1:10">
      <c r="A23" s="54" t="s">
        <v>35</v>
      </c>
      <c r="B23" s="55">
        <f>IF(B18*Rates!D70&gt;B19,B19,B18*Rates!D70)</f>
        <v>750</v>
      </c>
      <c r="C23" s="56">
        <f>Rates!D65</f>
        <v>6.8000000000000005E-2</v>
      </c>
      <c r="D23" s="57">
        <f>B23*C23</f>
        <v>51.000000000000007</v>
      </c>
      <c r="E23" s="55">
        <f>IF(B18*H18&gt;B19,B19,B18*H18)</f>
        <v>750</v>
      </c>
      <c r="F23" s="56">
        <f>Rates!F65</f>
        <v>6.8000000000000005E-2</v>
      </c>
      <c r="G23" s="57">
        <f>E23*F23</f>
        <v>51.000000000000007</v>
      </c>
      <c r="H23" s="58">
        <f>G23-D23</f>
        <v>0</v>
      </c>
      <c r="I23" s="59">
        <f>IF(ISERROR(H23/D23),1,H23/D23)</f>
        <v>0</v>
      </c>
      <c r="J23" s="60">
        <f t="shared" ref="J23:J45" si="0">IF(ISERROR(G23/G$45),0,G23/G$45)</f>
        <v>0.36325018929095576</v>
      </c>
    </row>
    <row r="24" spans="1:10" ht="12.75" thickBot="1">
      <c r="A24" s="63" t="s">
        <v>36</v>
      </c>
      <c r="B24" s="64">
        <f>IF(B18*Rates!D70&gt;=B19,B18*Rates!D70-B19,0)</f>
        <v>119.12</v>
      </c>
      <c r="C24" s="65">
        <f>Rates!D66</f>
        <v>7.9000000000000001E-2</v>
      </c>
      <c r="D24" s="66">
        <f>B24*C24</f>
        <v>9.4104799999999997</v>
      </c>
      <c r="E24" s="64">
        <f>IF(B18*H18&gt;=B19,B18*H18-B19,0)</f>
        <v>119.12</v>
      </c>
      <c r="F24" s="65">
        <f>Rates!F66</f>
        <v>7.9000000000000001E-2</v>
      </c>
      <c r="G24" s="66">
        <f>E24*F24</f>
        <v>9.4104799999999997</v>
      </c>
      <c r="H24" s="66">
        <f t="shared" ref="H24:H45" si="1">G24-D24</f>
        <v>0</v>
      </c>
      <c r="I24" s="67">
        <f t="shared" ref="I24:I45" si="2">IF(ISERROR(H24/D24),0,H24/D24)</f>
        <v>0</v>
      </c>
      <c r="J24" s="68">
        <f t="shared" si="0"/>
        <v>6.7026640025857898E-2</v>
      </c>
    </row>
    <row r="25" spans="1:10" ht="12.75" thickBot="1">
      <c r="A25" s="73" t="s">
        <v>39</v>
      </c>
      <c r="B25" s="74"/>
      <c r="C25" s="75"/>
      <c r="D25" s="76">
        <f>SUM(D23:D24)</f>
        <v>60.410480000000007</v>
      </c>
      <c r="E25" s="75"/>
      <c r="F25" s="75"/>
      <c r="G25" s="76">
        <f>SUM(G23:G24)</f>
        <v>60.410480000000007</v>
      </c>
      <c r="H25" s="76">
        <f t="shared" si="1"/>
        <v>0</v>
      </c>
      <c r="I25" s="77">
        <f t="shared" si="2"/>
        <v>0</v>
      </c>
      <c r="J25" s="78">
        <f t="shared" si="0"/>
        <v>0.43027682931681366</v>
      </c>
    </row>
    <row r="26" spans="1:10">
      <c r="A26" s="69" t="str">
        <f t="shared" ref="A26:A31" si="3">A4</f>
        <v>Monthly Service Charge</v>
      </c>
      <c r="B26" s="70">
        <v>1</v>
      </c>
      <c r="C26" s="46">
        <f t="shared" ref="C26:C31" si="4">C4</f>
        <v>20.92</v>
      </c>
      <c r="D26" s="46">
        <f>B26*C26</f>
        <v>20.92</v>
      </c>
      <c r="E26" s="71">
        <f>B26</f>
        <v>1</v>
      </c>
      <c r="F26" s="47">
        <f t="shared" ref="F26:F31" si="5">D4</f>
        <v>21.29</v>
      </c>
      <c r="G26" s="47">
        <f>E26*F26</f>
        <v>21.29</v>
      </c>
      <c r="H26" s="47">
        <f t="shared" si="1"/>
        <v>0.36999999999999744</v>
      </c>
      <c r="I26" s="48">
        <f t="shared" si="2"/>
        <v>1.7686424474187258E-2</v>
      </c>
      <c r="J26" s="72">
        <f t="shared" si="0"/>
        <v>0.15163914764714601</v>
      </c>
    </row>
    <row r="27" spans="1:10">
      <c r="A27" s="61" t="str">
        <f t="shared" si="3"/>
        <v>Smart Meter Rate Adder</v>
      </c>
      <c r="B27" s="43">
        <f>B26</f>
        <v>1</v>
      </c>
      <c r="C27" s="41">
        <f t="shared" si="4"/>
        <v>1</v>
      </c>
      <c r="D27" s="41">
        <f t="shared" ref="D27:D31" si="6">B27*C27</f>
        <v>1</v>
      </c>
      <c r="E27" s="43">
        <f>B27</f>
        <v>1</v>
      </c>
      <c r="F27" s="41">
        <f t="shared" si="5"/>
        <v>1</v>
      </c>
      <c r="G27" s="41">
        <f t="shared" ref="G27:G31" si="7">E27*F27</f>
        <v>1</v>
      </c>
      <c r="H27" s="41">
        <f t="shared" si="1"/>
        <v>0</v>
      </c>
      <c r="I27" s="42">
        <f>IF(ISERROR(H27/D27),1,H27/D27)</f>
        <v>0</v>
      </c>
      <c r="J27" s="62">
        <f t="shared" si="0"/>
        <v>7.1225527311952102E-3</v>
      </c>
    </row>
    <row r="28" spans="1:10">
      <c r="A28" s="61" t="str">
        <f t="shared" si="3"/>
        <v>Distribution Volumetric Rate</v>
      </c>
      <c r="B28" s="43">
        <f>B18</f>
        <v>800</v>
      </c>
      <c r="C28" s="40">
        <f t="shared" si="4"/>
        <v>2.9399999999999999E-2</v>
      </c>
      <c r="D28" s="41">
        <f t="shared" si="6"/>
        <v>23.52</v>
      </c>
      <c r="E28" s="43">
        <f>B18</f>
        <v>800</v>
      </c>
      <c r="F28" s="40">
        <f t="shared" si="5"/>
        <v>2.9899999999999999E-2</v>
      </c>
      <c r="G28" s="41">
        <f t="shared" si="7"/>
        <v>23.919999999999998</v>
      </c>
      <c r="H28" s="41">
        <f t="shared" si="1"/>
        <v>0.39999999999999858</v>
      </c>
      <c r="I28" s="42">
        <f t="shared" si="2"/>
        <v>1.7006802721088374E-2</v>
      </c>
      <c r="J28" s="62">
        <f t="shared" si="0"/>
        <v>0.17037146133018941</v>
      </c>
    </row>
    <row r="29" spans="1:10">
      <c r="A29" s="61" t="str">
        <f t="shared" si="3"/>
        <v>Rate Rider for Deferral/Variance Account Disposition - effective until May 31, 2013</v>
      </c>
      <c r="B29" s="43">
        <f>B18</f>
        <v>800</v>
      </c>
      <c r="C29" s="40">
        <f t="shared" si="4"/>
        <v>4.4000000000000003E-3</v>
      </c>
      <c r="D29" s="41">
        <f t="shared" si="6"/>
        <v>3.52</v>
      </c>
      <c r="E29" s="43">
        <f>B18</f>
        <v>800</v>
      </c>
      <c r="F29" s="40">
        <f t="shared" si="5"/>
        <v>4.4000000000000003E-3</v>
      </c>
      <c r="G29" s="41">
        <f t="shared" si="7"/>
        <v>3.52</v>
      </c>
      <c r="H29" s="41">
        <f t="shared" si="1"/>
        <v>0</v>
      </c>
      <c r="I29" s="42">
        <f t="shared" si="2"/>
        <v>0</v>
      </c>
      <c r="J29" s="62">
        <f t="shared" si="0"/>
        <v>2.5071385613807139E-2</v>
      </c>
    </row>
    <row r="30" spans="1:10">
      <c r="A30" s="61" t="str">
        <f t="shared" si="3"/>
        <v>Rate Rider for Deferral/Variance Account Disposition #2 - effective until May 31, 2013</v>
      </c>
      <c r="B30" s="43">
        <f>B18</f>
        <v>800</v>
      </c>
      <c r="C30" s="40">
        <f t="shared" si="4"/>
        <v>0</v>
      </c>
      <c r="D30" s="41">
        <f t="shared" si="6"/>
        <v>0</v>
      </c>
      <c r="E30" s="43">
        <f>B18</f>
        <v>800</v>
      </c>
      <c r="F30" s="40">
        <f t="shared" si="5"/>
        <v>-3.5999999999999999E-3</v>
      </c>
      <c r="G30" s="41">
        <f t="shared" si="7"/>
        <v>-2.88</v>
      </c>
      <c r="H30" s="41">
        <f t="shared" si="1"/>
        <v>-2.88</v>
      </c>
      <c r="I30" s="42">
        <f t="shared" si="2"/>
        <v>0</v>
      </c>
      <c r="J30" s="62">
        <f t="shared" si="0"/>
        <v>-2.0512951865842205E-2</v>
      </c>
    </row>
    <row r="31" spans="1:10" ht="12.75" thickBot="1">
      <c r="A31" s="61" t="str">
        <f t="shared" si="3"/>
        <v>Rate Rider for Tax Changes - effective until December 31, 2012</v>
      </c>
      <c r="B31" s="43">
        <f>B18</f>
        <v>800</v>
      </c>
      <c r="C31" s="40">
        <f t="shared" si="4"/>
        <v>0</v>
      </c>
      <c r="D31" s="41">
        <f t="shared" si="6"/>
        <v>0</v>
      </c>
      <c r="E31" s="43">
        <f>B18</f>
        <v>800</v>
      </c>
      <c r="F31" s="40">
        <f t="shared" si="5"/>
        <v>-2.0000000000000001E-4</v>
      </c>
      <c r="G31" s="41">
        <f t="shared" si="7"/>
        <v>-0.16</v>
      </c>
      <c r="H31" s="41">
        <f t="shared" si="1"/>
        <v>-0.16</v>
      </c>
      <c r="I31" s="42">
        <f t="shared" si="2"/>
        <v>0</v>
      </c>
      <c r="J31" s="62">
        <f t="shared" si="0"/>
        <v>-1.1396084369912336E-3</v>
      </c>
    </row>
    <row r="32" spans="1:10" ht="12.75" thickBot="1">
      <c r="A32" s="73" t="s">
        <v>40</v>
      </c>
      <c r="B32" s="74"/>
      <c r="C32" s="75"/>
      <c r="D32" s="80">
        <f>SUM(D26:D31)</f>
        <v>48.96</v>
      </c>
      <c r="E32" s="75"/>
      <c r="F32" s="75"/>
      <c r="G32" s="76">
        <f>SUM(G26:G31)</f>
        <v>46.69</v>
      </c>
      <c r="H32" s="76">
        <f t="shared" si="1"/>
        <v>-2.2700000000000031</v>
      </c>
      <c r="I32" s="77">
        <f t="shared" si="2"/>
        <v>-4.6364379084967385E-2</v>
      </c>
      <c r="J32" s="78">
        <f t="shared" si="0"/>
        <v>0.33255198701950434</v>
      </c>
    </row>
    <row r="33" spans="1:10">
      <c r="A33" s="69" t="str">
        <f>A10</f>
        <v>Retail Transmission Rate - Network Service Rate</v>
      </c>
      <c r="B33" s="44">
        <f>B18*Rates!D70</f>
        <v>869.12</v>
      </c>
      <c r="C33" s="45">
        <f>C10</f>
        <v>5.7000000000000002E-3</v>
      </c>
      <c r="D33" s="47">
        <f>B33*C33</f>
        <v>4.9539840000000002</v>
      </c>
      <c r="E33" s="44">
        <f>B18*H18</f>
        <v>869.12</v>
      </c>
      <c r="F33" s="45">
        <f>D10</f>
        <v>6.1999999999999998E-3</v>
      </c>
      <c r="G33" s="47">
        <f>E33*F33</f>
        <v>5.3885439999999996</v>
      </c>
      <c r="H33" s="47">
        <f t="shared" si="1"/>
        <v>0.43455999999999939</v>
      </c>
      <c r="I33" s="48">
        <f t="shared" si="2"/>
        <v>8.7719298245613905E-2</v>
      </c>
      <c r="J33" s="72">
        <f t="shared" si="0"/>
        <v>3.8380188784365561E-2</v>
      </c>
    </row>
    <row r="34" spans="1:10" ht="12.75" thickBot="1">
      <c r="A34" s="63" t="str">
        <f>A11</f>
        <v>Retail Transmission Rate - Line and Transformation Connection Service Rate</v>
      </c>
      <c r="B34" s="64">
        <f>B18*Rates!D70</f>
        <v>869.12</v>
      </c>
      <c r="C34" s="65">
        <f>C11</f>
        <v>4.7000000000000002E-3</v>
      </c>
      <c r="D34" s="66">
        <f>B34*C34</f>
        <v>4.0848640000000005</v>
      </c>
      <c r="E34" s="64">
        <f>B18*H18</f>
        <v>869.12</v>
      </c>
      <c r="F34" s="65">
        <f>D11</f>
        <v>4.8999999999999998E-3</v>
      </c>
      <c r="G34" s="66">
        <f>E34*F34</f>
        <v>4.2586880000000003</v>
      </c>
      <c r="H34" s="66">
        <f t="shared" si="1"/>
        <v>0.17382399999999976</v>
      </c>
      <c r="I34" s="67">
        <f t="shared" si="2"/>
        <v>4.2553191489361639E-2</v>
      </c>
      <c r="J34" s="68">
        <f t="shared" si="0"/>
        <v>3.0332729845708267E-2</v>
      </c>
    </row>
    <row r="35" spans="1:10" ht="12.75" thickBot="1">
      <c r="A35" s="73" t="s">
        <v>32</v>
      </c>
      <c r="B35" s="74"/>
      <c r="C35" s="75"/>
      <c r="D35" s="76">
        <f>SUM(D33:D34)</f>
        <v>9.0388480000000015</v>
      </c>
      <c r="E35" s="75"/>
      <c r="F35" s="75"/>
      <c r="G35" s="76">
        <f>SUM(G33:G34)</f>
        <v>9.6472319999999989</v>
      </c>
      <c r="H35" s="76">
        <f t="shared" si="1"/>
        <v>0.60838399999999737</v>
      </c>
      <c r="I35" s="77">
        <f t="shared" si="2"/>
        <v>6.7307692307691999E-2</v>
      </c>
      <c r="J35" s="78">
        <f t="shared" si="0"/>
        <v>6.8712918630073824E-2</v>
      </c>
    </row>
    <row r="36" spans="1:10" ht="12.75" thickBot="1">
      <c r="A36" s="81" t="s">
        <v>41</v>
      </c>
      <c r="B36" s="82"/>
      <c r="C36" s="83"/>
      <c r="D36" s="84">
        <f>D32+D35</f>
        <v>57.998848000000002</v>
      </c>
      <c r="E36" s="83"/>
      <c r="F36" s="83"/>
      <c r="G36" s="84">
        <f>G32+G35</f>
        <v>56.337232</v>
      </c>
      <c r="H36" s="84">
        <f t="shared" si="1"/>
        <v>-1.6616160000000022</v>
      </c>
      <c r="I36" s="85">
        <f t="shared" si="2"/>
        <v>-2.8649120754950203E-2</v>
      </c>
      <c r="J36" s="86">
        <f t="shared" si="0"/>
        <v>0.40126490564957817</v>
      </c>
    </row>
    <row r="37" spans="1:10">
      <c r="A37" s="69" t="str">
        <f>A12</f>
        <v>Wholesale Market Service Rate</v>
      </c>
      <c r="B37" s="44">
        <f>B18*Rates!D70</f>
        <v>869.12</v>
      </c>
      <c r="C37" s="45">
        <f>C12</f>
        <v>5.1999999999999998E-3</v>
      </c>
      <c r="D37" s="47">
        <f>B37*C37</f>
        <v>4.5194239999999999</v>
      </c>
      <c r="E37" s="44">
        <f>B18*H18</f>
        <v>869.12</v>
      </c>
      <c r="F37" s="45">
        <f>D12</f>
        <v>5.1999999999999998E-3</v>
      </c>
      <c r="G37" s="47">
        <f>E37*F37</f>
        <v>4.5194239999999999</v>
      </c>
      <c r="H37" s="47">
        <f t="shared" si="1"/>
        <v>0</v>
      </c>
      <c r="I37" s="48">
        <f t="shared" si="2"/>
        <v>0</v>
      </c>
      <c r="J37" s="72">
        <f t="shared" si="0"/>
        <v>3.2189835754629179E-2</v>
      </c>
    </row>
    <row r="38" spans="1:10">
      <c r="A38" s="61" t="str">
        <f>A13</f>
        <v>Rural Rate Protection Charge</v>
      </c>
      <c r="B38" s="39">
        <f>B18*Rates!D70</f>
        <v>869.12</v>
      </c>
      <c r="C38" s="40">
        <f>C13</f>
        <v>1.2999999999999999E-3</v>
      </c>
      <c r="D38" s="41">
        <f>B38*C38</f>
        <v>1.129856</v>
      </c>
      <c r="E38" s="39">
        <f>B18*H18</f>
        <v>869.12</v>
      </c>
      <c r="F38" s="40">
        <f>D13</f>
        <v>1.2999999999999999E-3</v>
      </c>
      <c r="G38" s="41">
        <f>E38*F38</f>
        <v>1.129856</v>
      </c>
      <c r="H38" s="41">
        <f t="shared" si="1"/>
        <v>0</v>
      </c>
      <c r="I38" s="42">
        <f t="shared" si="2"/>
        <v>0</v>
      </c>
      <c r="J38" s="62">
        <f t="shared" si="0"/>
        <v>8.0474589386572946E-3</v>
      </c>
    </row>
    <row r="39" spans="1:10">
      <c r="A39" s="63" t="s">
        <v>45</v>
      </c>
      <c r="B39" s="64">
        <f>B18*Rates!D70</f>
        <v>869.12</v>
      </c>
      <c r="C39" s="65">
        <f>Rates!D15</f>
        <v>0</v>
      </c>
      <c r="D39" s="66">
        <f>B39*C39</f>
        <v>0</v>
      </c>
      <c r="E39" s="64">
        <f>B18*Rates!F70</f>
        <v>869.12</v>
      </c>
      <c r="F39" s="65">
        <f>Rates!F15</f>
        <v>0</v>
      </c>
      <c r="G39" s="66">
        <f>E39*F39</f>
        <v>0</v>
      </c>
      <c r="H39" s="41">
        <f>G39-D39</f>
        <v>0</v>
      </c>
      <c r="I39" s="42">
        <f>IF(ISERROR(H39/D39),0,H39/D39)</f>
        <v>0</v>
      </c>
      <c r="J39" s="62">
        <f t="shared" si="0"/>
        <v>0</v>
      </c>
    </row>
    <row r="40" spans="1:10" ht="12.75" thickBot="1">
      <c r="A40" s="63" t="str">
        <f>A15</f>
        <v>Standard Supply Service - Administarive Charge (if applicable)</v>
      </c>
      <c r="B40" s="79">
        <f>B26</f>
        <v>1</v>
      </c>
      <c r="C40" s="66">
        <f>C15</f>
        <v>0.25</v>
      </c>
      <c r="D40" s="66">
        <f>B40*C40</f>
        <v>0.25</v>
      </c>
      <c r="E40" s="64">
        <f>B26</f>
        <v>1</v>
      </c>
      <c r="F40" s="66">
        <f>D15</f>
        <v>0.25</v>
      </c>
      <c r="G40" s="66">
        <f>E40*F40</f>
        <v>0.25</v>
      </c>
      <c r="H40" s="66">
        <f t="shared" si="1"/>
        <v>0</v>
      </c>
      <c r="I40" s="67">
        <f t="shared" si="2"/>
        <v>0</v>
      </c>
      <c r="J40" s="68">
        <f t="shared" si="0"/>
        <v>1.7806381827988025E-3</v>
      </c>
    </row>
    <row r="41" spans="1:10" ht="12.75" thickBot="1">
      <c r="A41" s="73" t="s">
        <v>42</v>
      </c>
      <c r="B41" s="74"/>
      <c r="C41" s="75"/>
      <c r="D41" s="76">
        <f>SUM(D37:D40)</f>
        <v>5.8992800000000001</v>
      </c>
      <c r="E41" s="75"/>
      <c r="F41" s="75"/>
      <c r="G41" s="76">
        <f>SUM(G37:G40)</f>
        <v>5.8992800000000001</v>
      </c>
      <c r="H41" s="76">
        <f t="shared" si="1"/>
        <v>0</v>
      </c>
      <c r="I41" s="77">
        <f t="shared" si="2"/>
        <v>0</v>
      </c>
      <c r="J41" s="78">
        <f t="shared" si="0"/>
        <v>4.2017932876085282E-2</v>
      </c>
    </row>
    <row r="42" spans="1:10" ht="12.75" thickBot="1">
      <c r="A42" s="87" t="s">
        <v>19</v>
      </c>
      <c r="B42" s="88">
        <f>B18</f>
        <v>800</v>
      </c>
      <c r="C42" s="89">
        <f>Rates!D64</f>
        <v>2E-3</v>
      </c>
      <c r="D42" s="90">
        <f>B42*C42</f>
        <v>1.6</v>
      </c>
      <c r="E42" s="88">
        <f>B18</f>
        <v>800</v>
      </c>
      <c r="F42" s="89">
        <f>Rates!F64</f>
        <v>2E-3</v>
      </c>
      <c r="G42" s="90">
        <f>E42*F42</f>
        <v>1.6</v>
      </c>
      <c r="H42" s="90">
        <f t="shared" si="1"/>
        <v>0</v>
      </c>
      <c r="I42" s="91">
        <f t="shared" si="2"/>
        <v>0</v>
      </c>
      <c r="J42" s="92">
        <f t="shared" si="0"/>
        <v>1.1396084369912336E-2</v>
      </c>
    </row>
    <row r="43" spans="1:10" ht="12.75" thickBot="1">
      <c r="A43" s="73" t="s">
        <v>43</v>
      </c>
      <c r="B43" s="74"/>
      <c r="C43" s="75"/>
      <c r="D43" s="76">
        <f>D25+D36+D41+D42</f>
        <v>125.90860800000002</v>
      </c>
      <c r="E43" s="75"/>
      <c r="F43" s="75"/>
      <c r="G43" s="76">
        <f>G25+G36+G41+G42</f>
        <v>124.24699200000001</v>
      </c>
      <c r="H43" s="76">
        <f t="shared" si="1"/>
        <v>-1.6616160000000093</v>
      </c>
      <c r="I43" s="77">
        <f t="shared" si="2"/>
        <v>-1.3197000796006013E-2</v>
      </c>
      <c r="J43" s="78">
        <f t="shared" si="0"/>
        <v>0.88495575221238942</v>
      </c>
    </row>
    <row r="44" spans="1:10" ht="12.75" thickBot="1">
      <c r="A44" s="93" t="s">
        <v>46</v>
      </c>
      <c r="B44" s="94"/>
      <c r="C44" s="95">
        <f>Rates!D71</f>
        <v>0.13</v>
      </c>
      <c r="D44" s="90">
        <f>C44*D43</f>
        <v>16.368119040000003</v>
      </c>
      <c r="E44" s="96"/>
      <c r="F44" s="95">
        <f>Rates!F71</f>
        <v>0.13</v>
      </c>
      <c r="G44" s="90">
        <f>F44*G43</f>
        <v>16.15210896</v>
      </c>
      <c r="H44" s="90">
        <f t="shared" si="1"/>
        <v>-0.21601008000000377</v>
      </c>
      <c r="I44" s="91">
        <f t="shared" si="2"/>
        <v>-1.3197000796006169E-2</v>
      </c>
      <c r="J44" s="92">
        <f t="shared" si="0"/>
        <v>0.11504424778761062</v>
      </c>
    </row>
    <row r="45" spans="1:10" ht="12.75" thickBot="1">
      <c r="A45" s="81" t="s">
        <v>33</v>
      </c>
      <c r="B45" s="82"/>
      <c r="C45" s="83"/>
      <c r="D45" s="104">
        <f>D43+D44</f>
        <v>142.27672704000003</v>
      </c>
      <c r="E45" s="83"/>
      <c r="F45" s="83"/>
      <c r="G45" s="104">
        <f>G43+G44</f>
        <v>140.39910096</v>
      </c>
      <c r="H45" s="104">
        <f t="shared" si="1"/>
        <v>-1.8776260800000273</v>
      </c>
      <c r="I45" s="85">
        <f t="shared" si="2"/>
        <v>-1.3197000796006131E-2</v>
      </c>
      <c r="J45" s="86">
        <f t="shared" si="0"/>
        <v>1</v>
      </c>
    </row>
    <row r="46" spans="1:10">
      <c r="A46" s="131"/>
      <c r="B46" s="132"/>
      <c r="C46" s="133"/>
      <c r="D46" s="133"/>
      <c r="E46" s="133"/>
      <c r="F46" s="133"/>
      <c r="G46" s="133"/>
      <c r="H46" s="133"/>
      <c r="I46" s="133"/>
      <c r="J46" s="134"/>
    </row>
    <row r="47" spans="1:10">
      <c r="A47" s="135" t="s">
        <v>70</v>
      </c>
      <c r="B47" s="136"/>
      <c r="C47" s="137"/>
      <c r="D47" s="138">
        <f>D45*0.1</f>
        <v>14.227672704000003</v>
      </c>
      <c r="E47" s="137"/>
      <c r="F47" s="137"/>
      <c r="G47" s="138">
        <f>G45*0.1</f>
        <v>14.039910096</v>
      </c>
      <c r="H47" s="137"/>
      <c r="I47" s="137"/>
      <c r="J47" s="139"/>
    </row>
    <row r="48" spans="1:10" ht="12.75" thickBot="1">
      <c r="A48" s="140" t="s">
        <v>71</v>
      </c>
      <c r="B48" s="141"/>
      <c r="C48" s="142"/>
      <c r="D48" s="143">
        <f>D45-D47</f>
        <v>128.04905433600001</v>
      </c>
      <c r="E48" s="142"/>
      <c r="F48" s="142"/>
      <c r="G48" s="143">
        <f>G45-G47</f>
        <v>126.359190864</v>
      </c>
      <c r="H48" s="145">
        <f>G48-D48</f>
        <v>-1.6898634720000132</v>
      </c>
      <c r="I48" s="146">
        <f>H48/D48</f>
        <v>-1.3197000796006043E-2</v>
      </c>
      <c r="J48" s="144"/>
    </row>
  </sheetData>
  <mergeCells count="4">
    <mergeCell ref="A21:A22"/>
    <mergeCell ref="B21:B22"/>
    <mergeCell ref="E21:E22"/>
    <mergeCell ref="H21:J21"/>
  </mergeCells>
  <phoneticPr fontId="2" type="noConversion"/>
  <pageMargins left="0.75" right="0.75" top="1" bottom="1" header="0.5" footer="0.5"/>
  <pageSetup scale="73" orientation="landscape" verticalDpi="1200" r:id="rId1"/>
  <headerFooter alignWithMargins="0">
    <oddHeader xml:space="preserve">&amp;C&amp;"Arial,Bold"&amp;16Electricity Distribution Impacts
Rates Effective January 1, 2012&amp;"Arial,Regular"&amp;10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48"/>
  <sheetViews>
    <sheetView topLeftCell="A4" zoomScaleNormal="100" workbookViewId="0">
      <selection activeCell="A53" sqref="A53"/>
    </sheetView>
  </sheetViews>
  <sheetFormatPr defaultRowHeight="12"/>
  <cols>
    <col min="1" max="1" width="73.140625" style="8" bestFit="1" customWidth="1"/>
    <col min="2" max="2" width="10.42578125" style="11" bestFit="1" customWidth="1"/>
    <col min="3" max="3" width="10" style="8" bestFit="1" customWidth="1"/>
    <col min="4" max="4" width="11.85546875" style="8" bestFit="1" customWidth="1"/>
    <col min="5" max="6" width="9.28515625" style="8" bestFit="1" customWidth="1"/>
    <col min="7" max="7" width="11.5703125" style="8" bestFit="1" customWidth="1"/>
    <col min="8" max="8" width="10.5703125" style="8" bestFit="1" customWidth="1"/>
    <col min="9" max="9" width="9.28515625" style="8" bestFit="1" customWidth="1"/>
    <col min="10" max="10" width="11.710937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Rates!A4</f>
        <v>Residential - R1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2012</v>
      </c>
    </row>
    <row r="4" spans="1:4">
      <c r="A4" s="23" t="str">
        <f>Rates!A5</f>
        <v>Monthly Service Charge</v>
      </c>
      <c r="B4" s="24" t="str">
        <f>Rates!B5</f>
        <v>$</v>
      </c>
      <c r="C4" s="25">
        <f>Rates!D5</f>
        <v>20.92</v>
      </c>
      <c r="D4" s="26">
        <f>Rates!F5</f>
        <v>21.29</v>
      </c>
    </row>
    <row r="5" spans="1:4">
      <c r="A5" s="27" t="str">
        <f>Rates!A6</f>
        <v>Smart Meter Rate Adder</v>
      </c>
      <c r="B5" s="28" t="str">
        <f>Rates!B6</f>
        <v>$</v>
      </c>
      <c r="C5" s="29">
        <f>Rates!D6</f>
        <v>1</v>
      </c>
      <c r="D5" s="30">
        <f>Rates!F6</f>
        <v>1</v>
      </c>
    </row>
    <row r="6" spans="1:4">
      <c r="A6" s="27" t="str">
        <f>Rates!A7</f>
        <v>Distribution Volumetric Rate</v>
      </c>
      <c r="B6" s="28" t="str">
        <f>Rates!B7</f>
        <v>$/kWh</v>
      </c>
      <c r="C6" s="31">
        <f>Rates!D7</f>
        <v>2.9399999999999999E-2</v>
      </c>
      <c r="D6" s="32">
        <f>Rates!F7</f>
        <v>2.9899999999999999E-2</v>
      </c>
    </row>
    <row r="7" spans="1:4">
      <c r="A7" s="27" t="str">
        <f>Rates!A8</f>
        <v>Rate Rider for Deferral/Variance Account Disposition - effective until May 31, 2013</v>
      </c>
      <c r="B7" s="28" t="str">
        <f>Rates!B8</f>
        <v>$/kWh</v>
      </c>
      <c r="C7" s="31">
        <f>Rates!D8</f>
        <v>4.4000000000000003E-3</v>
      </c>
      <c r="D7" s="32">
        <f>Rates!F8</f>
        <v>4.4000000000000003E-3</v>
      </c>
    </row>
    <row r="8" spans="1:4">
      <c r="A8" s="27" t="str">
        <f>Rates!A9</f>
        <v>Rate Rider for Deferral/Variance Account Disposition #2 - effective until May 31, 2013</v>
      </c>
      <c r="B8" s="28" t="str">
        <f>Rates!B9</f>
        <v>$/kWh</v>
      </c>
      <c r="C8" s="31"/>
      <c r="D8" s="32">
        <f>Rates!F9</f>
        <v>-3.5999999999999999E-3</v>
      </c>
    </row>
    <row r="9" spans="1:4">
      <c r="A9" s="27" t="str">
        <f>Rates!A10</f>
        <v>Rate Rider for Tax Changes - effective until December 31, 2012</v>
      </c>
      <c r="B9" s="28" t="str">
        <f>Rates!B10</f>
        <v>$/kWh</v>
      </c>
      <c r="C9" s="31">
        <f>Rates!D10</f>
        <v>0</v>
      </c>
      <c r="D9" s="32">
        <f>Rates!F10</f>
        <v>-2.0000000000000001E-4</v>
      </c>
    </row>
    <row r="10" spans="1:4">
      <c r="A10" s="27" t="str">
        <f>Rates!A11</f>
        <v>Retail Transmission Rate - Network Service Rate</v>
      </c>
      <c r="B10" s="28" t="str">
        <f>Rates!B11</f>
        <v>$/kWh</v>
      </c>
      <c r="C10" s="31">
        <f>Rates!D11</f>
        <v>5.7000000000000002E-3</v>
      </c>
      <c r="D10" s="32">
        <f>Rates!F11</f>
        <v>6.1999999999999998E-3</v>
      </c>
    </row>
    <row r="11" spans="1:4">
      <c r="A11" s="27" t="str">
        <f>Rates!A12</f>
        <v>Retail Transmission Rate - Line and Transformation Connection Service Rate</v>
      </c>
      <c r="B11" s="28" t="str">
        <f>Rates!B12</f>
        <v>$/kWh</v>
      </c>
      <c r="C11" s="31">
        <f>Rates!D12</f>
        <v>4.7000000000000002E-3</v>
      </c>
      <c r="D11" s="32">
        <f>Rates!F12</f>
        <v>4.8999999999999998E-3</v>
      </c>
    </row>
    <row r="12" spans="1:4">
      <c r="A12" s="19" t="str">
        <f>Rates!A13</f>
        <v>Wholesale Market Service Rate</v>
      </c>
      <c r="B12" s="20" t="str">
        <f>Rates!B13</f>
        <v>$/kWh</v>
      </c>
      <c r="C12" s="21">
        <f>Rates!D13</f>
        <v>5.1999999999999998E-3</v>
      </c>
      <c r="D12" s="22">
        <f>Rates!F13</f>
        <v>5.1999999999999998E-3</v>
      </c>
    </row>
    <row r="13" spans="1:4">
      <c r="A13" s="27" t="str">
        <f>Rates!A14</f>
        <v>Rural Rate Protection Charge</v>
      </c>
      <c r="B13" s="28" t="str">
        <f>Rates!B14</f>
        <v>$/kWh</v>
      </c>
      <c r="C13" s="31">
        <f>Rates!D14</f>
        <v>1.2999999999999999E-3</v>
      </c>
      <c r="D13" s="32">
        <f>Rates!F14</f>
        <v>1.2999999999999999E-3</v>
      </c>
    </row>
    <row r="14" spans="1:4">
      <c r="A14" s="106" t="str">
        <f>Rates!A15</f>
        <v>Special Purpose Charge</v>
      </c>
      <c r="B14" s="28" t="str">
        <f>Rates!B15</f>
        <v>$/kWh</v>
      </c>
      <c r="C14" s="31">
        <f>Rates!D15</f>
        <v>0</v>
      </c>
      <c r="D14" s="32">
        <f>Rates!F15</f>
        <v>0</v>
      </c>
    </row>
    <row r="15" spans="1:4" ht="12.75" thickBot="1">
      <c r="A15" s="12" t="str">
        <f>Rates!A16</f>
        <v>Standard Supply Service - Administarive Charge (if applicable)</v>
      </c>
      <c r="B15" s="17" t="str">
        <f>Rates!B16</f>
        <v>$</v>
      </c>
      <c r="C15" s="18">
        <f>Rates!D16</f>
        <v>0.25</v>
      </c>
      <c r="D15" s="13">
        <f>Rates!F16</f>
        <v>0.25</v>
      </c>
    </row>
    <row r="17" spans="1:10" ht="12.75" thickBot="1"/>
    <row r="18" spans="1:10" ht="13.5" thickBot="1">
      <c r="A18" s="33" t="s">
        <v>26</v>
      </c>
      <c r="B18" s="34">
        <v>2000</v>
      </c>
      <c r="C18" s="35" t="s">
        <v>27</v>
      </c>
      <c r="D18" s="36"/>
      <c r="E18" s="35" t="s">
        <v>28</v>
      </c>
      <c r="G18" s="102" t="s">
        <v>23</v>
      </c>
      <c r="H18" s="53">
        <f>Rates!F70</f>
        <v>1.0864</v>
      </c>
    </row>
    <row r="19" spans="1:10" ht="13.5" thickBot="1">
      <c r="A19" s="33" t="s">
        <v>29</v>
      </c>
      <c r="B19" s="34">
        <v>750</v>
      </c>
      <c r="C19" s="35" t="s">
        <v>27</v>
      </c>
      <c r="D19" s="37" t="s">
        <v>30</v>
      </c>
      <c r="E19" s="38" t="str">
        <f>IF(D18&gt;0,B18/(D18*24*30.4)," ")</f>
        <v xml:space="preserve"> </v>
      </c>
    </row>
    <row r="20" spans="1:10" ht="12.75" thickBot="1"/>
    <row r="21" spans="1:10" ht="12.75" customHeight="1">
      <c r="A21" s="149" t="str">
        <f>A3</f>
        <v>Residential - R1</v>
      </c>
      <c r="B21" s="151" t="s">
        <v>31</v>
      </c>
      <c r="C21" s="130" t="s">
        <v>37</v>
      </c>
      <c r="D21" s="130" t="s">
        <v>38</v>
      </c>
      <c r="E21" s="151" t="s">
        <v>31</v>
      </c>
      <c r="F21" s="130" t="s">
        <v>37</v>
      </c>
      <c r="G21" s="130" t="s">
        <v>38</v>
      </c>
      <c r="H21" s="153" t="s">
        <v>44</v>
      </c>
      <c r="I21" s="153"/>
      <c r="J21" s="154"/>
    </row>
    <row r="22" spans="1:10" ht="12.75" thickBot="1">
      <c r="A22" s="150"/>
      <c r="B22" s="152"/>
      <c r="C22" s="50" t="s">
        <v>15</v>
      </c>
      <c r="D22" s="50" t="s">
        <v>15</v>
      </c>
      <c r="E22" s="152"/>
      <c r="F22" s="50" t="s">
        <v>15</v>
      </c>
      <c r="G22" s="50" t="s">
        <v>15</v>
      </c>
      <c r="H22" s="50" t="s">
        <v>15</v>
      </c>
      <c r="I22" s="51" t="s">
        <v>22</v>
      </c>
      <c r="J22" s="52" t="s">
        <v>34</v>
      </c>
    </row>
    <row r="23" spans="1:10">
      <c r="A23" s="54" t="s">
        <v>35</v>
      </c>
      <c r="B23" s="55">
        <f>IF(B18*Rates!D70&gt;B19,B19,B18*Rates!D70)</f>
        <v>750</v>
      </c>
      <c r="C23" s="56">
        <f>Rates!D65</f>
        <v>6.8000000000000005E-2</v>
      </c>
      <c r="D23" s="57">
        <f>B23*C23</f>
        <v>51.000000000000007</v>
      </c>
      <c r="E23" s="55">
        <f>IF(B18*H18&gt;B19,B19,B18*H18)</f>
        <v>750</v>
      </c>
      <c r="F23" s="56">
        <f>Rates!F65</f>
        <v>6.8000000000000005E-2</v>
      </c>
      <c r="G23" s="57">
        <f>E23*F23</f>
        <v>51.000000000000007</v>
      </c>
      <c r="H23" s="58">
        <f>G23-D23</f>
        <v>0</v>
      </c>
      <c r="I23" s="59">
        <f>IF(ISERROR(H23/D23),1,H23/D23)</f>
        <v>0</v>
      </c>
      <c r="J23" s="60">
        <f t="shared" ref="J23:J45" si="0">IF(ISERROR(G23/G$45),0,G23/G$45)</f>
        <v>0.15607011656733791</v>
      </c>
    </row>
    <row r="24" spans="1:10" ht="12.75" thickBot="1">
      <c r="A24" s="63" t="s">
        <v>36</v>
      </c>
      <c r="B24" s="64">
        <f>IF(B18*Rates!D70&gt;=B19,B18*Rates!D70-B19,0)</f>
        <v>1422.8000000000002</v>
      </c>
      <c r="C24" s="65">
        <f>Rates!D66</f>
        <v>7.9000000000000001E-2</v>
      </c>
      <c r="D24" s="66">
        <f>B24*C24</f>
        <v>112.40120000000002</v>
      </c>
      <c r="E24" s="64">
        <f>IF(B18*H18&gt;=B19,B18*H18-B19,0)</f>
        <v>1422.8000000000002</v>
      </c>
      <c r="F24" s="65">
        <f>Rates!F66</f>
        <v>7.9000000000000001E-2</v>
      </c>
      <c r="G24" s="66">
        <f>E24*F24</f>
        <v>112.40120000000002</v>
      </c>
      <c r="H24" s="66">
        <f t="shared" ref="H24:H45" si="1">G24-D24</f>
        <v>0</v>
      </c>
      <c r="I24" s="67">
        <f t="shared" ref="I24:I45" si="2">IF(ISERROR(H24/D24),0,H24/D24)</f>
        <v>0</v>
      </c>
      <c r="J24" s="68">
        <f t="shared" si="0"/>
        <v>0.34396996835899341</v>
      </c>
    </row>
    <row r="25" spans="1:10" ht="12.75" thickBot="1">
      <c r="A25" s="73" t="s">
        <v>39</v>
      </c>
      <c r="B25" s="74"/>
      <c r="C25" s="75"/>
      <c r="D25" s="76">
        <f>SUM(D23:D24)</f>
        <v>163.40120000000002</v>
      </c>
      <c r="E25" s="75"/>
      <c r="F25" s="75"/>
      <c r="G25" s="76">
        <f>SUM(G23:G24)</f>
        <v>163.40120000000002</v>
      </c>
      <c r="H25" s="76">
        <f t="shared" si="1"/>
        <v>0</v>
      </c>
      <c r="I25" s="77">
        <f t="shared" si="2"/>
        <v>0</v>
      </c>
      <c r="J25" s="78">
        <f t="shared" si="0"/>
        <v>0.50004008492633134</v>
      </c>
    </row>
    <row r="26" spans="1:10">
      <c r="A26" s="69" t="str">
        <f t="shared" ref="A26:A31" si="3">A4</f>
        <v>Monthly Service Charge</v>
      </c>
      <c r="B26" s="70">
        <v>1</v>
      </c>
      <c r="C26" s="46">
        <f t="shared" ref="C26:C31" si="4">C4</f>
        <v>20.92</v>
      </c>
      <c r="D26" s="46">
        <f>B26*C26</f>
        <v>20.92</v>
      </c>
      <c r="E26" s="71">
        <f>B26</f>
        <v>1</v>
      </c>
      <c r="F26" s="47">
        <f t="shared" ref="F26:F31" si="5">D4</f>
        <v>21.29</v>
      </c>
      <c r="G26" s="47">
        <f>E26*F26</f>
        <v>21.29</v>
      </c>
      <c r="H26" s="47">
        <f t="shared" si="1"/>
        <v>0.36999999999999744</v>
      </c>
      <c r="I26" s="48">
        <f t="shared" si="2"/>
        <v>1.7686424474187258E-2</v>
      </c>
      <c r="J26" s="72">
        <f t="shared" si="0"/>
        <v>6.515162317095341E-2</v>
      </c>
    </row>
    <row r="27" spans="1:10">
      <c r="A27" s="61" t="str">
        <f t="shared" si="3"/>
        <v>Smart Meter Rate Adder</v>
      </c>
      <c r="B27" s="43">
        <f>B26</f>
        <v>1</v>
      </c>
      <c r="C27" s="41">
        <f t="shared" si="4"/>
        <v>1</v>
      </c>
      <c r="D27" s="41">
        <f t="shared" ref="D27:D31" si="6">B27*C27</f>
        <v>1</v>
      </c>
      <c r="E27" s="43">
        <f>B27</f>
        <v>1</v>
      </c>
      <c r="F27" s="41">
        <f t="shared" si="5"/>
        <v>1</v>
      </c>
      <c r="G27" s="41">
        <f t="shared" ref="G27:G31" si="7">E27*F27</f>
        <v>1</v>
      </c>
      <c r="H27" s="41">
        <f t="shared" si="1"/>
        <v>0</v>
      </c>
      <c r="I27" s="42">
        <f>IF(ISERROR(H27/D27),1,H27/D27)</f>
        <v>0</v>
      </c>
      <c r="J27" s="62">
        <f t="shared" si="0"/>
        <v>3.0601983640654489E-3</v>
      </c>
    </row>
    <row r="28" spans="1:10">
      <c r="A28" s="61" t="str">
        <f t="shared" si="3"/>
        <v>Distribution Volumetric Rate</v>
      </c>
      <c r="B28" s="43">
        <f>B18</f>
        <v>2000</v>
      </c>
      <c r="C28" s="40">
        <f t="shared" si="4"/>
        <v>2.9399999999999999E-2</v>
      </c>
      <c r="D28" s="41">
        <f t="shared" si="6"/>
        <v>58.8</v>
      </c>
      <c r="E28" s="43">
        <f>B18</f>
        <v>2000</v>
      </c>
      <c r="F28" s="40">
        <f t="shared" si="5"/>
        <v>2.9899999999999999E-2</v>
      </c>
      <c r="G28" s="41">
        <f t="shared" si="7"/>
        <v>59.8</v>
      </c>
      <c r="H28" s="41">
        <f t="shared" si="1"/>
        <v>1</v>
      </c>
      <c r="I28" s="42">
        <f t="shared" si="2"/>
        <v>1.7006802721088437E-2</v>
      </c>
      <c r="J28" s="62">
        <f t="shared" si="0"/>
        <v>0.18299986217111383</v>
      </c>
    </row>
    <row r="29" spans="1:10">
      <c r="A29" s="61" t="str">
        <f t="shared" si="3"/>
        <v>Rate Rider for Deferral/Variance Account Disposition - effective until May 31, 2013</v>
      </c>
      <c r="B29" s="43">
        <f>B18</f>
        <v>2000</v>
      </c>
      <c r="C29" s="40">
        <f t="shared" si="4"/>
        <v>4.4000000000000003E-3</v>
      </c>
      <c r="D29" s="41">
        <f t="shared" si="6"/>
        <v>8.8000000000000007</v>
      </c>
      <c r="E29" s="43">
        <f>B18</f>
        <v>2000</v>
      </c>
      <c r="F29" s="40">
        <f t="shared" si="5"/>
        <v>4.4000000000000003E-3</v>
      </c>
      <c r="G29" s="41">
        <f t="shared" si="7"/>
        <v>8.8000000000000007</v>
      </c>
      <c r="H29" s="41">
        <f t="shared" si="1"/>
        <v>0</v>
      </c>
      <c r="I29" s="42">
        <f t="shared" si="2"/>
        <v>0</v>
      </c>
      <c r="J29" s="62">
        <f t="shared" si="0"/>
        <v>2.6929745603775954E-2</v>
      </c>
    </row>
    <row r="30" spans="1:10">
      <c r="A30" s="61" t="str">
        <f t="shared" si="3"/>
        <v>Rate Rider for Deferral/Variance Account Disposition #2 - effective until May 31, 2013</v>
      </c>
      <c r="B30" s="43">
        <f>B18</f>
        <v>2000</v>
      </c>
      <c r="C30" s="40">
        <f t="shared" si="4"/>
        <v>0</v>
      </c>
      <c r="D30" s="41">
        <f t="shared" si="6"/>
        <v>0</v>
      </c>
      <c r="E30" s="43">
        <f>B18</f>
        <v>2000</v>
      </c>
      <c r="F30" s="40">
        <f t="shared" si="5"/>
        <v>-3.5999999999999999E-3</v>
      </c>
      <c r="G30" s="41">
        <f t="shared" ref="G30" si="8">E30*F30</f>
        <v>-7.2</v>
      </c>
      <c r="H30" s="41">
        <f t="shared" ref="H30" si="9">G30-D30</f>
        <v>-7.2</v>
      </c>
      <c r="I30" s="42">
        <f t="shared" ref="I30" si="10">IF(ISERROR(H30/D30),0,H30/D30)</f>
        <v>0</v>
      </c>
      <c r="J30" s="62">
        <f t="shared" ref="J30" si="11">IF(ISERROR(G30/G$45),0,G30/G$45)</f>
        <v>-2.2033428221271235E-2</v>
      </c>
    </row>
    <row r="31" spans="1:10" ht="12.75" thickBot="1">
      <c r="A31" s="61" t="str">
        <f t="shared" si="3"/>
        <v>Rate Rider for Tax Changes - effective until December 31, 2012</v>
      </c>
      <c r="B31" s="43">
        <f>B18</f>
        <v>2000</v>
      </c>
      <c r="C31" s="40">
        <f t="shared" si="4"/>
        <v>0</v>
      </c>
      <c r="D31" s="41">
        <f t="shared" si="6"/>
        <v>0</v>
      </c>
      <c r="E31" s="43">
        <f>B18</f>
        <v>2000</v>
      </c>
      <c r="F31" s="40">
        <f t="shared" si="5"/>
        <v>-2.0000000000000001E-4</v>
      </c>
      <c r="G31" s="41">
        <f t="shared" si="7"/>
        <v>-0.4</v>
      </c>
      <c r="H31" s="41">
        <f t="shared" si="1"/>
        <v>-0.4</v>
      </c>
      <c r="I31" s="42">
        <f t="shared" si="2"/>
        <v>0</v>
      </c>
      <c r="J31" s="62">
        <f t="shared" si="0"/>
        <v>-1.2240793456261797E-3</v>
      </c>
    </row>
    <row r="32" spans="1:10" ht="12.75" thickBot="1">
      <c r="A32" s="73" t="s">
        <v>40</v>
      </c>
      <c r="B32" s="74"/>
      <c r="C32" s="75"/>
      <c r="D32" s="80">
        <f>SUM(D26:D31)</f>
        <v>89.52</v>
      </c>
      <c r="E32" s="75"/>
      <c r="F32" s="75"/>
      <c r="G32" s="76">
        <f>SUM(G26:G31)</f>
        <v>83.289999999999992</v>
      </c>
      <c r="H32" s="76">
        <f t="shared" si="1"/>
        <v>-6.230000000000004</v>
      </c>
      <c r="I32" s="77">
        <f t="shared" si="2"/>
        <v>-6.9593386952636324E-2</v>
      </c>
      <c r="J32" s="78">
        <f t="shared" si="0"/>
        <v>0.25488392174301122</v>
      </c>
    </row>
    <row r="33" spans="1:10">
      <c r="A33" s="69" t="str">
        <f>A10</f>
        <v>Retail Transmission Rate - Network Service Rate</v>
      </c>
      <c r="B33" s="44">
        <f>B18*Rates!D70</f>
        <v>2172.8000000000002</v>
      </c>
      <c r="C33" s="45">
        <f>C10</f>
        <v>5.7000000000000002E-3</v>
      </c>
      <c r="D33" s="47">
        <f>B33*C33</f>
        <v>12.384960000000001</v>
      </c>
      <c r="E33" s="44">
        <f>B18*H18</f>
        <v>2172.8000000000002</v>
      </c>
      <c r="F33" s="45">
        <f>D10</f>
        <v>6.1999999999999998E-3</v>
      </c>
      <c r="G33" s="47">
        <f>E33*F33</f>
        <v>13.471360000000001</v>
      </c>
      <c r="H33" s="47">
        <f t="shared" si="1"/>
        <v>1.0863999999999994</v>
      </c>
      <c r="I33" s="48">
        <f t="shared" si="2"/>
        <v>8.7719298245613975E-2</v>
      </c>
      <c r="J33" s="72">
        <f t="shared" si="0"/>
        <v>4.1225033833736727E-2</v>
      </c>
    </row>
    <row r="34" spans="1:10" ht="12.75" thickBot="1">
      <c r="A34" s="63" t="str">
        <f>A11</f>
        <v>Retail Transmission Rate - Line and Transformation Connection Service Rate</v>
      </c>
      <c r="B34" s="64">
        <f>B18*Rates!D70</f>
        <v>2172.8000000000002</v>
      </c>
      <c r="C34" s="65">
        <f>C11</f>
        <v>4.7000000000000002E-3</v>
      </c>
      <c r="D34" s="66">
        <f>B34*C34</f>
        <v>10.212160000000001</v>
      </c>
      <c r="E34" s="64">
        <f>B18*H18</f>
        <v>2172.8000000000002</v>
      </c>
      <c r="F34" s="65">
        <f>D11</f>
        <v>4.8999999999999998E-3</v>
      </c>
      <c r="G34" s="66">
        <f>E34*F34</f>
        <v>10.64672</v>
      </c>
      <c r="H34" s="66">
        <f t="shared" si="1"/>
        <v>0.43455999999999939</v>
      </c>
      <c r="I34" s="67">
        <f t="shared" si="2"/>
        <v>4.2553191489361639E-2</v>
      </c>
      <c r="J34" s="68">
        <f t="shared" si="0"/>
        <v>3.2581075126662896E-2</v>
      </c>
    </row>
    <row r="35" spans="1:10" ht="12.75" thickBot="1">
      <c r="A35" s="73" t="s">
        <v>32</v>
      </c>
      <c r="B35" s="74"/>
      <c r="C35" s="75"/>
      <c r="D35" s="76">
        <f>SUM(D33:D34)</f>
        <v>22.597120000000004</v>
      </c>
      <c r="E35" s="75"/>
      <c r="F35" s="75"/>
      <c r="G35" s="76">
        <f>SUM(G33:G34)</f>
        <v>24.118079999999999</v>
      </c>
      <c r="H35" s="76">
        <f t="shared" si="1"/>
        <v>1.5209599999999952</v>
      </c>
      <c r="I35" s="77">
        <f t="shared" si="2"/>
        <v>6.7307692307692082E-2</v>
      </c>
      <c r="J35" s="78">
        <f t="shared" si="0"/>
        <v>7.3806108960399616E-2</v>
      </c>
    </row>
    <row r="36" spans="1:10" ht="12.75" thickBot="1">
      <c r="A36" s="81" t="s">
        <v>41</v>
      </c>
      <c r="B36" s="82"/>
      <c r="C36" s="83"/>
      <c r="D36" s="84">
        <f>D32+D35</f>
        <v>112.11712</v>
      </c>
      <c r="E36" s="83"/>
      <c r="F36" s="83"/>
      <c r="G36" s="84">
        <f>G32+G35</f>
        <v>107.40807999999998</v>
      </c>
      <c r="H36" s="84">
        <f t="shared" si="1"/>
        <v>-4.7090400000000159</v>
      </c>
      <c r="I36" s="85">
        <f t="shared" si="2"/>
        <v>-4.2001078871808477E-2</v>
      </c>
      <c r="J36" s="86">
        <f t="shared" si="0"/>
        <v>0.3286900307034108</v>
      </c>
    </row>
    <row r="37" spans="1:10">
      <c r="A37" s="69" t="str">
        <f>A12</f>
        <v>Wholesale Market Service Rate</v>
      </c>
      <c r="B37" s="44">
        <f>B18*Rates!D70</f>
        <v>2172.8000000000002</v>
      </c>
      <c r="C37" s="45">
        <f>C12</f>
        <v>5.1999999999999998E-3</v>
      </c>
      <c r="D37" s="47">
        <f>B37*C37</f>
        <v>11.29856</v>
      </c>
      <c r="E37" s="44">
        <f>B18*H18</f>
        <v>2172.8000000000002</v>
      </c>
      <c r="F37" s="45">
        <f>D12</f>
        <v>5.1999999999999998E-3</v>
      </c>
      <c r="G37" s="47">
        <f>E37*F37</f>
        <v>11.29856</v>
      </c>
      <c r="H37" s="47">
        <f t="shared" si="1"/>
        <v>0</v>
      </c>
      <c r="I37" s="48">
        <f t="shared" si="2"/>
        <v>0</v>
      </c>
      <c r="J37" s="72">
        <f t="shared" si="0"/>
        <v>3.4575834828295321E-2</v>
      </c>
    </row>
    <row r="38" spans="1:10">
      <c r="A38" s="61" t="str">
        <f>A13</f>
        <v>Rural Rate Protection Charge</v>
      </c>
      <c r="B38" s="39">
        <f>B18*Rates!D70</f>
        <v>2172.8000000000002</v>
      </c>
      <c r="C38" s="40">
        <f>C13</f>
        <v>1.2999999999999999E-3</v>
      </c>
      <c r="D38" s="41">
        <f>B38*C38</f>
        <v>2.82464</v>
      </c>
      <c r="E38" s="39">
        <f>B18*H18</f>
        <v>2172.8000000000002</v>
      </c>
      <c r="F38" s="40">
        <f>D13</f>
        <v>1.2999999999999999E-3</v>
      </c>
      <c r="G38" s="41">
        <f>E38*F38</f>
        <v>2.82464</v>
      </c>
      <c r="H38" s="41">
        <f t="shared" si="1"/>
        <v>0</v>
      </c>
      <c r="I38" s="42">
        <f t="shared" si="2"/>
        <v>0</v>
      </c>
      <c r="J38" s="62">
        <f t="shared" si="0"/>
        <v>8.6439587070738302E-3</v>
      </c>
    </row>
    <row r="39" spans="1:10">
      <c r="A39" s="63" t="s">
        <v>45</v>
      </c>
      <c r="B39" s="64">
        <f>B18*Rates!D70</f>
        <v>2172.8000000000002</v>
      </c>
      <c r="C39" s="65">
        <f>Rates!D15</f>
        <v>0</v>
      </c>
      <c r="D39" s="66">
        <f>B39*C39</f>
        <v>0</v>
      </c>
      <c r="E39" s="64">
        <f>B18*Rates!F70</f>
        <v>2172.8000000000002</v>
      </c>
      <c r="F39" s="65">
        <f>Rates!F15</f>
        <v>0</v>
      </c>
      <c r="G39" s="66">
        <f>E39*F39</f>
        <v>0</v>
      </c>
      <c r="H39" s="41">
        <f>G39-D39</f>
        <v>0</v>
      </c>
      <c r="I39" s="42">
        <f>IF(ISERROR(H39/D39),0,H39/D39)</f>
        <v>0</v>
      </c>
      <c r="J39" s="62">
        <f t="shared" si="0"/>
        <v>0</v>
      </c>
    </row>
    <row r="40" spans="1:10" ht="12.75" thickBot="1">
      <c r="A40" s="63" t="str">
        <f>A15</f>
        <v>Standard Supply Service - Administarive Charge (if applicable)</v>
      </c>
      <c r="B40" s="79">
        <f>B26</f>
        <v>1</v>
      </c>
      <c r="C40" s="66">
        <f>C15</f>
        <v>0.25</v>
      </c>
      <c r="D40" s="66">
        <f>B40*C40</f>
        <v>0.25</v>
      </c>
      <c r="E40" s="64">
        <f>B26</f>
        <v>1</v>
      </c>
      <c r="F40" s="66">
        <f>D15</f>
        <v>0.25</v>
      </c>
      <c r="G40" s="66">
        <f>E40*F40</f>
        <v>0.25</v>
      </c>
      <c r="H40" s="66">
        <f t="shared" si="1"/>
        <v>0</v>
      </c>
      <c r="I40" s="67">
        <f t="shared" si="2"/>
        <v>0</v>
      </c>
      <c r="J40" s="68">
        <f t="shared" si="0"/>
        <v>7.6504959101636222E-4</v>
      </c>
    </row>
    <row r="41" spans="1:10" ht="12.75" thickBot="1">
      <c r="A41" s="73" t="s">
        <v>42</v>
      </c>
      <c r="B41" s="74"/>
      <c r="C41" s="75"/>
      <c r="D41" s="76">
        <f>SUM(D37:D40)</f>
        <v>14.373200000000001</v>
      </c>
      <c r="E41" s="75"/>
      <c r="F41" s="75"/>
      <c r="G41" s="76">
        <f>SUM(G37:G40)</f>
        <v>14.373200000000001</v>
      </c>
      <c r="H41" s="76">
        <f t="shared" si="1"/>
        <v>0</v>
      </c>
      <c r="I41" s="77">
        <f t="shared" si="2"/>
        <v>0</v>
      </c>
      <c r="J41" s="78">
        <f t="shared" si="0"/>
        <v>4.3984843126385516E-2</v>
      </c>
    </row>
    <row r="42" spans="1:10" ht="12.75" thickBot="1">
      <c r="A42" s="87" t="s">
        <v>19</v>
      </c>
      <c r="B42" s="88">
        <f>B18</f>
        <v>2000</v>
      </c>
      <c r="C42" s="89">
        <f>Rates!D64</f>
        <v>2E-3</v>
      </c>
      <c r="D42" s="90">
        <f>B42*C42</f>
        <v>4</v>
      </c>
      <c r="E42" s="88">
        <f>B18</f>
        <v>2000</v>
      </c>
      <c r="F42" s="89">
        <f>Rates!F64</f>
        <v>2E-3</v>
      </c>
      <c r="G42" s="90">
        <f>E42*F42</f>
        <v>4</v>
      </c>
      <c r="H42" s="90">
        <f t="shared" si="1"/>
        <v>0</v>
      </c>
      <c r="I42" s="91">
        <f t="shared" si="2"/>
        <v>0</v>
      </c>
      <c r="J42" s="92">
        <f t="shared" si="0"/>
        <v>1.2240793456261796E-2</v>
      </c>
    </row>
    <row r="43" spans="1:10" ht="12.75" thickBot="1">
      <c r="A43" s="73" t="s">
        <v>43</v>
      </c>
      <c r="B43" s="74"/>
      <c r="C43" s="75"/>
      <c r="D43" s="76">
        <f>D25+D36+D41+D42</f>
        <v>293.89152000000001</v>
      </c>
      <c r="E43" s="75"/>
      <c r="F43" s="75"/>
      <c r="G43" s="76">
        <f>G25+G36+G41+G42</f>
        <v>289.18248</v>
      </c>
      <c r="H43" s="76">
        <f t="shared" si="1"/>
        <v>-4.7090400000000159</v>
      </c>
      <c r="I43" s="77">
        <f t="shared" si="2"/>
        <v>-1.6023055037450606E-2</v>
      </c>
      <c r="J43" s="78">
        <f t="shared" si="0"/>
        <v>0.88495575221238942</v>
      </c>
    </row>
    <row r="44" spans="1:10" ht="12.75" thickBot="1">
      <c r="A44" s="93" t="s">
        <v>46</v>
      </c>
      <c r="B44" s="94"/>
      <c r="C44" s="95">
        <f>Rates!D71</f>
        <v>0.13</v>
      </c>
      <c r="D44" s="90">
        <f>C44*D43</f>
        <v>38.2058976</v>
      </c>
      <c r="E44" s="96"/>
      <c r="F44" s="95">
        <f>Rates!F71</f>
        <v>0.13</v>
      </c>
      <c r="G44" s="90">
        <f>F44*G43</f>
        <v>37.593722400000004</v>
      </c>
      <c r="H44" s="90">
        <f t="shared" si="1"/>
        <v>-0.61217519999999581</v>
      </c>
      <c r="I44" s="91">
        <f t="shared" si="2"/>
        <v>-1.6023055037450443E-2</v>
      </c>
      <c r="J44" s="92">
        <f t="shared" si="0"/>
        <v>0.11504424778761063</v>
      </c>
    </row>
    <row r="45" spans="1:10" ht="12.75" thickBot="1">
      <c r="A45" s="81" t="s">
        <v>33</v>
      </c>
      <c r="B45" s="82"/>
      <c r="C45" s="83"/>
      <c r="D45" s="104">
        <f>D43+D44</f>
        <v>332.09741760000003</v>
      </c>
      <c r="E45" s="83"/>
      <c r="F45" s="83"/>
      <c r="G45" s="104">
        <f>G43+G44</f>
        <v>326.77620239999999</v>
      </c>
      <c r="H45" s="104">
        <f t="shared" si="1"/>
        <v>-5.3212152000000401</v>
      </c>
      <c r="I45" s="85">
        <f t="shared" si="2"/>
        <v>-1.6023055037450672E-2</v>
      </c>
      <c r="J45" s="86">
        <f t="shared" si="0"/>
        <v>1</v>
      </c>
    </row>
    <row r="46" spans="1:10">
      <c r="A46" s="131"/>
      <c r="B46" s="132"/>
      <c r="C46" s="133"/>
      <c r="D46" s="133"/>
      <c r="E46" s="133"/>
      <c r="F46" s="133"/>
      <c r="G46" s="133"/>
      <c r="H46" s="133"/>
      <c r="I46" s="133"/>
      <c r="J46" s="134"/>
    </row>
    <row r="47" spans="1:10">
      <c r="A47" s="135" t="s">
        <v>70</v>
      </c>
      <c r="B47" s="136"/>
      <c r="C47" s="137"/>
      <c r="D47" s="138">
        <f>D45*0.1</f>
        <v>33.209741760000007</v>
      </c>
      <c r="E47" s="137"/>
      <c r="F47" s="137"/>
      <c r="G47" s="138">
        <f>G45*0.1</f>
        <v>32.677620240000003</v>
      </c>
      <c r="H47" s="137"/>
      <c r="I47" s="137"/>
      <c r="J47" s="139"/>
    </row>
    <row r="48" spans="1:10" ht="12.75" thickBot="1">
      <c r="A48" s="140" t="s">
        <v>71</v>
      </c>
      <c r="B48" s="141"/>
      <c r="C48" s="142"/>
      <c r="D48" s="143">
        <f>D45-D47</f>
        <v>298.88767584000004</v>
      </c>
      <c r="E48" s="142"/>
      <c r="F48" s="142"/>
      <c r="G48" s="143">
        <f>G45-G47</f>
        <v>294.09858215999998</v>
      </c>
      <c r="H48" s="145">
        <f>G48-D48</f>
        <v>-4.7890936800000645</v>
      </c>
      <c r="I48" s="146">
        <f>H48/D48</f>
        <v>-1.6023055037450766E-2</v>
      </c>
      <c r="J48" s="144"/>
    </row>
  </sheetData>
  <mergeCells count="4">
    <mergeCell ref="A21:A22"/>
    <mergeCell ref="B21:B22"/>
    <mergeCell ref="E21:E22"/>
    <mergeCell ref="H21:J21"/>
  </mergeCells>
  <pageMargins left="0.75" right="0.75" top="1" bottom="1" header="0.5" footer="0.5"/>
  <pageSetup scale="73" orientation="landscape" verticalDpi="1200" r:id="rId1"/>
  <headerFooter alignWithMargins="0">
    <oddHeader xml:space="preserve">&amp;C&amp;"Arial,Bold"&amp;16Electricity Distribution Impacts
Rates Effective January 1, 2012&amp;"Arial,Regular"&amp;10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47"/>
  <sheetViews>
    <sheetView topLeftCell="A13" zoomScaleNormal="100" workbookViewId="0">
      <selection activeCell="G31" sqref="G31:J32"/>
    </sheetView>
  </sheetViews>
  <sheetFormatPr defaultRowHeight="12"/>
  <cols>
    <col min="1" max="1" width="80.140625" style="8" bestFit="1" customWidth="1"/>
    <col min="2" max="2" width="9" style="11" bestFit="1" customWidth="1"/>
    <col min="3" max="3" width="9.85546875" style="8" bestFit="1" customWidth="1"/>
    <col min="4" max="4" width="11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Rates!A18</f>
        <v>Residential - R2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2012</v>
      </c>
    </row>
    <row r="4" spans="1:4">
      <c r="A4" s="23" t="str">
        <f>Rates!A19</f>
        <v>Monthly Service Charge</v>
      </c>
      <c r="B4" s="24" t="str">
        <f>Rates!B19</f>
        <v>$</v>
      </c>
      <c r="C4" s="25">
        <f>Rates!D19</f>
        <v>596.12</v>
      </c>
      <c r="D4" s="26">
        <f>Rates!F19</f>
        <v>596.12</v>
      </c>
    </row>
    <row r="5" spans="1:4">
      <c r="A5" s="27" t="str">
        <f>Rates!A20</f>
        <v>Smart Meter Rate Adder</v>
      </c>
      <c r="B5" s="28" t="str">
        <f>Rates!B20</f>
        <v>$</v>
      </c>
      <c r="C5" s="29">
        <f>Rates!D20</f>
        <v>1</v>
      </c>
      <c r="D5" s="30">
        <f>Rates!F20</f>
        <v>1</v>
      </c>
    </row>
    <row r="6" spans="1:4">
      <c r="A6" s="27" t="str">
        <f>Rates!A21</f>
        <v>Distribution Volumetric Rate</v>
      </c>
      <c r="B6" s="28" t="str">
        <f>Rates!B21</f>
        <v>$/kW</v>
      </c>
      <c r="C6" s="31">
        <f>Rates!D21</f>
        <v>2.5728</v>
      </c>
      <c r="D6" s="32">
        <f>Rates!F21</f>
        <v>2.6574</v>
      </c>
    </row>
    <row r="7" spans="1:4">
      <c r="A7" s="27" t="str">
        <f>Rates!A22</f>
        <v>Rate Rider for Deferral/Variance Account Disposition - effective until May 31, 2013</v>
      </c>
      <c r="B7" s="28" t="str">
        <f>Rates!B22</f>
        <v>$/kW</v>
      </c>
      <c r="C7" s="31">
        <f>Rates!D22</f>
        <v>2.1951000000000001</v>
      </c>
      <c r="D7" s="32">
        <f>Rates!F22</f>
        <v>2.1951000000000001</v>
      </c>
    </row>
    <row r="8" spans="1:4">
      <c r="A8" s="27" t="str">
        <f>Rates!A23</f>
        <v>Rate Rider for Deferral/Variance Account Disposition #2 - effective until May 31, 2013</v>
      </c>
      <c r="B8" s="28" t="str">
        <f>Rates!B23</f>
        <v>$/kW</v>
      </c>
      <c r="C8" s="31"/>
      <c r="D8" s="32">
        <f>Rates!F23</f>
        <v>-1.6952</v>
      </c>
    </row>
    <row r="9" spans="1:4">
      <c r="A9" s="27" t="str">
        <f>Rates!A24</f>
        <v>Rate Rider for Tax Changes - effective until December 31, 2012</v>
      </c>
      <c r="B9" s="28" t="str">
        <f>Rates!B24</f>
        <v>$/kW</v>
      </c>
      <c r="C9" s="31">
        <f>Rates!D24</f>
        <v>0</v>
      </c>
      <c r="D9" s="32">
        <f>Rates!F24</f>
        <v>-2.2800000000000001E-2</v>
      </c>
    </row>
    <row r="10" spans="1:4">
      <c r="A10" s="27" t="str">
        <f>Rates!A25</f>
        <v>Retail Transmission Rate - Network Service Rate</v>
      </c>
      <c r="B10" s="28" t="str">
        <f>Rates!B25</f>
        <v>$/kW</v>
      </c>
      <c r="C10" s="31">
        <f>Rates!D25</f>
        <v>2.1217999999999999</v>
      </c>
      <c r="D10" s="32">
        <f>Rates!F25</f>
        <v>2.3003999999999998</v>
      </c>
    </row>
    <row r="11" spans="1:4">
      <c r="A11" s="27" t="str">
        <f>Rates!A26</f>
        <v>Retail Transmission Rate - Line and Transformation Connection Service Rate</v>
      </c>
      <c r="B11" s="28" t="str">
        <f>Rates!B26</f>
        <v>$/kW</v>
      </c>
      <c r="C11" s="31">
        <f>Rates!D26</f>
        <v>1.6634</v>
      </c>
      <c r="D11" s="32">
        <f>Rates!F26</f>
        <v>1.7452000000000001</v>
      </c>
    </row>
    <row r="12" spans="1:4">
      <c r="A12" s="19" t="str">
        <f>Rates!A27</f>
        <v>Retail Transmission Rate - Network Service Rate - Interval Meter &gt; 1,000 kW</v>
      </c>
      <c r="B12" s="20" t="str">
        <f>Rates!B27</f>
        <v>$/kW</v>
      </c>
      <c r="C12" s="21">
        <f>Rates!D27</f>
        <v>2.2507999999999999</v>
      </c>
      <c r="D12" s="22">
        <f>Rates!F27</f>
        <v>2.4403000000000001</v>
      </c>
    </row>
    <row r="13" spans="1:4">
      <c r="A13" s="19" t="str">
        <f>Rates!A28</f>
        <v>Retail Transmission Rate - Line and Transformation Connection Service Rate - Interval &gt; 1,000 kW</v>
      </c>
      <c r="B13" s="20" t="str">
        <f>Rates!B28</f>
        <v>$/kW</v>
      </c>
      <c r="C13" s="21">
        <f>Rates!D28</f>
        <v>1.8384</v>
      </c>
      <c r="D13" s="22">
        <f>Rates!F28</f>
        <v>1.9288000000000001</v>
      </c>
    </row>
    <row r="14" spans="1:4">
      <c r="A14" s="19" t="str">
        <f>Rates!A29</f>
        <v>Wholesale Market Service Rate</v>
      </c>
      <c r="B14" s="20" t="str">
        <f>Rates!B29</f>
        <v>$/kWh</v>
      </c>
      <c r="C14" s="21">
        <f>Rates!D29</f>
        <v>5.1999999999999998E-3</v>
      </c>
      <c r="D14" s="22">
        <f>Rates!F29</f>
        <v>5.1999999999999998E-3</v>
      </c>
    </row>
    <row r="15" spans="1:4">
      <c r="A15" s="19" t="str">
        <f>Rates!A30</f>
        <v>Rural Rate Protection Charge</v>
      </c>
      <c r="B15" s="20" t="str">
        <f>Rates!B30</f>
        <v>$/kWh</v>
      </c>
      <c r="C15" s="21">
        <f>Rates!D30</f>
        <v>1.2999999999999999E-3</v>
      </c>
      <c r="D15" s="22">
        <f>Rates!F30</f>
        <v>1.2999999999999999E-3</v>
      </c>
    </row>
    <row r="16" spans="1:4">
      <c r="A16" s="27" t="str">
        <f>Rates!A31</f>
        <v>Special Purpose Charge</v>
      </c>
      <c r="B16" s="28" t="str">
        <f>Rates!B31</f>
        <v>$/kWh</v>
      </c>
      <c r="C16" s="31">
        <f>Rates!D31</f>
        <v>0</v>
      </c>
      <c r="D16" s="32">
        <f>Rates!F31</f>
        <v>0</v>
      </c>
    </row>
    <row r="17" spans="1:10" ht="12.75" thickBot="1">
      <c r="A17" s="12" t="str">
        <f>Rates!A32</f>
        <v>Standard Supply Service - Administarive Charge (if applicable)</v>
      </c>
      <c r="B17" s="17" t="str">
        <f>Rates!B32</f>
        <v>$</v>
      </c>
      <c r="C17" s="18">
        <f>Rates!D32</f>
        <v>0.25</v>
      </c>
      <c r="D17" s="13">
        <f>Rates!F32</f>
        <v>0.25</v>
      </c>
    </row>
    <row r="19" spans="1:10" ht="12.75" thickBot="1"/>
    <row r="20" spans="1:10" ht="13.5" thickBot="1">
      <c r="A20" s="33" t="s">
        <v>26</v>
      </c>
      <c r="B20" s="34">
        <v>90000</v>
      </c>
      <c r="C20" s="35" t="s">
        <v>27</v>
      </c>
      <c r="D20" s="36">
        <v>225</v>
      </c>
      <c r="E20" s="35" t="s">
        <v>28</v>
      </c>
      <c r="G20" s="37" t="s">
        <v>23</v>
      </c>
      <c r="H20" s="53">
        <f>Rates!F70</f>
        <v>1.0864</v>
      </c>
    </row>
    <row r="21" spans="1:10" ht="13.5" thickBot="1">
      <c r="A21" s="33" t="s">
        <v>29</v>
      </c>
      <c r="B21" s="34">
        <v>750</v>
      </c>
      <c r="C21" s="35" t="s">
        <v>27</v>
      </c>
      <c r="D21" s="37" t="s">
        <v>30</v>
      </c>
      <c r="E21" s="97">
        <f>IF(D20&gt;0,B20/(D20*24*30.4)," ")</f>
        <v>0.54824561403508776</v>
      </c>
    </row>
    <row r="22" spans="1:10" ht="12.75" thickBot="1"/>
    <row r="23" spans="1:10" ht="12.75" customHeight="1">
      <c r="A23" s="149" t="str">
        <f>A3</f>
        <v>Residential - R2</v>
      </c>
      <c r="B23" s="151" t="s">
        <v>31</v>
      </c>
      <c r="C23" s="49" t="s">
        <v>37</v>
      </c>
      <c r="D23" s="49" t="s">
        <v>38</v>
      </c>
      <c r="E23" s="151" t="s">
        <v>31</v>
      </c>
      <c r="F23" s="49" t="s">
        <v>37</v>
      </c>
      <c r="G23" s="49" t="s">
        <v>38</v>
      </c>
      <c r="H23" s="153" t="s">
        <v>44</v>
      </c>
      <c r="I23" s="153"/>
      <c r="J23" s="154"/>
    </row>
    <row r="24" spans="1:10" ht="12.75" thickBot="1">
      <c r="A24" s="150"/>
      <c r="B24" s="152"/>
      <c r="C24" s="50" t="s">
        <v>15</v>
      </c>
      <c r="D24" s="50" t="s">
        <v>15</v>
      </c>
      <c r="E24" s="152"/>
      <c r="F24" s="50" t="s">
        <v>15</v>
      </c>
      <c r="G24" s="50" t="s">
        <v>15</v>
      </c>
      <c r="H24" s="50" t="s">
        <v>15</v>
      </c>
      <c r="I24" s="51" t="s">
        <v>22</v>
      </c>
      <c r="J24" s="52" t="s">
        <v>34</v>
      </c>
    </row>
    <row r="25" spans="1:10">
      <c r="A25" s="54" t="s">
        <v>35</v>
      </c>
      <c r="B25" s="55">
        <f>IF(B20*Rates!D70&gt;B21,B21,B20*Rates!D70)</f>
        <v>750</v>
      </c>
      <c r="C25" s="56">
        <f>Rates!D65</f>
        <v>6.8000000000000005E-2</v>
      </c>
      <c r="D25" s="57">
        <f>B25*C25</f>
        <v>51.000000000000007</v>
      </c>
      <c r="E25" s="55">
        <f>IF(B20*H20&gt;B21,B21,B20*H20)</f>
        <v>750</v>
      </c>
      <c r="F25" s="56">
        <f>Rates!F65</f>
        <v>6.8000000000000005E-2</v>
      </c>
      <c r="G25" s="57">
        <f>E25*F25</f>
        <v>51.000000000000007</v>
      </c>
      <c r="H25" s="58">
        <f t="shared" ref="H25:H47" si="0">G25-D25</f>
        <v>0</v>
      </c>
      <c r="I25" s="59">
        <f>IF(ISERROR(H25/D25),1,H25/D25)</f>
        <v>0</v>
      </c>
      <c r="J25" s="60">
        <f t="shared" ref="J25:J47" si="1">IF(ISERROR(G25/G$47),0,G25/G$47)</f>
        <v>4.1700242279990307E-3</v>
      </c>
    </row>
    <row r="26" spans="1:10" ht="12.75" thickBot="1">
      <c r="A26" s="63" t="s">
        <v>36</v>
      </c>
      <c r="B26" s="64">
        <f>IF(B20*Rates!D70&gt;=B21,B20*Rates!D70-B21,0)</f>
        <v>97026</v>
      </c>
      <c r="C26" s="65">
        <f>Rates!D66</f>
        <v>7.9000000000000001E-2</v>
      </c>
      <c r="D26" s="66">
        <f>B26*C26</f>
        <v>7665.0540000000001</v>
      </c>
      <c r="E26" s="64">
        <f>IF(B20*H20&gt;=B21,B20*H20-B21,0)</f>
        <v>97026</v>
      </c>
      <c r="F26" s="65">
        <f>Rates!F66</f>
        <v>7.9000000000000001E-2</v>
      </c>
      <c r="G26" s="66">
        <f>E26*F26</f>
        <v>7665.0540000000001</v>
      </c>
      <c r="H26" s="66">
        <f t="shared" si="0"/>
        <v>0</v>
      </c>
      <c r="I26" s="67">
        <f>IF(ISERROR(H26/D26),0,H26/D26)</f>
        <v>0</v>
      </c>
      <c r="J26" s="68">
        <f t="shared" si="1"/>
        <v>0.62673452723374268</v>
      </c>
    </row>
    <row r="27" spans="1:10" ht="12.75" thickBot="1">
      <c r="A27" s="73" t="s">
        <v>39</v>
      </c>
      <c r="B27" s="74"/>
      <c r="C27" s="75"/>
      <c r="D27" s="76">
        <f>SUM(D25:D26)</f>
        <v>7716.0540000000001</v>
      </c>
      <c r="E27" s="75"/>
      <c r="F27" s="75"/>
      <c r="G27" s="76">
        <f>SUM(G25:G26)</f>
        <v>7716.0540000000001</v>
      </c>
      <c r="H27" s="76">
        <f t="shared" si="0"/>
        <v>0</v>
      </c>
      <c r="I27" s="77">
        <f>IF(ISERROR(H27/D27),0,H27/D27)</f>
        <v>0</v>
      </c>
      <c r="J27" s="78">
        <f t="shared" si="1"/>
        <v>0.63090455146174174</v>
      </c>
    </row>
    <row r="28" spans="1:10">
      <c r="A28" s="69" t="str">
        <f t="shared" ref="A28:A33" si="2">A4</f>
        <v>Monthly Service Charge</v>
      </c>
      <c r="B28" s="70">
        <v>1</v>
      </c>
      <c r="C28" s="46">
        <f t="shared" ref="C28:C33" si="3">C4</f>
        <v>596.12</v>
      </c>
      <c r="D28" s="46">
        <f t="shared" ref="D28:D33" si="4">B28*C28</f>
        <v>596.12</v>
      </c>
      <c r="E28" s="71">
        <f>B28</f>
        <v>1</v>
      </c>
      <c r="F28" s="47">
        <f t="shared" ref="F28:F33" si="5">D4</f>
        <v>596.12</v>
      </c>
      <c r="G28" s="47">
        <f t="shared" ref="G28:G33" si="6">E28*F28</f>
        <v>596.12</v>
      </c>
      <c r="H28" s="47">
        <f t="shared" si="0"/>
        <v>0</v>
      </c>
      <c r="I28" s="48">
        <f>IF(ISERROR(H28/D28),0,H28/D28)</f>
        <v>0</v>
      </c>
      <c r="J28" s="72">
        <f t="shared" si="1"/>
        <v>4.8741859662642779E-2</v>
      </c>
    </row>
    <row r="29" spans="1:10">
      <c r="A29" s="61" t="str">
        <f t="shared" si="2"/>
        <v>Smart Meter Rate Adder</v>
      </c>
      <c r="B29" s="43">
        <f>B28</f>
        <v>1</v>
      </c>
      <c r="C29" s="41">
        <f t="shared" si="3"/>
        <v>1</v>
      </c>
      <c r="D29" s="41">
        <f t="shared" si="4"/>
        <v>1</v>
      </c>
      <c r="E29" s="43">
        <f>B29</f>
        <v>1</v>
      </c>
      <c r="F29" s="41">
        <f t="shared" si="5"/>
        <v>1</v>
      </c>
      <c r="G29" s="41">
        <f t="shared" si="6"/>
        <v>1</v>
      </c>
      <c r="H29" s="41">
        <f t="shared" si="0"/>
        <v>0</v>
      </c>
      <c r="I29" s="42">
        <f>IF(ISERROR(H29/D29),1,H29/D29)</f>
        <v>0</v>
      </c>
      <c r="J29" s="62">
        <f t="shared" si="1"/>
        <v>8.1765180941157444E-5</v>
      </c>
    </row>
    <row r="30" spans="1:10">
      <c r="A30" s="61" t="str">
        <f t="shared" si="2"/>
        <v>Distribution Volumetric Rate</v>
      </c>
      <c r="B30" s="43">
        <f>D20</f>
        <v>225</v>
      </c>
      <c r="C30" s="40">
        <f t="shared" si="3"/>
        <v>2.5728</v>
      </c>
      <c r="D30" s="41">
        <f t="shared" si="4"/>
        <v>578.88</v>
      </c>
      <c r="E30" s="43">
        <f>D20</f>
        <v>225</v>
      </c>
      <c r="F30" s="40">
        <f t="shared" si="5"/>
        <v>2.6574</v>
      </c>
      <c r="G30" s="41">
        <f t="shared" si="6"/>
        <v>597.91499999999996</v>
      </c>
      <c r="H30" s="41">
        <f t="shared" si="0"/>
        <v>19.034999999999968</v>
      </c>
      <c r="I30" s="42">
        <f t="shared" ref="I30:I47" si="7">IF(ISERROR(H30/D30),0,H30/D30)</f>
        <v>3.288246268656711E-2</v>
      </c>
      <c r="J30" s="62">
        <f t="shared" si="1"/>
        <v>4.8888628162432154E-2</v>
      </c>
    </row>
    <row r="31" spans="1:10">
      <c r="A31" s="61" t="str">
        <f t="shared" si="2"/>
        <v>Rate Rider for Deferral/Variance Account Disposition - effective until May 31, 2013</v>
      </c>
      <c r="B31" s="43">
        <f>D20</f>
        <v>225</v>
      </c>
      <c r="C31" s="40">
        <f t="shared" si="3"/>
        <v>2.1951000000000001</v>
      </c>
      <c r="D31" s="41">
        <f t="shared" si="4"/>
        <v>493.89750000000004</v>
      </c>
      <c r="E31" s="43">
        <f>D20</f>
        <v>225</v>
      </c>
      <c r="F31" s="40">
        <f t="shared" si="5"/>
        <v>2.1951000000000001</v>
      </c>
      <c r="G31" s="41">
        <f t="shared" si="6"/>
        <v>493.89750000000004</v>
      </c>
      <c r="H31" s="41">
        <f t="shared" si="0"/>
        <v>0</v>
      </c>
      <c r="I31" s="42">
        <f t="shared" si="7"/>
        <v>0</v>
      </c>
      <c r="J31" s="62">
        <f t="shared" si="1"/>
        <v>4.0383618453885314E-2</v>
      </c>
    </row>
    <row r="32" spans="1:10">
      <c r="A32" s="61" t="str">
        <f t="shared" si="2"/>
        <v>Rate Rider for Deferral/Variance Account Disposition #2 - effective until May 31, 2013</v>
      </c>
      <c r="B32" s="43">
        <f>D20</f>
        <v>225</v>
      </c>
      <c r="C32" s="40">
        <f t="shared" si="3"/>
        <v>0</v>
      </c>
      <c r="D32" s="41">
        <f t="shared" si="4"/>
        <v>0</v>
      </c>
      <c r="E32" s="43">
        <f>D20</f>
        <v>225</v>
      </c>
      <c r="F32" s="40">
        <f t="shared" si="5"/>
        <v>-1.6952</v>
      </c>
      <c r="G32" s="41">
        <f t="shared" ref="G32" si="8">E32*F32</f>
        <v>-381.42</v>
      </c>
      <c r="H32" s="41">
        <f t="shared" ref="H32" si="9">G32-D32</f>
        <v>-381.42</v>
      </c>
      <c r="I32" s="42">
        <f t="shared" ref="I32" si="10">IF(ISERROR(H32/D32),0,H32/D32)</f>
        <v>0</v>
      </c>
      <c r="J32" s="62">
        <f t="shared" ref="J32" si="11">IF(ISERROR(G32/G$47),0,G32/G$47)</f>
        <v>-3.1186875314576274E-2</v>
      </c>
    </row>
    <row r="33" spans="1:10" ht="12.75" thickBot="1">
      <c r="A33" s="61" t="str">
        <f t="shared" si="2"/>
        <v>Rate Rider for Tax Changes - effective until December 31, 2012</v>
      </c>
      <c r="B33" s="43">
        <f>D20</f>
        <v>225</v>
      </c>
      <c r="C33" s="40">
        <f t="shared" si="3"/>
        <v>0</v>
      </c>
      <c r="D33" s="41">
        <f t="shared" si="4"/>
        <v>0</v>
      </c>
      <c r="E33" s="43">
        <f>D20</f>
        <v>225</v>
      </c>
      <c r="F33" s="40">
        <f t="shared" si="5"/>
        <v>-2.2800000000000001E-2</v>
      </c>
      <c r="G33" s="41">
        <f t="shared" si="6"/>
        <v>-5.13</v>
      </c>
      <c r="H33" s="41">
        <f t="shared" si="0"/>
        <v>-5.13</v>
      </c>
      <c r="I33" s="42">
        <f t="shared" si="7"/>
        <v>0</v>
      </c>
      <c r="J33" s="62">
        <f t="shared" si="1"/>
        <v>-4.1945537822813767E-4</v>
      </c>
    </row>
    <row r="34" spans="1:10" ht="12.75" thickBot="1">
      <c r="A34" s="73" t="s">
        <v>40</v>
      </c>
      <c r="B34" s="74"/>
      <c r="C34" s="75"/>
      <c r="D34" s="80">
        <f>SUM(D28:D33)</f>
        <v>1669.8975</v>
      </c>
      <c r="E34" s="75"/>
      <c r="F34" s="75"/>
      <c r="G34" s="76">
        <f>SUM(G28:G33)</f>
        <v>1302.3824999999997</v>
      </c>
      <c r="H34" s="76">
        <f t="shared" si="0"/>
        <v>-367.51500000000033</v>
      </c>
      <c r="I34" s="77">
        <f t="shared" si="7"/>
        <v>-0.22008237032512493</v>
      </c>
      <c r="J34" s="78">
        <f t="shared" si="1"/>
        <v>0.10648954076709696</v>
      </c>
    </row>
    <row r="35" spans="1:10">
      <c r="A35" s="69" t="str">
        <f>A10</f>
        <v>Retail Transmission Rate - Network Service Rate</v>
      </c>
      <c r="B35" s="44">
        <f>D20*Rates!D70</f>
        <v>244.44</v>
      </c>
      <c r="C35" s="45">
        <f>C10</f>
        <v>2.1217999999999999</v>
      </c>
      <c r="D35" s="47">
        <f>B35*C35</f>
        <v>518.65279199999998</v>
      </c>
      <c r="E35" s="44">
        <f>D20*H20</f>
        <v>244.44</v>
      </c>
      <c r="F35" s="45">
        <f>D10</f>
        <v>2.3003999999999998</v>
      </c>
      <c r="G35" s="47">
        <f>E35*F35</f>
        <v>562.30977599999994</v>
      </c>
      <c r="H35" s="47">
        <f t="shared" si="0"/>
        <v>43.656983999999966</v>
      </c>
      <c r="I35" s="48">
        <f t="shared" si="7"/>
        <v>8.4173814685644208E-2</v>
      </c>
      <c r="J35" s="72">
        <f t="shared" si="1"/>
        <v>4.5977360579621707E-2</v>
      </c>
    </row>
    <row r="36" spans="1:10" ht="12.75" thickBot="1">
      <c r="A36" s="63" t="str">
        <f>A11</f>
        <v>Retail Transmission Rate - Line and Transformation Connection Service Rate</v>
      </c>
      <c r="B36" s="64">
        <f>D20*Rates!D70</f>
        <v>244.44</v>
      </c>
      <c r="C36" s="65">
        <f>C11</f>
        <v>1.6634</v>
      </c>
      <c r="D36" s="66">
        <f>B36*C36</f>
        <v>406.601496</v>
      </c>
      <c r="E36" s="64">
        <f>D20*H20</f>
        <v>244.44</v>
      </c>
      <c r="F36" s="65">
        <f>D11</f>
        <v>1.7452000000000001</v>
      </c>
      <c r="G36" s="66">
        <f>E36*F36</f>
        <v>426.59668800000003</v>
      </c>
      <c r="H36" s="66">
        <f t="shared" si="0"/>
        <v>19.995192000000031</v>
      </c>
      <c r="I36" s="67">
        <f t="shared" si="7"/>
        <v>4.9176385716003447E-2</v>
      </c>
      <c r="J36" s="68">
        <f t="shared" si="1"/>
        <v>3.4880755383218491E-2</v>
      </c>
    </row>
    <row r="37" spans="1:10" ht="12.75" thickBot="1">
      <c r="A37" s="73" t="s">
        <v>32</v>
      </c>
      <c r="B37" s="74"/>
      <c r="C37" s="75"/>
      <c r="D37" s="76">
        <f>SUM(D35:D36)</f>
        <v>925.25428799999997</v>
      </c>
      <c r="E37" s="75"/>
      <c r="F37" s="75"/>
      <c r="G37" s="76">
        <f>SUM(G35:G36)</f>
        <v>988.90646399999991</v>
      </c>
      <c r="H37" s="76">
        <f t="shared" si="0"/>
        <v>63.65217599999994</v>
      </c>
      <c r="I37" s="77">
        <f t="shared" si="7"/>
        <v>6.8794251294515413E-2</v>
      </c>
      <c r="J37" s="78">
        <f t="shared" si="1"/>
        <v>8.0858115962840191E-2</v>
      </c>
    </row>
    <row r="38" spans="1:10" ht="12.75" thickBot="1">
      <c r="A38" s="81" t="s">
        <v>41</v>
      </c>
      <c r="B38" s="82"/>
      <c r="C38" s="83"/>
      <c r="D38" s="84">
        <f>D34+D37</f>
        <v>2595.1517880000001</v>
      </c>
      <c r="E38" s="83"/>
      <c r="F38" s="83"/>
      <c r="G38" s="84">
        <f>G34+G37</f>
        <v>2291.2889639999994</v>
      </c>
      <c r="H38" s="84">
        <f t="shared" si="0"/>
        <v>-303.86282400000073</v>
      </c>
      <c r="I38" s="85">
        <f t="shared" si="7"/>
        <v>-0.11708865177176322</v>
      </c>
      <c r="J38" s="86">
        <f t="shared" si="1"/>
        <v>0.18734765672993714</v>
      </c>
    </row>
    <row r="39" spans="1:10">
      <c r="A39" s="69" t="str">
        <f>A14</f>
        <v>Wholesale Market Service Rate</v>
      </c>
      <c r="B39" s="44">
        <f>B20*Rates!D70</f>
        <v>97776</v>
      </c>
      <c r="C39" s="45">
        <f>C14</f>
        <v>5.1999999999999998E-3</v>
      </c>
      <c r="D39" s="47">
        <f>B39*C39</f>
        <v>508.43519999999995</v>
      </c>
      <c r="E39" s="44">
        <f>B20*H20</f>
        <v>97776</v>
      </c>
      <c r="F39" s="45">
        <f>D14</f>
        <v>5.1999999999999998E-3</v>
      </c>
      <c r="G39" s="47">
        <f>E39*F39</f>
        <v>508.43519999999995</v>
      </c>
      <c r="H39" s="47">
        <f t="shared" si="0"/>
        <v>0</v>
      </c>
      <c r="I39" s="48">
        <f t="shared" si="7"/>
        <v>0</v>
      </c>
      <c r="J39" s="72">
        <f t="shared" si="1"/>
        <v>4.1572296124853574E-2</v>
      </c>
    </row>
    <row r="40" spans="1:10">
      <c r="A40" s="61" t="str">
        <f>A15</f>
        <v>Rural Rate Protection Charge</v>
      </c>
      <c r="B40" s="39">
        <f>B20*Rates!D70</f>
        <v>97776</v>
      </c>
      <c r="C40" s="40">
        <f>C15</f>
        <v>1.2999999999999999E-3</v>
      </c>
      <c r="D40" s="41">
        <f>B40*C40</f>
        <v>127.10879999999999</v>
      </c>
      <c r="E40" s="39">
        <f>B20*H20</f>
        <v>97776</v>
      </c>
      <c r="F40" s="40">
        <f>D15</f>
        <v>1.2999999999999999E-3</v>
      </c>
      <c r="G40" s="41">
        <f>E40*F40</f>
        <v>127.10879999999999</v>
      </c>
      <c r="H40" s="41">
        <f t="shared" si="0"/>
        <v>0</v>
      </c>
      <c r="I40" s="42">
        <f t="shared" si="7"/>
        <v>0</v>
      </c>
      <c r="J40" s="62">
        <f t="shared" si="1"/>
        <v>1.0393074031213393E-2</v>
      </c>
    </row>
    <row r="41" spans="1:10">
      <c r="A41" s="63" t="s">
        <v>45</v>
      </c>
      <c r="B41" s="64">
        <f>B20*Rates!D70</f>
        <v>97776</v>
      </c>
      <c r="C41" s="65">
        <f>Rates!D31</f>
        <v>0</v>
      </c>
      <c r="D41" s="66">
        <f>B41*C41</f>
        <v>0</v>
      </c>
      <c r="E41" s="64">
        <f>B20*Rates!F70</f>
        <v>97776</v>
      </c>
      <c r="F41" s="65">
        <f>Rates!F31</f>
        <v>0</v>
      </c>
      <c r="G41" s="66">
        <f>E41*F41</f>
        <v>0</v>
      </c>
      <c r="H41" s="41">
        <f>G41-D41</f>
        <v>0</v>
      </c>
      <c r="I41" s="42">
        <f>IF(ISERROR(H41/D41),0,H41/D41)</f>
        <v>0</v>
      </c>
      <c r="J41" s="62">
        <f t="shared" si="1"/>
        <v>0</v>
      </c>
    </row>
    <row r="42" spans="1:10" ht="12.75" thickBot="1">
      <c r="A42" s="63" t="str">
        <f>A17</f>
        <v>Standard Supply Service - Administarive Charge (if applicable)</v>
      </c>
      <c r="B42" s="79">
        <f>B28</f>
        <v>1</v>
      </c>
      <c r="C42" s="66">
        <f>C17</f>
        <v>0.25</v>
      </c>
      <c r="D42" s="66">
        <f>B42*C42</f>
        <v>0.25</v>
      </c>
      <c r="E42" s="64">
        <f>B28</f>
        <v>1</v>
      </c>
      <c r="F42" s="66">
        <f>D17</f>
        <v>0.25</v>
      </c>
      <c r="G42" s="66">
        <f>E42*F42</f>
        <v>0.25</v>
      </c>
      <c r="H42" s="66">
        <f t="shared" si="0"/>
        <v>0</v>
      </c>
      <c r="I42" s="67">
        <f t="shared" si="7"/>
        <v>0</v>
      </c>
      <c r="J42" s="68">
        <f t="shared" si="1"/>
        <v>2.0441295235289361E-5</v>
      </c>
    </row>
    <row r="43" spans="1:10" ht="12.75" thickBot="1">
      <c r="A43" s="73" t="s">
        <v>42</v>
      </c>
      <c r="B43" s="74"/>
      <c r="C43" s="75"/>
      <c r="D43" s="76">
        <f>SUM(D39:D42)</f>
        <v>635.79399999999998</v>
      </c>
      <c r="E43" s="75"/>
      <c r="F43" s="75"/>
      <c r="G43" s="76">
        <f>SUM(G39:G42)</f>
        <v>635.79399999999998</v>
      </c>
      <c r="H43" s="76">
        <f t="shared" si="0"/>
        <v>0</v>
      </c>
      <c r="I43" s="77">
        <f t="shared" si="7"/>
        <v>0</v>
      </c>
      <c r="J43" s="78">
        <f t="shared" si="1"/>
        <v>5.1985811451302252E-2</v>
      </c>
    </row>
    <row r="44" spans="1:10" ht="12.75" thickBot="1">
      <c r="A44" s="87" t="s">
        <v>19</v>
      </c>
      <c r="B44" s="88">
        <f>B20</f>
        <v>90000</v>
      </c>
      <c r="C44" s="89">
        <f>Rates!D64</f>
        <v>2E-3</v>
      </c>
      <c r="D44" s="90">
        <f>B44*C44</f>
        <v>180</v>
      </c>
      <c r="E44" s="88">
        <f>B20</f>
        <v>90000</v>
      </c>
      <c r="F44" s="89">
        <f>Rates!F64</f>
        <v>2E-3</v>
      </c>
      <c r="G44" s="90">
        <f>E44*F44</f>
        <v>180</v>
      </c>
      <c r="H44" s="90">
        <f t="shared" si="0"/>
        <v>0</v>
      </c>
      <c r="I44" s="91">
        <f t="shared" si="7"/>
        <v>0</v>
      </c>
      <c r="J44" s="92">
        <f t="shared" si="1"/>
        <v>1.4717732569408341E-2</v>
      </c>
    </row>
    <row r="45" spans="1:10" ht="12.75" thickBot="1">
      <c r="A45" s="73" t="s">
        <v>43</v>
      </c>
      <c r="B45" s="74"/>
      <c r="C45" s="75"/>
      <c r="D45" s="76">
        <f>D27+D38+D43+D44</f>
        <v>11126.999787999999</v>
      </c>
      <c r="E45" s="75"/>
      <c r="F45" s="75"/>
      <c r="G45" s="76">
        <f>G27+G38+G43+G44</f>
        <v>10823.136963999999</v>
      </c>
      <c r="H45" s="76">
        <f t="shared" si="0"/>
        <v>-303.86282399999982</v>
      </c>
      <c r="I45" s="77">
        <f t="shared" si="7"/>
        <v>-2.7308603378217288E-2</v>
      </c>
      <c r="J45" s="78">
        <f t="shared" si="1"/>
        <v>0.88495575221238942</v>
      </c>
    </row>
    <row r="46" spans="1:10" ht="12.75" thickBot="1">
      <c r="A46" s="93" t="s">
        <v>46</v>
      </c>
      <c r="B46" s="94"/>
      <c r="C46" s="95">
        <f>Rates!D71</f>
        <v>0.13</v>
      </c>
      <c r="D46" s="90">
        <f>C46*D45</f>
        <v>1446.50997244</v>
      </c>
      <c r="E46" s="96"/>
      <c r="F46" s="95">
        <f>Rates!F71</f>
        <v>0.13</v>
      </c>
      <c r="G46" s="90">
        <f>F46*G45</f>
        <v>1407.00780532</v>
      </c>
      <c r="H46" s="90">
        <f t="shared" si="0"/>
        <v>-39.502167119999967</v>
      </c>
      <c r="I46" s="91">
        <f t="shared" si="7"/>
        <v>-2.7308603378217281E-2</v>
      </c>
      <c r="J46" s="92">
        <f t="shared" si="1"/>
        <v>0.11504424778761063</v>
      </c>
    </row>
    <row r="47" spans="1:10" ht="12.75" thickBot="1">
      <c r="A47" s="81" t="s">
        <v>33</v>
      </c>
      <c r="B47" s="82"/>
      <c r="C47" s="83"/>
      <c r="D47" s="104">
        <f>D45+D46</f>
        <v>12573.50976044</v>
      </c>
      <c r="E47" s="83"/>
      <c r="F47" s="83"/>
      <c r="G47" s="104">
        <f>G45+G46</f>
        <v>12230.144769319999</v>
      </c>
      <c r="H47" s="104">
        <f t="shared" si="0"/>
        <v>-343.36499112000092</v>
      </c>
      <c r="I47" s="85">
        <f t="shared" si="7"/>
        <v>-2.7308603378217375E-2</v>
      </c>
      <c r="J47" s="86">
        <f t="shared" si="1"/>
        <v>1</v>
      </c>
    </row>
  </sheetData>
  <mergeCells count="4">
    <mergeCell ref="A23:A24"/>
    <mergeCell ref="B23:B24"/>
    <mergeCell ref="E23:E24"/>
    <mergeCell ref="H23:J23"/>
  </mergeCells>
  <phoneticPr fontId="2" type="noConversion"/>
  <pageMargins left="0.75" right="0.75" top="1" bottom="1" header="0.5" footer="0.5"/>
  <pageSetup scale="71" orientation="landscape" verticalDpi="1200" r:id="rId1"/>
  <headerFooter alignWithMargins="0">
    <oddHeader xml:space="preserve">&amp;C&amp;"Arial,Bold"&amp;16Electricity Distribution Impacts
Rates Effective January 1, 2012&amp;"Arial,Regular"&amp;10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47"/>
  <sheetViews>
    <sheetView topLeftCell="A7" zoomScaleNormal="100" workbookViewId="0">
      <selection activeCell="G31" sqref="G31:J32"/>
    </sheetView>
  </sheetViews>
  <sheetFormatPr defaultRowHeight="12"/>
  <cols>
    <col min="1" max="1" width="81.85546875" style="8" bestFit="1" customWidth="1"/>
    <col min="2" max="2" width="10" style="11" bestFit="1" customWidth="1"/>
    <col min="3" max="3" width="9.85546875" style="8" bestFit="1" customWidth="1"/>
    <col min="4" max="4" width="12" style="8" bestFit="1" customWidth="1"/>
    <col min="5" max="6" width="9.140625" style="8"/>
    <col min="7" max="7" width="12" style="8" bestFit="1" customWidth="1"/>
    <col min="8" max="8" width="10.5703125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8.75" thickBot="1">
      <c r="A2" s="107" t="s">
        <v>48</v>
      </c>
    </row>
    <row r="3" spans="1:4" ht="36.75" thickBot="1">
      <c r="A3" s="14" t="str">
        <f>Rates!A18</f>
        <v>Residential - R2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2012</v>
      </c>
    </row>
    <row r="4" spans="1:4">
      <c r="A4" s="23" t="str">
        <f>Rates!A19</f>
        <v>Monthly Service Charge</v>
      </c>
      <c r="B4" s="24" t="str">
        <f>Rates!B19</f>
        <v>$</v>
      </c>
      <c r="C4" s="25">
        <f>Rates!D19</f>
        <v>596.12</v>
      </c>
      <c r="D4" s="26">
        <f>Rates!F19</f>
        <v>596.12</v>
      </c>
    </row>
    <row r="5" spans="1:4">
      <c r="A5" s="27" t="str">
        <f>Rates!A20</f>
        <v>Smart Meter Rate Adder</v>
      </c>
      <c r="B5" s="28" t="str">
        <f>Rates!B20</f>
        <v>$</v>
      </c>
      <c r="C5" s="29">
        <f>Rates!D20</f>
        <v>1</v>
      </c>
      <c r="D5" s="30">
        <f>Rates!F20</f>
        <v>1</v>
      </c>
    </row>
    <row r="6" spans="1:4">
      <c r="A6" s="27" t="str">
        <f>Rates!A21</f>
        <v>Distribution Volumetric Rate</v>
      </c>
      <c r="B6" s="28" t="str">
        <f>Rates!B21</f>
        <v>$/kW</v>
      </c>
      <c r="C6" s="31">
        <f>Rates!D21</f>
        <v>2.5728</v>
      </c>
      <c r="D6" s="32">
        <f>Rates!F21</f>
        <v>2.6574</v>
      </c>
    </row>
    <row r="7" spans="1:4">
      <c r="A7" s="27" t="str">
        <f>Rates!A22</f>
        <v>Rate Rider for Deferral/Variance Account Disposition - effective until May 31, 2013</v>
      </c>
      <c r="B7" s="28" t="str">
        <f>Rates!B22</f>
        <v>$/kW</v>
      </c>
      <c r="C7" s="31">
        <f>Rates!D22</f>
        <v>2.1951000000000001</v>
      </c>
      <c r="D7" s="32">
        <f>Rates!F22</f>
        <v>2.1951000000000001</v>
      </c>
    </row>
    <row r="8" spans="1:4">
      <c r="A8" s="27" t="str">
        <f>Rates!A23</f>
        <v>Rate Rider for Deferral/Variance Account Disposition #2 - effective until May 31, 2013</v>
      </c>
      <c r="B8" s="28" t="str">
        <f>Rates!B23</f>
        <v>$/kW</v>
      </c>
      <c r="C8" s="31"/>
      <c r="D8" s="32">
        <f>Rates!F23</f>
        <v>-1.6952</v>
      </c>
    </row>
    <row r="9" spans="1:4">
      <c r="A9" s="27" t="str">
        <f>Rates!A24</f>
        <v>Rate Rider for Tax Changes - effective until December 31, 2012</v>
      </c>
      <c r="B9" s="28" t="str">
        <f>Rates!B24</f>
        <v>$/kW</v>
      </c>
      <c r="C9" s="31">
        <f>Rates!D24</f>
        <v>0</v>
      </c>
      <c r="D9" s="32">
        <f>Rates!F24</f>
        <v>-2.2800000000000001E-2</v>
      </c>
    </row>
    <row r="10" spans="1:4">
      <c r="A10" s="27" t="str">
        <f>Rates!A25</f>
        <v>Retail Transmission Rate - Network Service Rate</v>
      </c>
      <c r="B10" s="28" t="str">
        <f>Rates!B25</f>
        <v>$/kW</v>
      </c>
      <c r="C10" s="31">
        <f>Rates!D25</f>
        <v>2.1217999999999999</v>
      </c>
      <c r="D10" s="32">
        <f>Rates!F25</f>
        <v>2.3003999999999998</v>
      </c>
    </row>
    <row r="11" spans="1:4">
      <c r="A11" s="27" t="str">
        <f>Rates!A26</f>
        <v>Retail Transmission Rate - Line and Transformation Connection Service Rate</v>
      </c>
      <c r="B11" s="28" t="str">
        <f>Rates!B26</f>
        <v>$/kW</v>
      </c>
      <c r="C11" s="31">
        <f>Rates!D26</f>
        <v>1.6634</v>
      </c>
      <c r="D11" s="32">
        <f>Rates!F26</f>
        <v>1.7452000000000001</v>
      </c>
    </row>
    <row r="12" spans="1:4">
      <c r="A12" s="19" t="str">
        <f>Rates!A27</f>
        <v>Retail Transmission Rate - Network Service Rate - Interval Meter &gt; 1,000 kW</v>
      </c>
      <c r="B12" s="20" t="str">
        <f>Rates!B27</f>
        <v>$/kW</v>
      </c>
      <c r="C12" s="21">
        <f>Rates!D27</f>
        <v>2.2507999999999999</v>
      </c>
      <c r="D12" s="22">
        <f>Rates!F27</f>
        <v>2.4403000000000001</v>
      </c>
    </row>
    <row r="13" spans="1:4">
      <c r="A13" s="19" t="str">
        <f>Rates!A28</f>
        <v>Retail Transmission Rate - Line and Transformation Connection Service Rate - Interval &gt; 1,000 kW</v>
      </c>
      <c r="B13" s="20" t="str">
        <f>Rates!B28</f>
        <v>$/kW</v>
      </c>
      <c r="C13" s="21">
        <f>Rates!D28</f>
        <v>1.8384</v>
      </c>
      <c r="D13" s="22">
        <f>Rates!F28</f>
        <v>1.9288000000000001</v>
      </c>
    </row>
    <row r="14" spans="1:4">
      <c r="A14" s="19" t="str">
        <f>Rates!A29</f>
        <v>Wholesale Market Service Rate</v>
      </c>
      <c r="B14" s="20" t="str">
        <f>Rates!B29</f>
        <v>$/kWh</v>
      </c>
      <c r="C14" s="21">
        <f>Rates!D29</f>
        <v>5.1999999999999998E-3</v>
      </c>
      <c r="D14" s="22">
        <f>Rates!F29</f>
        <v>5.1999999999999998E-3</v>
      </c>
    </row>
    <row r="15" spans="1:4">
      <c r="A15" s="19" t="str">
        <f>Rates!A30</f>
        <v>Rural Rate Protection Charge</v>
      </c>
      <c r="B15" s="20" t="str">
        <f>Rates!B30</f>
        <v>$/kWh</v>
      </c>
      <c r="C15" s="21">
        <f>Rates!D30</f>
        <v>1.2999999999999999E-3</v>
      </c>
      <c r="D15" s="22">
        <f>Rates!F30</f>
        <v>1.2999999999999999E-3</v>
      </c>
    </row>
    <row r="16" spans="1:4">
      <c r="A16" s="27" t="str">
        <f>Rates!A31</f>
        <v>Special Purpose Charge</v>
      </c>
      <c r="B16" s="28" t="str">
        <f>Rates!B31</f>
        <v>$/kWh</v>
      </c>
      <c r="C16" s="31">
        <f>Rates!D31</f>
        <v>0</v>
      </c>
      <c r="D16" s="32">
        <f>Rates!F31</f>
        <v>0</v>
      </c>
    </row>
    <row r="17" spans="1:10" ht="12.75" thickBot="1">
      <c r="A17" s="12" t="str">
        <f>Rates!A32</f>
        <v>Standard Supply Service - Administarive Charge (if applicable)</v>
      </c>
      <c r="B17" s="17" t="str">
        <f>Rates!B32</f>
        <v>$</v>
      </c>
      <c r="C17" s="18">
        <f>Rates!D32</f>
        <v>0.25</v>
      </c>
      <c r="D17" s="13">
        <f>Rates!F32</f>
        <v>0.25</v>
      </c>
    </row>
    <row r="19" spans="1:10" ht="12.75" thickBot="1"/>
    <row r="20" spans="1:10" ht="13.5" thickBot="1">
      <c r="A20" s="33" t="s">
        <v>26</v>
      </c>
      <c r="B20" s="34">
        <v>1100000</v>
      </c>
      <c r="C20" s="35" t="s">
        <v>27</v>
      </c>
      <c r="D20" s="36">
        <v>2500</v>
      </c>
      <c r="E20" s="35" t="s">
        <v>28</v>
      </c>
      <c r="G20" s="37" t="s">
        <v>23</v>
      </c>
      <c r="H20" s="53">
        <f>Rates!F70</f>
        <v>1.0864</v>
      </c>
    </row>
    <row r="21" spans="1:10" ht="13.5" thickBot="1">
      <c r="A21" s="33" t="s">
        <v>29</v>
      </c>
      <c r="B21" s="34">
        <v>750</v>
      </c>
      <c r="C21" s="35" t="s">
        <v>27</v>
      </c>
      <c r="D21" s="37" t="s">
        <v>30</v>
      </c>
      <c r="E21" s="97">
        <f>IF(D20&gt;0,B20/(D20*24*30.4)," ")</f>
        <v>0.60307017543859653</v>
      </c>
    </row>
    <row r="22" spans="1:10" ht="12.75" thickBot="1"/>
    <row r="23" spans="1:10" ht="12.75" customHeight="1">
      <c r="A23" s="149" t="str">
        <f>A3</f>
        <v>Residential - R2</v>
      </c>
      <c r="B23" s="151" t="s">
        <v>31</v>
      </c>
      <c r="C23" s="49" t="s">
        <v>37</v>
      </c>
      <c r="D23" s="49" t="s">
        <v>38</v>
      </c>
      <c r="E23" s="151" t="s">
        <v>31</v>
      </c>
      <c r="F23" s="49" t="s">
        <v>37</v>
      </c>
      <c r="G23" s="49" t="s">
        <v>38</v>
      </c>
      <c r="H23" s="153" t="s">
        <v>44</v>
      </c>
      <c r="I23" s="153"/>
      <c r="J23" s="154"/>
    </row>
    <row r="24" spans="1:10" ht="12.75" thickBot="1">
      <c r="A24" s="150"/>
      <c r="B24" s="152"/>
      <c r="C24" s="50" t="s">
        <v>15</v>
      </c>
      <c r="D24" s="50" t="s">
        <v>15</v>
      </c>
      <c r="E24" s="152"/>
      <c r="F24" s="50" t="s">
        <v>15</v>
      </c>
      <c r="G24" s="50" t="s">
        <v>15</v>
      </c>
      <c r="H24" s="50" t="s">
        <v>15</v>
      </c>
      <c r="I24" s="51" t="s">
        <v>22</v>
      </c>
      <c r="J24" s="52" t="s">
        <v>34</v>
      </c>
    </row>
    <row r="25" spans="1:10">
      <c r="A25" s="54" t="s">
        <v>35</v>
      </c>
      <c r="B25" s="55">
        <f>IF(B20*Rates!D70&gt;B21,B21,B20*Rates!D70)</f>
        <v>750</v>
      </c>
      <c r="C25" s="56">
        <f>Rates!D65</f>
        <v>6.8000000000000005E-2</v>
      </c>
      <c r="D25" s="57">
        <f>B25*C25</f>
        <v>51.000000000000007</v>
      </c>
      <c r="E25" s="55">
        <f>IF(B20*H20&gt;B21,B21,B20*H20)</f>
        <v>750</v>
      </c>
      <c r="F25" s="56">
        <f>Rates!F65</f>
        <v>6.8000000000000005E-2</v>
      </c>
      <c r="G25" s="57">
        <f>E25*F25</f>
        <v>51.000000000000007</v>
      </c>
      <c r="H25" s="58">
        <f t="shared" ref="H25:H47" si="0">G25-D25</f>
        <v>0</v>
      </c>
      <c r="I25" s="59">
        <f>IF(ISERROR(H25/D25),1,H25/D25)</f>
        <v>0</v>
      </c>
      <c r="J25" s="60">
        <f t="shared" ref="J25:J47" si="1">IF(ISERROR(G25/G$47),0,G25/G$47)</f>
        <v>3.6202416194448795E-4</v>
      </c>
    </row>
    <row r="26" spans="1:10" ht="12.75" thickBot="1">
      <c r="A26" s="63" t="s">
        <v>36</v>
      </c>
      <c r="B26" s="64">
        <f>IF(B20*Rates!D70&gt;=B21,B20*Rates!D70-B21,0)</f>
        <v>1194290</v>
      </c>
      <c r="C26" s="65">
        <f>Rates!D66</f>
        <v>7.9000000000000001E-2</v>
      </c>
      <c r="D26" s="66">
        <f>B26*C26</f>
        <v>94348.91</v>
      </c>
      <c r="E26" s="64">
        <f>IF(B20*H20&gt;=B21,B20*H20-B21,0)</f>
        <v>1194290</v>
      </c>
      <c r="F26" s="65">
        <f>Rates!F66</f>
        <v>7.9000000000000001E-2</v>
      </c>
      <c r="G26" s="66">
        <f>E26*F26</f>
        <v>94348.91</v>
      </c>
      <c r="H26" s="66">
        <f t="shared" si="0"/>
        <v>0</v>
      </c>
      <c r="I26" s="67">
        <f>IF(ISERROR(H26/D26),0,H26/D26)</f>
        <v>0</v>
      </c>
      <c r="J26" s="68">
        <f t="shared" si="1"/>
        <v>0.66973696221815526</v>
      </c>
    </row>
    <row r="27" spans="1:10" ht="12.75" thickBot="1">
      <c r="A27" s="73" t="s">
        <v>39</v>
      </c>
      <c r="B27" s="74"/>
      <c r="C27" s="75"/>
      <c r="D27" s="76">
        <f>SUM(D25:D26)</f>
        <v>94399.91</v>
      </c>
      <c r="E27" s="75"/>
      <c r="F27" s="75"/>
      <c r="G27" s="76">
        <f>SUM(G25:G26)</f>
        <v>94399.91</v>
      </c>
      <c r="H27" s="76">
        <f t="shared" si="0"/>
        <v>0</v>
      </c>
      <c r="I27" s="77">
        <f>IF(ISERROR(H27/D27),0,H27/D27)</f>
        <v>0</v>
      </c>
      <c r="J27" s="78">
        <f t="shared" si="1"/>
        <v>0.67009898638009968</v>
      </c>
    </row>
    <row r="28" spans="1:10">
      <c r="A28" s="69" t="str">
        <f t="shared" ref="A28:A33" si="2">A4</f>
        <v>Monthly Service Charge</v>
      </c>
      <c r="B28" s="70">
        <v>1</v>
      </c>
      <c r="C28" s="46">
        <f t="shared" ref="C28:C33" si="3">C4</f>
        <v>596.12</v>
      </c>
      <c r="D28" s="46">
        <f t="shared" ref="D28:D33" si="4">B28*C28</f>
        <v>596.12</v>
      </c>
      <c r="E28" s="71">
        <f>B28</f>
        <v>1</v>
      </c>
      <c r="F28" s="47">
        <f t="shared" ref="F28:F33" si="5">D4</f>
        <v>596.12</v>
      </c>
      <c r="G28" s="47">
        <f t="shared" ref="G28:G33" si="6">E28*F28</f>
        <v>596.12</v>
      </c>
      <c r="H28" s="47">
        <f t="shared" si="0"/>
        <v>0</v>
      </c>
      <c r="I28" s="48">
        <f>IF(ISERROR(H28/D28),0,H28/D28)</f>
        <v>0</v>
      </c>
      <c r="J28" s="72">
        <f t="shared" si="1"/>
        <v>4.2315655572225126E-3</v>
      </c>
    </row>
    <row r="29" spans="1:10">
      <c r="A29" s="61" t="str">
        <f t="shared" si="2"/>
        <v>Smart Meter Rate Adder</v>
      </c>
      <c r="B29" s="43">
        <f>B28</f>
        <v>1</v>
      </c>
      <c r="C29" s="41">
        <f t="shared" si="3"/>
        <v>1</v>
      </c>
      <c r="D29" s="41">
        <f t="shared" si="4"/>
        <v>1</v>
      </c>
      <c r="E29" s="43">
        <f>B29</f>
        <v>1</v>
      </c>
      <c r="F29" s="41">
        <f t="shared" si="5"/>
        <v>1</v>
      </c>
      <c r="G29" s="41">
        <f t="shared" si="6"/>
        <v>1</v>
      </c>
      <c r="H29" s="41">
        <f t="shared" si="0"/>
        <v>0</v>
      </c>
      <c r="I29" s="42">
        <f>IF(ISERROR(H29/D29),1,H29/D29)</f>
        <v>0</v>
      </c>
      <c r="J29" s="62">
        <f t="shared" si="1"/>
        <v>7.0985129793036847E-6</v>
      </c>
    </row>
    <row r="30" spans="1:10">
      <c r="A30" s="61" t="str">
        <f t="shared" si="2"/>
        <v>Distribution Volumetric Rate</v>
      </c>
      <c r="B30" s="43">
        <f>D20</f>
        <v>2500</v>
      </c>
      <c r="C30" s="40">
        <f t="shared" si="3"/>
        <v>2.5728</v>
      </c>
      <c r="D30" s="41">
        <f t="shared" si="4"/>
        <v>6432</v>
      </c>
      <c r="E30" s="43">
        <f>D20</f>
        <v>2500</v>
      </c>
      <c r="F30" s="40">
        <f t="shared" si="5"/>
        <v>2.6574</v>
      </c>
      <c r="G30" s="41">
        <f t="shared" si="6"/>
        <v>6643.5</v>
      </c>
      <c r="H30" s="41">
        <f t="shared" si="0"/>
        <v>211.5</v>
      </c>
      <c r="I30" s="42">
        <f t="shared" ref="I30:I47" si="7">IF(ISERROR(H30/D30),0,H30/D30)</f>
        <v>3.2882462686567165E-2</v>
      </c>
      <c r="J30" s="62">
        <f t="shared" si="1"/>
        <v>4.7158970978004026E-2</v>
      </c>
    </row>
    <row r="31" spans="1:10">
      <c r="A31" s="61" t="str">
        <f t="shared" si="2"/>
        <v>Rate Rider for Deferral/Variance Account Disposition - effective until May 31, 2013</v>
      </c>
      <c r="B31" s="43">
        <f>D20</f>
        <v>2500</v>
      </c>
      <c r="C31" s="40">
        <f t="shared" si="3"/>
        <v>2.1951000000000001</v>
      </c>
      <c r="D31" s="41">
        <f t="shared" si="4"/>
        <v>5487.75</v>
      </c>
      <c r="E31" s="43">
        <f>D20</f>
        <v>2500</v>
      </c>
      <c r="F31" s="40">
        <f t="shared" si="5"/>
        <v>2.1951000000000001</v>
      </c>
      <c r="G31" s="41">
        <f t="shared" si="6"/>
        <v>5487.75</v>
      </c>
      <c r="H31" s="41">
        <f t="shared" si="0"/>
        <v>0</v>
      </c>
      <c r="I31" s="42">
        <f t="shared" si="7"/>
        <v>0</v>
      </c>
      <c r="J31" s="62">
        <f t="shared" si="1"/>
        <v>3.8954864602173796E-2</v>
      </c>
    </row>
    <row r="32" spans="1:10">
      <c r="A32" s="61" t="str">
        <f t="shared" si="2"/>
        <v>Rate Rider for Deferral/Variance Account Disposition #2 - effective until May 31, 2013</v>
      </c>
      <c r="B32" s="43">
        <f>D20</f>
        <v>2500</v>
      </c>
      <c r="C32" s="40">
        <f t="shared" si="3"/>
        <v>0</v>
      </c>
      <c r="D32" s="41">
        <f t="shared" si="4"/>
        <v>0</v>
      </c>
      <c r="E32" s="43">
        <f>D20</f>
        <v>2500</v>
      </c>
      <c r="F32" s="40">
        <f t="shared" si="5"/>
        <v>-1.6952</v>
      </c>
      <c r="G32" s="41">
        <f t="shared" ref="G32" si="8">E32*F32</f>
        <v>-4238</v>
      </c>
      <c r="H32" s="41">
        <f t="shared" ref="H32" si="9">G32-D32</f>
        <v>-4238</v>
      </c>
      <c r="I32" s="42">
        <f t="shared" ref="I32" si="10">IF(ISERROR(H32/D32),0,H32/D32)</f>
        <v>0</v>
      </c>
      <c r="J32" s="62">
        <f t="shared" ref="J32" si="11">IF(ISERROR(G32/G$47),0,G32/G$47)</f>
        <v>-3.0083498006289015E-2</v>
      </c>
    </row>
    <row r="33" spans="1:10" ht="12.75" thickBot="1">
      <c r="A33" s="61" t="str">
        <f t="shared" si="2"/>
        <v>Rate Rider for Tax Changes - effective until December 31, 2012</v>
      </c>
      <c r="B33" s="43">
        <f>D20</f>
        <v>2500</v>
      </c>
      <c r="C33" s="40">
        <f t="shared" si="3"/>
        <v>0</v>
      </c>
      <c r="D33" s="41">
        <f t="shared" si="4"/>
        <v>0</v>
      </c>
      <c r="E33" s="43">
        <f>D20</f>
        <v>2500</v>
      </c>
      <c r="F33" s="40">
        <f t="shared" si="5"/>
        <v>-2.2800000000000001E-2</v>
      </c>
      <c r="G33" s="41">
        <f t="shared" si="6"/>
        <v>-57</v>
      </c>
      <c r="H33" s="41">
        <f t="shared" si="0"/>
        <v>-57</v>
      </c>
      <c r="I33" s="42">
        <f t="shared" si="7"/>
        <v>0</v>
      </c>
      <c r="J33" s="62">
        <f t="shared" si="1"/>
        <v>-4.0461523982031003E-4</v>
      </c>
    </row>
    <row r="34" spans="1:10" ht="12.75" thickBot="1">
      <c r="A34" s="73" t="s">
        <v>40</v>
      </c>
      <c r="B34" s="74"/>
      <c r="C34" s="75"/>
      <c r="D34" s="80">
        <f>SUM(D28:D33)</f>
        <v>12516.869999999999</v>
      </c>
      <c r="E34" s="75"/>
      <c r="F34" s="75"/>
      <c r="G34" s="76">
        <f>SUM(G28:G33)</f>
        <v>8433.369999999999</v>
      </c>
      <c r="H34" s="76">
        <f t="shared" si="0"/>
        <v>-4083.5</v>
      </c>
      <c r="I34" s="77">
        <f t="shared" si="7"/>
        <v>-0.32623970689157916</v>
      </c>
      <c r="J34" s="78">
        <f t="shared" si="1"/>
        <v>5.986438640427031E-2</v>
      </c>
    </row>
    <row r="35" spans="1:10">
      <c r="A35" s="69" t="str">
        <f>A12</f>
        <v>Retail Transmission Rate - Network Service Rate - Interval Meter &gt; 1,000 kW</v>
      </c>
      <c r="B35" s="44">
        <f>D20*Rates!D70</f>
        <v>2716</v>
      </c>
      <c r="C35" s="45">
        <f>C12</f>
        <v>2.2507999999999999</v>
      </c>
      <c r="D35" s="47">
        <f>B35*C35</f>
        <v>6113.1727999999994</v>
      </c>
      <c r="E35" s="44">
        <f>D20*H20</f>
        <v>2716</v>
      </c>
      <c r="F35" s="45">
        <f>D12</f>
        <v>2.4403000000000001</v>
      </c>
      <c r="G35" s="47">
        <f>E35*F35</f>
        <v>6627.8548000000001</v>
      </c>
      <c r="H35" s="47">
        <f t="shared" si="0"/>
        <v>514.6820000000007</v>
      </c>
      <c r="I35" s="48">
        <f t="shared" si="7"/>
        <v>8.4192287186778153E-2</v>
      </c>
      <c r="J35" s="72">
        <f t="shared" si="1"/>
        <v>4.7047913322740227E-2</v>
      </c>
    </row>
    <row r="36" spans="1:10" ht="12.75" thickBot="1">
      <c r="A36" s="63" t="str">
        <f>A13</f>
        <v>Retail Transmission Rate - Line and Transformation Connection Service Rate - Interval &gt; 1,000 kW</v>
      </c>
      <c r="B36" s="64">
        <f>D20*Rates!D70</f>
        <v>2716</v>
      </c>
      <c r="C36" s="65">
        <f>C13</f>
        <v>1.8384</v>
      </c>
      <c r="D36" s="66">
        <f>B36*C36</f>
        <v>4993.0944</v>
      </c>
      <c r="E36" s="64">
        <f>D20*H20</f>
        <v>2716</v>
      </c>
      <c r="F36" s="65">
        <f>D13</f>
        <v>1.9288000000000001</v>
      </c>
      <c r="G36" s="66">
        <f>E36*F36</f>
        <v>5238.6208000000006</v>
      </c>
      <c r="H36" s="66">
        <f t="shared" si="0"/>
        <v>245.52640000000065</v>
      </c>
      <c r="I36" s="67">
        <f t="shared" si="7"/>
        <v>4.9173194081810402E-2</v>
      </c>
      <c r="J36" s="68">
        <f t="shared" si="1"/>
        <v>3.7186417742450253E-2</v>
      </c>
    </row>
    <row r="37" spans="1:10" ht="12.75" thickBot="1">
      <c r="A37" s="73" t="s">
        <v>32</v>
      </c>
      <c r="B37" s="74"/>
      <c r="C37" s="75"/>
      <c r="D37" s="76">
        <f>SUM(D35:D36)</f>
        <v>11106.267199999998</v>
      </c>
      <c r="E37" s="75"/>
      <c r="F37" s="75"/>
      <c r="G37" s="76">
        <f>SUM(G35:G36)</f>
        <v>11866.475600000002</v>
      </c>
      <c r="H37" s="76">
        <f t="shared" si="0"/>
        <v>760.20840000000317</v>
      </c>
      <c r="I37" s="77">
        <f t="shared" si="7"/>
        <v>6.8448596302455547E-2</v>
      </c>
      <c r="J37" s="78">
        <f t="shared" si="1"/>
        <v>8.4234331065190488E-2</v>
      </c>
    </row>
    <row r="38" spans="1:10" ht="12.75" thickBot="1">
      <c r="A38" s="81" t="s">
        <v>41</v>
      </c>
      <c r="B38" s="82"/>
      <c r="C38" s="83"/>
      <c r="D38" s="84">
        <f>D34+D37</f>
        <v>23623.137199999997</v>
      </c>
      <c r="E38" s="83"/>
      <c r="F38" s="83"/>
      <c r="G38" s="84">
        <f>G34+G37</f>
        <v>20299.845600000001</v>
      </c>
      <c r="H38" s="84">
        <f t="shared" si="0"/>
        <v>-3323.2915999999968</v>
      </c>
      <c r="I38" s="85">
        <f t="shared" si="7"/>
        <v>-0.14067951990728805</v>
      </c>
      <c r="J38" s="86">
        <f t="shared" si="1"/>
        <v>0.14409871746946079</v>
      </c>
    </row>
    <row r="39" spans="1:10">
      <c r="A39" s="69" t="str">
        <f>A14</f>
        <v>Wholesale Market Service Rate</v>
      </c>
      <c r="B39" s="44">
        <f>B20*Rates!D70</f>
        <v>1195040</v>
      </c>
      <c r="C39" s="45">
        <f>C14</f>
        <v>5.1999999999999998E-3</v>
      </c>
      <c r="D39" s="47">
        <f>B39*C39</f>
        <v>6214.2079999999996</v>
      </c>
      <c r="E39" s="44">
        <f>B20*H20</f>
        <v>1195040</v>
      </c>
      <c r="F39" s="45">
        <f>D14</f>
        <v>5.1999999999999998E-3</v>
      </c>
      <c r="G39" s="47">
        <f>E39*F39</f>
        <v>6214.2079999999996</v>
      </c>
      <c r="H39" s="47">
        <f t="shared" si="0"/>
        <v>0</v>
      </c>
      <c r="I39" s="48">
        <f t="shared" si="7"/>
        <v>0</v>
      </c>
      <c r="J39" s="72">
        <f t="shared" si="1"/>
        <v>4.4111636144092789E-2</v>
      </c>
    </row>
    <row r="40" spans="1:10">
      <c r="A40" s="61" t="str">
        <f>A15</f>
        <v>Rural Rate Protection Charge</v>
      </c>
      <c r="B40" s="39">
        <f>B20*Rates!D70</f>
        <v>1195040</v>
      </c>
      <c r="C40" s="40">
        <f>C15</f>
        <v>1.2999999999999999E-3</v>
      </c>
      <c r="D40" s="41">
        <f>B40*C40</f>
        <v>1553.5519999999999</v>
      </c>
      <c r="E40" s="39">
        <f>B20*H20</f>
        <v>1195040</v>
      </c>
      <c r="F40" s="40">
        <f>D15</f>
        <v>1.2999999999999999E-3</v>
      </c>
      <c r="G40" s="41">
        <f>E40*F40</f>
        <v>1553.5519999999999</v>
      </c>
      <c r="H40" s="41">
        <f t="shared" si="0"/>
        <v>0</v>
      </c>
      <c r="I40" s="42">
        <f t="shared" si="7"/>
        <v>0</v>
      </c>
      <c r="J40" s="62">
        <f t="shared" si="1"/>
        <v>1.1027909036023197E-2</v>
      </c>
    </row>
    <row r="41" spans="1:10">
      <c r="A41" s="63" t="s">
        <v>45</v>
      </c>
      <c r="B41" s="64">
        <f>B20*Rates!D70</f>
        <v>1195040</v>
      </c>
      <c r="C41" s="65">
        <f>Rates!D31</f>
        <v>0</v>
      </c>
      <c r="D41" s="66">
        <f>B41*C41</f>
        <v>0</v>
      </c>
      <c r="E41" s="64">
        <f>B20*Rates!F70</f>
        <v>1195040</v>
      </c>
      <c r="F41" s="65">
        <f>Rates!F31</f>
        <v>0</v>
      </c>
      <c r="G41" s="66">
        <f>E41*F41</f>
        <v>0</v>
      </c>
      <c r="H41" s="41">
        <f>G41-D41</f>
        <v>0</v>
      </c>
      <c r="I41" s="42">
        <f>IF(ISERROR(H41/D41),0,H41/D41)</f>
        <v>0</v>
      </c>
      <c r="J41" s="62">
        <f t="shared" si="1"/>
        <v>0</v>
      </c>
    </row>
    <row r="42" spans="1:10" ht="12.75" thickBot="1">
      <c r="A42" s="63" t="str">
        <f>A17</f>
        <v>Standard Supply Service - Administarive Charge (if applicable)</v>
      </c>
      <c r="B42" s="79">
        <f>B28</f>
        <v>1</v>
      </c>
      <c r="C42" s="66">
        <f>C17</f>
        <v>0.25</v>
      </c>
      <c r="D42" s="66">
        <f>B42*C42</f>
        <v>0.25</v>
      </c>
      <c r="E42" s="64">
        <f>B28</f>
        <v>1</v>
      </c>
      <c r="F42" s="66">
        <f>D17</f>
        <v>0.25</v>
      </c>
      <c r="G42" s="66">
        <f>E42*F42</f>
        <v>0.25</v>
      </c>
      <c r="H42" s="66">
        <f t="shared" si="0"/>
        <v>0</v>
      </c>
      <c r="I42" s="67">
        <f t="shared" si="7"/>
        <v>0</v>
      </c>
      <c r="J42" s="68">
        <f t="shared" si="1"/>
        <v>1.7746282448259212E-6</v>
      </c>
    </row>
    <row r="43" spans="1:10" ht="12.75" thickBot="1">
      <c r="A43" s="73" t="s">
        <v>42</v>
      </c>
      <c r="B43" s="74"/>
      <c r="C43" s="75"/>
      <c r="D43" s="76">
        <f>SUM(D39:D42)</f>
        <v>7768.0099999999993</v>
      </c>
      <c r="E43" s="75"/>
      <c r="F43" s="75"/>
      <c r="G43" s="76">
        <f>SUM(G39:G42)</f>
        <v>7768.0099999999993</v>
      </c>
      <c r="H43" s="76">
        <f t="shared" si="0"/>
        <v>0</v>
      </c>
      <c r="I43" s="77">
        <f t="shared" si="7"/>
        <v>0</v>
      </c>
      <c r="J43" s="78">
        <f t="shared" si="1"/>
        <v>5.514131980836081E-2</v>
      </c>
    </row>
    <row r="44" spans="1:10" ht="12.75" thickBot="1">
      <c r="A44" s="87" t="s">
        <v>19</v>
      </c>
      <c r="B44" s="88">
        <f>B20</f>
        <v>1100000</v>
      </c>
      <c r="C44" s="89">
        <f>Rates!D64</f>
        <v>2E-3</v>
      </c>
      <c r="D44" s="90">
        <f>B44*C44</f>
        <v>2200</v>
      </c>
      <c r="E44" s="88">
        <f>B20</f>
        <v>1100000</v>
      </c>
      <c r="F44" s="89">
        <f>Rates!F64</f>
        <v>2E-3</v>
      </c>
      <c r="G44" s="90">
        <f>E44*F44</f>
        <v>2200</v>
      </c>
      <c r="H44" s="90">
        <f t="shared" si="0"/>
        <v>0</v>
      </c>
      <c r="I44" s="91">
        <f t="shared" si="7"/>
        <v>0</v>
      </c>
      <c r="J44" s="92">
        <f t="shared" si="1"/>
        <v>1.5616728554468107E-2</v>
      </c>
    </row>
    <row r="45" spans="1:10" ht="12.75" thickBot="1">
      <c r="A45" s="73" t="s">
        <v>43</v>
      </c>
      <c r="B45" s="74"/>
      <c r="C45" s="75"/>
      <c r="D45" s="76">
        <f>D27+D38+D43+D44</f>
        <v>127991.0572</v>
      </c>
      <c r="E45" s="75"/>
      <c r="F45" s="75"/>
      <c r="G45" s="76">
        <f>G27+G38+G43+G44</f>
        <v>124667.7656</v>
      </c>
      <c r="H45" s="76">
        <f t="shared" si="0"/>
        <v>-3323.2915999999968</v>
      </c>
      <c r="I45" s="77">
        <f t="shared" si="7"/>
        <v>-2.5965029688027275E-2</v>
      </c>
      <c r="J45" s="78">
        <f t="shared" si="1"/>
        <v>0.88495575221238942</v>
      </c>
    </row>
    <row r="46" spans="1:10" ht="12.75" thickBot="1">
      <c r="A46" s="93" t="s">
        <v>46</v>
      </c>
      <c r="B46" s="94"/>
      <c r="C46" s="95">
        <f>Rates!D71</f>
        <v>0.13</v>
      </c>
      <c r="D46" s="90">
        <f>C46*D45</f>
        <v>16638.837436000002</v>
      </c>
      <c r="E46" s="96"/>
      <c r="F46" s="95">
        <f>Rates!F71</f>
        <v>0.13</v>
      </c>
      <c r="G46" s="90">
        <f>F46*G45</f>
        <v>16206.809528</v>
      </c>
      <c r="H46" s="90">
        <f t="shared" si="0"/>
        <v>-432.02790800000184</v>
      </c>
      <c r="I46" s="91">
        <f t="shared" si="7"/>
        <v>-2.5965029688027406E-2</v>
      </c>
      <c r="J46" s="92">
        <f t="shared" si="1"/>
        <v>0.11504424778761062</v>
      </c>
    </row>
    <row r="47" spans="1:10" ht="12.75" thickBot="1">
      <c r="A47" s="81" t="s">
        <v>33</v>
      </c>
      <c r="B47" s="82"/>
      <c r="C47" s="83"/>
      <c r="D47" s="104">
        <f>D45+D46</f>
        <v>144629.89463599998</v>
      </c>
      <c r="E47" s="83"/>
      <c r="F47" s="83"/>
      <c r="G47" s="104">
        <f>G45+G46</f>
        <v>140874.575128</v>
      </c>
      <c r="H47" s="104">
        <f t="shared" si="0"/>
        <v>-3755.3195079999859</v>
      </c>
      <c r="I47" s="85">
        <f t="shared" si="7"/>
        <v>-2.5965029688027205E-2</v>
      </c>
      <c r="J47" s="86">
        <f t="shared" si="1"/>
        <v>1</v>
      </c>
    </row>
  </sheetData>
  <mergeCells count="4">
    <mergeCell ref="A23:A24"/>
    <mergeCell ref="B23:B24"/>
    <mergeCell ref="E23:E24"/>
    <mergeCell ref="H23:J23"/>
  </mergeCells>
  <phoneticPr fontId="2" type="noConversion"/>
  <pageMargins left="0.75" right="0.75" top="1" bottom="1" header="0.5" footer="0.5"/>
  <pageSetup scale="69" orientation="landscape" verticalDpi="1200" r:id="rId1"/>
  <headerFooter alignWithMargins="0">
    <oddHeader xml:space="preserve">&amp;C&amp;"Arial,Bold"&amp;16Electricity Distribution Impacts
Rates Effective January 1, 2012&amp;"Arial,Regular"&amp;10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50"/>
  <sheetViews>
    <sheetView topLeftCell="A13" zoomScaleNormal="100" workbookViewId="0">
      <selection activeCell="A55" sqref="A55"/>
    </sheetView>
  </sheetViews>
  <sheetFormatPr defaultRowHeight="12"/>
  <cols>
    <col min="1" max="1" width="73.140625" style="8" bestFit="1" customWidth="1"/>
    <col min="2" max="2" width="9" style="11" bestFit="1" customWidth="1"/>
    <col min="3" max="3" width="9.85546875" style="8" bestFit="1" customWidth="1"/>
    <col min="4" max="4" width="10.28515625" style="8" bestFit="1" customWidth="1"/>
    <col min="5" max="6" width="9.140625" style="8"/>
    <col min="7" max="7" width="10.28515625" style="8" bestFit="1" customWidth="1"/>
    <col min="8" max="9" width="9.140625" style="8"/>
    <col min="10" max="10" width="11.570312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Rates!A34</f>
        <v>Seasonal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2012</v>
      </c>
    </row>
    <row r="4" spans="1:4">
      <c r="A4" s="23" t="str">
        <f>Rates!A35</f>
        <v>Monthly Service Charge</v>
      </c>
      <c r="B4" s="24" t="str">
        <f>Rates!B35</f>
        <v>$</v>
      </c>
      <c r="C4" s="25">
        <f>Rates!D35</f>
        <v>26.07</v>
      </c>
      <c r="D4" s="26">
        <f>Rates!F35</f>
        <v>25.85</v>
      </c>
    </row>
    <row r="5" spans="1:4">
      <c r="A5" s="27" t="str">
        <f>Rates!A36</f>
        <v>Smart Meter Rate Adder</v>
      </c>
      <c r="B5" s="28" t="str">
        <f>Rates!B36</f>
        <v>$</v>
      </c>
      <c r="C5" s="29">
        <f>Rates!D36</f>
        <v>1</v>
      </c>
      <c r="D5" s="30">
        <f>Rates!F36</f>
        <v>1</v>
      </c>
    </row>
    <row r="6" spans="1:4">
      <c r="A6" s="27" t="str">
        <f>Rates!A37</f>
        <v>Distribution Volumetric Rate</v>
      </c>
      <c r="B6" s="28" t="str">
        <f>Rates!B37</f>
        <v>$/kWh</v>
      </c>
      <c r="C6" s="31">
        <f>Rates!D37</f>
        <v>0.10009999999999999</v>
      </c>
      <c r="D6" s="32">
        <f>Rates!F37</f>
        <v>9.9400000000000002E-2</v>
      </c>
    </row>
    <row r="7" spans="1:4">
      <c r="A7" s="27" t="str">
        <f>Rates!A38</f>
        <v>Rate Rider for Deferral/Variance Account Disposition - effective until May 31, 2013</v>
      </c>
      <c r="B7" s="28" t="str">
        <f>Rates!B38</f>
        <v>$/kWh</v>
      </c>
      <c r="C7" s="31">
        <f>Rates!D38</f>
        <v>4.4999999999999997E-3</v>
      </c>
      <c r="D7" s="32">
        <f>Rates!F38</f>
        <v>4.4999999999999997E-3</v>
      </c>
    </row>
    <row r="8" spans="1:4">
      <c r="A8" s="27" t="str">
        <f>Rates!A39</f>
        <v>Rate Rider for Deferral/Variance Account Disposition #2 - effective until May 31, 2013</v>
      </c>
      <c r="B8" s="28" t="str">
        <f>Rates!B39</f>
        <v>$/kWh</v>
      </c>
      <c r="C8" s="31"/>
      <c r="D8" s="32">
        <f>Rates!F39</f>
        <v>-3.5999999999999999E-3</v>
      </c>
    </row>
    <row r="9" spans="1:4">
      <c r="A9" s="27" t="str">
        <f>Rates!A40</f>
        <v>Rate Rider for Deferral/Variance Account Disposition - effective until November 30, 2015</v>
      </c>
      <c r="B9" s="28" t="str">
        <f>Rates!B40</f>
        <v>$/kWh</v>
      </c>
      <c r="C9" s="31">
        <f>Rates!D40</f>
        <v>3.0700000000000002E-2</v>
      </c>
      <c r="D9" s="32">
        <f>Rates!F40</f>
        <v>3.0700000000000002E-2</v>
      </c>
    </row>
    <row r="10" spans="1:4">
      <c r="A10" s="27" t="str">
        <f>Rates!A41</f>
        <v>Rate Rider for Tax Changes - effective until December 31, 2012</v>
      </c>
      <c r="B10" s="28" t="str">
        <f>Rates!B41</f>
        <v>$/kWh</v>
      </c>
      <c r="C10" s="31">
        <f>Rates!D41</f>
        <v>0</v>
      </c>
      <c r="D10" s="32">
        <f>Rates!F41</f>
        <v>-2.0000000000000001E-4</v>
      </c>
    </row>
    <row r="11" spans="1:4">
      <c r="A11" s="27" t="str">
        <f>Rates!A42</f>
        <v>Retail Transmission Rate - Network Service Rate</v>
      </c>
      <c r="B11" s="28" t="str">
        <f>Rates!B42</f>
        <v>$/kWh</v>
      </c>
      <c r="C11" s="31">
        <f>Rates!D42</f>
        <v>5.7000000000000002E-3</v>
      </c>
      <c r="D11" s="32">
        <f>Rates!F42</f>
        <v>6.1999999999999998E-3</v>
      </c>
    </row>
    <row r="12" spans="1:4">
      <c r="A12" s="27" t="str">
        <f>Rates!A43</f>
        <v>Retail Transmission Rate - Line and Transformation Connection Service Rate</v>
      </c>
      <c r="B12" s="28" t="str">
        <f>Rates!B43</f>
        <v>$/kWh</v>
      </c>
      <c r="C12" s="31">
        <f>Rates!D43</f>
        <v>4.7000000000000002E-3</v>
      </c>
      <c r="D12" s="32">
        <f>Rates!F43</f>
        <v>4.8999999999999998E-3</v>
      </c>
    </row>
    <row r="13" spans="1:4">
      <c r="A13" s="27" t="str">
        <f>Rates!A44</f>
        <v>Wholesale Market Service Rate</v>
      </c>
      <c r="B13" s="28" t="str">
        <f>Rates!B44</f>
        <v>$/kWh</v>
      </c>
      <c r="C13" s="31">
        <f>Rates!D44</f>
        <v>5.1999999999999998E-3</v>
      </c>
      <c r="D13" s="32">
        <f>Rates!F44</f>
        <v>5.1999999999999998E-3</v>
      </c>
    </row>
    <row r="14" spans="1:4">
      <c r="A14" s="27" t="str">
        <f>Rates!A45</f>
        <v>Rural Rate Protection Charge</v>
      </c>
      <c r="B14" s="28" t="str">
        <f>Rates!B45</f>
        <v>$/kWh</v>
      </c>
      <c r="C14" s="31">
        <f>Rates!D45</f>
        <v>1.2999999999999999E-3</v>
      </c>
      <c r="D14" s="32">
        <f>Rates!F45</f>
        <v>1.2999999999999999E-3</v>
      </c>
    </row>
    <row r="15" spans="1:4">
      <c r="A15" s="27" t="str">
        <f>Rates!A46</f>
        <v>Special Purpose Charge</v>
      </c>
      <c r="B15" s="28" t="str">
        <f>Rates!B46</f>
        <v>$/kWh</v>
      </c>
      <c r="C15" s="31">
        <f>Rates!D46</f>
        <v>0</v>
      </c>
      <c r="D15" s="32">
        <f>Rates!F46</f>
        <v>0</v>
      </c>
    </row>
    <row r="16" spans="1:4" ht="12.75" thickBot="1">
      <c r="A16" s="12" t="str">
        <f>Rates!A47</f>
        <v>Standard Supply Service - Administarive Charge (if applicable)</v>
      </c>
      <c r="B16" s="17" t="str">
        <f>Rates!B47</f>
        <v>$</v>
      </c>
      <c r="C16" s="18">
        <f>Rates!D47</f>
        <v>0.25</v>
      </c>
      <c r="D16" s="13">
        <f>Rates!F47</f>
        <v>0.25</v>
      </c>
    </row>
    <row r="18" spans="1:10" ht="12.75" thickBot="1"/>
    <row r="19" spans="1:10" ht="13.5" thickBot="1">
      <c r="A19" s="33" t="s">
        <v>26</v>
      </c>
      <c r="B19" s="34">
        <v>287</v>
      </c>
      <c r="C19" s="35" t="s">
        <v>27</v>
      </c>
      <c r="D19" s="36"/>
      <c r="E19" s="35" t="s">
        <v>28</v>
      </c>
      <c r="G19" s="37" t="s">
        <v>23</v>
      </c>
      <c r="H19" s="53">
        <f>Rates!F70</f>
        <v>1.0864</v>
      </c>
    </row>
    <row r="20" spans="1:10" ht="13.5" thickBot="1">
      <c r="A20" s="33" t="s">
        <v>29</v>
      </c>
      <c r="B20" s="34">
        <v>750</v>
      </c>
      <c r="C20" s="35" t="s">
        <v>27</v>
      </c>
      <c r="D20" s="37" t="s">
        <v>30</v>
      </c>
      <c r="E20" s="38" t="str">
        <f>IF(D19&gt;0,B19/(D19*24*30.4)," ")</f>
        <v xml:space="preserve"> </v>
      </c>
    </row>
    <row r="21" spans="1:10" ht="12.75" thickBot="1"/>
    <row r="22" spans="1:10" ht="12.75" customHeight="1">
      <c r="A22" s="149" t="str">
        <f>A3</f>
        <v>Seasonal</v>
      </c>
      <c r="B22" s="151" t="s">
        <v>31</v>
      </c>
      <c r="C22" s="49" t="s">
        <v>37</v>
      </c>
      <c r="D22" s="49" t="s">
        <v>38</v>
      </c>
      <c r="E22" s="151" t="s">
        <v>31</v>
      </c>
      <c r="F22" s="49" t="s">
        <v>37</v>
      </c>
      <c r="G22" s="49" t="s">
        <v>38</v>
      </c>
      <c r="H22" s="153" t="s">
        <v>44</v>
      </c>
      <c r="I22" s="153"/>
      <c r="J22" s="154"/>
    </row>
    <row r="23" spans="1:10" ht="12.75" thickBot="1">
      <c r="A23" s="150"/>
      <c r="B23" s="152"/>
      <c r="C23" s="50" t="s">
        <v>15</v>
      </c>
      <c r="D23" s="50" t="s">
        <v>15</v>
      </c>
      <c r="E23" s="152"/>
      <c r="F23" s="50" t="s">
        <v>15</v>
      </c>
      <c r="G23" s="50" t="s">
        <v>15</v>
      </c>
      <c r="H23" s="50" t="s">
        <v>15</v>
      </c>
      <c r="I23" s="51" t="s">
        <v>22</v>
      </c>
      <c r="J23" s="52" t="s">
        <v>34</v>
      </c>
    </row>
    <row r="24" spans="1:10">
      <c r="A24" s="54" t="s">
        <v>35</v>
      </c>
      <c r="B24" s="55">
        <f>IF(B19*Rates!D70&gt;B20,B20,B19*Rates!D70)</f>
        <v>311.79680000000002</v>
      </c>
      <c r="C24" s="56">
        <f>Rates!D65</f>
        <v>6.8000000000000005E-2</v>
      </c>
      <c r="D24" s="58">
        <f>B24*C24</f>
        <v>21.202182400000002</v>
      </c>
      <c r="E24" s="55">
        <f>IF(B19*H19&gt;B20,B20,B19*H19)</f>
        <v>311.79680000000002</v>
      </c>
      <c r="F24" s="56">
        <f>Rates!F65</f>
        <v>6.8000000000000005E-2</v>
      </c>
      <c r="G24" s="58">
        <f>E24*F24</f>
        <v>21.202182400000002</v>
      </c>
      <c r="H24" s="58">
        <f t="shared" ref="H24:H47" si="0">G24-D24</f>
        <v>0</v>
      </c>
      <c r="I24" s="59">
        <f>IF(ISERROR(H24/D24),1,H24/D24)</f>
        <v>0</v>
      </c>
      <c r="J24" s="60">
        <f t="shared" ref="J24:J47" si="1">IF(ISERROR(G24/G$47),0,G24/G$47)</f>
        <v>0.20415993350674611</v>
      </c>
    </row>
    <row r="25" spans="1:10" ht="12.75" thickBot="1">
      <c r="A25" s="63" t="s">
        <v>36</v>
      </c>
      <c r="B25" s="64">
        <f>IF(B19*Rates!D70&gt;=B20,B19*Rates!D70-B20,0)</f>
        <v>0</v>
      </c>
      <c r="C25" s="65">
        <f>Rates!D66</f>
        <v>7.9000000000000001E-2</v>
      </c>
      <c r="D25" s="66">
        <f>B25*C25</f>
        <v>0</v>
      </c>
      <c r="E25" s="64">
        <f>IF(B19*H19&gt;=B20,B19*H19-B20,0)</f>
        <v>0</v>
      </c>
      <c r="F25" s="65">
        <f>Rates!F66</f>
        <v>7.9000000000000001E-2</v>
      </c>
      <c r="G25" s="66">
        <f>E25*F25</f>
        <v>0</v>
      </c>
      <c r="H25" s="66">
        <f t="shared" si="0"/>
        <v>0</v>
      </c>
      <c r="I25" s="67">
        <f>IF(ISERROR(H25/D25),0,H25/D25)</f>
        <v>0</v>
      </c>
      <c r="J25" s="68">
        <f t="shared" si="1"/>
        <v>0</v>
      </c>
    </row>
    <row r="26" spans="1:10" ht="12.75" thickBot="1">
      <c r="A26" s="73" t="s">
        <v>39</v>
      </c>
      <c r="B26" s="74"/>
      <c r="C26" s="75"/>
      <c r="D26" s="76">
        <f>SUM(D24:D25)</f>
        <v>21.202182400000002</v>
      </c>
      <c r="E26" s="75"/>
      <c r="F26" s="75"/>
      <c r="G26" s="76">
        <f>SUM(G24:G25)</f>
        <v>21.202182400000002</v>
      </c>
      <c r="H26" s="76">
        <f t="shared" si="0"/>
        <v>0</v>
      </c>
      <c r="I26" s="77">
        <f>IF(ISERROR(H26/D26),0,H26/D26)</f>
        <v>0</v>
      </c>
      <c r="J26" s="78">
        <f t="shared" si="1"/>
        <v>0.20415993350674611</v>
      </c>
    </row>
    <row r="27" spans="1:10">
      <c r="A27" s="69" t="str">
        <f>A4</f>
        <v>Monthly Service Charge</v>
      </c>
      <c r="B27" s="70">
        <v>1</v>
      </c>
      <c r="C27" s="46">
        <f>C4</f>
        <v>26.07</v>
      </c>
      <c r="D27" s="46">
        <f t="shared" ref="D27:D33" si="2">B27*C27</f>
        <v>26.07</v>
      </c>
      <c r="E27" s="71">
        <f>B27</f>
        <v>1</v>
      </c>
      <c r="F27" s="47">
        <f>D4</f>
        <v>25.85</v>
      </c>
      <c r="G27" s="47">
        <f t="shared" ref="G27:G33" si="3">E27*F27</f>
        <v>25.85</v>
      </c>
      <c r="H27" s="47">
        <f t="shared" si="0"/>
        <v>-0.21999999999999886</v>
      </c>
      <c r="I27" s="48">
        <f>IF(ISERROR(H27/D27),0,H27/D27)</f>
        <v>-8.4388185654007998E-3</v>
      </c>
      <c r="J27" s="72">
        <f t="shared" si="1"/>
        <v>0.24891467215890881</v>
      </c>
    </row>
    <row r="28" spans="1:10">
      <c r="A28" s="61" t="str">
        <f>A5</f>
        <v>Smart Meter Rate Adder</v>
      </c>
      <c r="B28" s="43">
        <f>B27</f>
        <v>1</v>
      </c>
      <c r="C28" s="41">
        <f>C5</f>
        <v>1</v>
      </c>
      <c r="D28" s="41">
        <f t="shared" si="2"/>
        <v>1</v>
      </c>
      <c r="E28" s="43">
        <f>B28</f>
        <v>1</v>
      </c>
      <c r="F28" s="41">
        <f>D5</f>
        <v>1</v>
      </c>
      <c r="G28" s="41">
        <f t="shared" si="3"/>
        <v>1</v>
      </c>
      <c r="H28" s="41">
        <f t="shared" si="0"/>
        <v>0</v>
      </c>
      <c r="I28" s="42">
        <f>IF(ISERROR(H28/D28),1,H28/D28)</f>
        <v>0</v>
      </c>
      <c r="J28" s="62">
        <f t="shared" si="1"/>
        <v>9.6291942808088508E-3</v>
      </c>
    </row>
    <row r="29" spans="1:10">
      <c r="A29" s="61" t="str">
        <f>A6</f>
        <v>Distribution Volumetric Rate</v>
      </c>
      <c r="B29" s="43">
        <f>B19</f>
        <v>287</v>
      </c>
      <c r="C29" s="40">
        <f>C6</f>
        <v>0.10009999999999999</v>
      </c>
      <c r="D29" s="41">
        <f t="shared" si="2"/>
        <v>28.7287</v>
      </c>
      <c r="E29" s="43">
        <f>B19</f>
        <v>287</v>
      </c>
      <c r="F29" s="40">
        <f>D6</f>
        <v>9.9400000000000002E-2</v>
      </c>
      <c r="G29" s="41">
        <f t="shared" si="3"/>
        <v>28.527799999999999</v>
      </c>
      <c r="H29" s="41">
        <f t="shared" si="0"/>
        <v>-0.20090000000000074</v>
      </c>
      <c r="I29" s="42">
        <f t="shared" ref="I29:I47" si="4">IF(ISERROR(H29/D29),0,H29/D29)</f>
        <v>-6.993006993007019E-3</v>
      </c>
      <c r="J29" s="62">
        <f t="shared" si="1"/>
        <v>0.27469972860405872</v>
      </c>
    </row>
    <row r="30" spans="1:10">
      <c r="A30" s="61" t="str">
        <f>A7</f>
        <v>Rate Rider for Deferral/Variance Account Disposition - effective until May 31, 2013</v>
      </c>
      <c r="B30" s="43">
        <f>B19</f>
        <v>287</v>
      </c>
      <c r="C30" s="40">
        <f>C7</f>
        <v>4.4999999999999997E-3</v>
      </c>
      <c r="D30" s="41">
        <f t="shared" si="2"/>
        <v>1.2914999999999999</v>
      </c>
      <c r="E30" s="43">
        <f>B19</f>
        <v>287</v>
      </c>
      <c r="F30" s="40">
        <f>D7</f>
        <v>4.4999999999999997E-3</v>
      </c>
      <c r="G30" s="41">
        <f t="shared" si="3"/>
        <v>1.2914999999999999</v>
      </c>
      <c r="H30" s="41">
        <f t="shared" si="0"/>
        <v>0</v>
      </c>
      <c r="I30" s="42">
        <f t="shared" si="4"/>
        <v>0</v>
      </c>
      <c r="J30" s="62">
        <f t="shared" si="1"/>
        <v>1.243610441366463E-2</v>
      </c>
    </row>
    <row r="31" spans="1:10">
      <c r="A31" s="61" t="str">
        <f>A8</f>
        <v>Rate Rider for Deferral/Variance Account Disposition #2 - effective until May 31, 2013</v>
      </c>
      <c r="B31" s="43">
        <f>B19</f>
        <v>287</v>
      </c>
      <c r="C31" s="40">
        <f>C8</f>
        <v>0</v>
      </c>
      <c r="D31" s="41">
        <f t="shared" si="2"/>
        <v>0</v>
      </c>
      <c r="E31" s="43">
        <f>B19</f>
        <v>287</v>
      </c>
      <c r="F31" s="40">
        <f>D8</f>
        <v>-3.5999999999999999E-3</v>
      </c>
      <c r="G31" s="41">
        <f t="shared" ref="G31" si="5">E31*F31</f>
        <v>-1.0331999999999999</v>
      </c>
      <c r="H31" s="41">
        <f t="shared" ref="H31" si="6">G31-D31</f>
        <v>-1.0331999999999999</v>
      </c>
      <c r="I31" s="42">
        <f t="shared" ref="I31" si="7">IF(ISERROR(H31/D31),0,H31/D31)</f>
        <v>0</v>
      </c>
      <c r="J31" s="62">
        <f t="shared" ref="J31" si="8">IF(ISERROR(G31/G$47),0,G31/G$47)</f>
        <v>-9.9488835309317035E-3</v>
      </c>
    </row>
    <row r="32" spans="1:10">
      <c r="A32" s="61" t="str">
        <f t="shared" ref="A32:A33" si="9">A9</f>
        <v>Rate Rider for Deferral/Variance Account Disposition - effective until November 30, 2015</v>
      </c>
      <c r="B32" s="43">
        <f>B19</f>
        <v>287</v>
      </c>
      <c r="C32" s="40">
        <f t="shared" ref="C32:C33" si="10">C9</f>
        <v>3.0700000000000002E-2</v>
      </c>
      <c r="D32" s="41">
        <f t="shared" si="2"/>
        <v>8.8109000000000002</v>
      </c>
      <c r="E32" s="43">
        <f>B19</f>
        <v>287</v>
      </c>
      <c r="F32" s="40">
        <f t="shared" ref="F32:F33" si="11">D9</f>
        <v>3.0700000000000002E-2</v>
      </c>
      <c r="G32" s="41">
        <f t="shared" si="3"/>
        <v>8.8109000000000002</v>
      </c>
      <c r="H32" s="41">
        <f t="shared" si="0"/>
        <v>0</v>
      </c>
      <c r="I32" s="42">
        <f t="shared" si="4"/>
        <v>0</v>
      </c>
      <c r="J32" s="62">
        <f t="shared" si="1"/>
        <v>8.4841867888778705E-2</v>
      </c>
    </row>
    <row r="33" spans="1:10" ht="12.75" thickBot="1">
      <c r="A33" s="61" t="str">
        <f t="shared" si="9"/>
        <v>Rate Rider for Tax Changes - effective until December 31, 2012</v>
      </c>
      <c r="B33" s="43">
        <f>B19</f>
        <v>287</v>
      </c>
      <c r="C33" s="40">
        <f t="shared" si="10"/>
        <v>0</v>
      </c>
      <c r="D33" s="41">
        <f t="shared" si="2"/>
        <v>0</v>
      </c>
      <c r="E33" s="43">
        <f>B19</f>
        <v>287</v>
      </c>
      <c r="F33" s="40">
        <f t="shared" si="11"/>
        <v>-2.0000000000000001E-4</v>
      </c>
      <c r="G33" s="41">
        <f t="shared" si="3"/>
        <v>-5.74E-2</v>
      </c>
      <c r="H33" s="41">
        <f t="shared" si="0"/>
        <v>-5.74E-2</v>
      </c>
      <c r="I33" s="42">
        <f t="shared" si="4"/>
        <v>0</v>
      </c>
      <c r="J33" s="62">
        <f t="shared" si="1"/>
        <v>-5.5271575171842802E-4</v>
      </c>
    </row>
    <row r="34" spans="1:10" ht="12.75" thickBot="1">
      <c r="A34" s="73" t="s">
        <v>40</v>
      </c>
      <c r="B34" s="74"/>
      <c r="C34" s="75"/>
      <c r="D34" s="76">
        <f>SUM(D27:D33)</f>
        <v>65.9011</v>
      </c>
      <c r="E34" s="75"/>
      <c r="F34" s="75"/>
      <c r="G34" s="76">
        <f>SUM(G27:G33)</f>
        <v>64.389600000000002</v>
      </c>
      <c r="H34" s="76">
        <f t="shared" si="0"/>
        <v>-1.5114999999999981</v>
      </c>
      <c r="I34" s="77">
        <f t="shared" si="4"/>
        <v>-2.2935884226515157E-2</v>
      </c>
      <c r="J34" s="78">
        <f t="shared" si="1"/>
        <v>0.62001996806356963</v>
      </c>
    </row>
    <row r="35" spans="1:10">
      <c r="A35" s="69" t="str">
        <f>A11</f>
        <v>Retail Transmission Rate - Network Service Rate</v>
      </c>
      <c r="B35" s="44">
        <f>B19*Rates!D70</f>
        <v>311.79680000000002</v>
      </c>
      <c r="C35" s="45">
        <f>C11</f>
        <v>5.7000000000000002E-3</v>
      </c>
      <c r="D35" s="47">
        <f>B35*C35</f>
        <v>1.7772417600000001</v>
      </c>
      <c r="E35" s="44">
        <f>B19*H19</f>
        <v>311.79680000000002</v>
      </c>
      <c r="F35" s="45">
        <f>D11</f>
        <v>6.1999999999999998E-3</v>
      </c>
      <c r="G35" s="47">
        <f>E35*F35</f>
        <v>1.93314016</v>
      </c>
      <c r="H35" s="47">
        <f t="shared" si="0"/>
        <v>0.15589839999999988</v>
      </c>
      <c r="I35" s="48">
        <f t="shared" si="4"/>
        <v>8.7719298245613961E-2</v>
      </c>
      <c r="J35" s="72">
        <f t="shared" si="1"/>
        <v>1.8614582172673907E-2</v>
      </c>
    </row>
    <row r="36" spans="1:10" ht="12.75" thickBot="1">
      <c r="A36" s="63" t="str">
        <f>A12</f>
        <v>Retail Transmission Rate - Line and Transformation Connection Service Rate</v>
      </c>
      <c r="B36" s="64">
        <f>B19*Rates!D70</f>
        <v>311.79680000000002</v>
      </c>
      <c r="C36" s="65">
        <f>C12</f>
        <v>4.7000000000000002E-3</v>
      </c>
      <c r="D36" s="66">
        <f>B36*C36</f>
        <v>1.4654449600000001</v>
      </c>
      <c r="E36" s="64">
        <f>B19*H19</f>
        <v>311.79680000000002</v>
      </c>
      <c r="F36" s="65">
        <f>D12</f>
        <v>4.8999999999999998E-3</v>
      </c>
      <c r="G36" s="66">
        <f>E36*F36</f>
        <v>1.52780432</v>
      </c>
      <c r="H36" s="66">
        <f t="shared" si="0"/>
        <v>6.2359359999999864E-2</v>
      </c>
      <c r="I36" s="67">
        <f t="shared" si="4"/>
        <v>4.2553191489361604E-2</v>
      </c>
      <c r="J36" s="68">
        <f t="shared" si="1"/>
        <v>1.4711524620339056E-2</v>
      </c>
    </row>
    <row r="37" spans="1:10" ht="12.75" thickBot="1">
      <c r="A37" s="73" t="s">
        <v>32</v>
      </c>
      <c r="B37" s="74"/>
      <c r="C37" s="75"/>
      <c r="D37" s="76">
        <f>SUM(D35:D36)</f>
        <v>3.24268672</v>
      </c>
      <c r="E37" s="75"/>
      <c r="F37" s="75"/>
      <c r="G37" s="76">
        <f>SUM(G35:G36)</f>
        <v>3.4609444800000002</v>
      </c>
      <c r="H37" s="76">
        <f t="shared" si="0"/>
        <v>0.21825776000000019</v>
      </c>
      <c r="I37" s="77">
        <f t="shared" si="4"/>
        <v>6.730769230769236E-2</v>
      </c>
      <c r="J37" s="78">
        <f t="shared" si="1"/>
        <v>3.3326106793012962E-2</v>
      </c>
    </row>
    <row r="38" spans="1:10" ht="12.75" thickBot="1">
      <c r="A38" s="81" t="s">
        <v>41</v>
      </c>
      <c r="B38" s="82"/>
      <c r="C38" s="83"/>
      <c r="D38" s="84">
        <f>D34+D37</f>
        <v>69.143786719999994</v>
      </c>
      <c r="E38" s="83"/>
      <c r="F38" s="83"/>
      <c r="G38" s="84">
        <f>G34+G37</f>
        <v>67.850544479999996</v>
      </c>
      <c r="H38" s="84">
        <f t="shared" si="0"/>
        <v>-1.2932422399999979</v>
      </c>
      <c r="I38" s="85">
        <f t="shared" si="4"/>
        <v>-1.8703665236574681E-2</v>
      </c>
      <c r="J38" s="86">
        <f t="shared" si="1"/>
        <v>0.65334607485658247</v>
      </c>
    </row>
    <row r="39" spans="1:10">
      <c r="A39" s="69" t="str">
        <f>A13</f>
        <v>Wholesale Market Service Rate</v>
      </c>
      <c r="B39" s="44">
        <f>B19*Rates!D70</f>
        <v>311.79680000000002</v>
      </c>
      <c r="C39" s="45">
        <f>C13</f>
        <v>5.1999999999999998E-3</v>
      </c>
      <c r="D39" s="47">
        <f>B39*C39</f>
        <v>1.62134336</v>
      </c>
      <c r="E39" s="44">
        <f>B19*H19</f>
        <v>311.79680000000002</v>
      </c>
      <c r="F39" s="45">
        <f>D13</f>
        <v>5.1999999999999998E-3</v>
      </c>
      <c r="G39" s="47">
        <f>E39*F39</f>
        <v>1.62134336</v>
      </c>
      <c r="H39" s="47">
        <f t="shared" si="0"/>
        <v>0</v>
      </c>
      <c r="I39" s="48">
        <f t="shared" si="4"/>
        <v>0</v>
      </c>
      <c r="J39" s="72">
        <f t="shared" si="1"/>
        <v>1.5612230209339406E-2</v>
      </c>
    </row>
    <row r="40" spans="1:10">
      <c r="A40" s="61" t="str">
        <f>A14</f>
        <v>Rural Rate Protection Charge</v>
      </c>
      <c r="B40" s="39">
        <f>B19*Rates!D70</f>
        <v>311.79680000000002</v>
      </c>
      <c r="C40" s="40">
        <f>C14</f>
        <v>1.2999999999999999E-3</v>
      </c>
      <c r="D40" s="41">
        <f>B40*C40</f>
        <v>0.40533584</v>
      </c>
      <c r="E40" s="39">
        <f>B19*H19</f>
        <v>311.79680000000002</v>
      </c>
      <c r="F40" s="40">
        <f>D14</f>
        <v>1.2999999999999999E-3</v>
      </c>
      <c r="G40" s="41">
        <f>E40*F40</f>
        <v>0.40533584</v>
      </c>
      <c r="H40" s="41">
        <f t="shared" si="0"/>
        <v>0</v>
      </c>
      <c r="I40" s="42">
        <f t="shared" si="4"/>
        <v>0</v>
      </c>
      <c r="J40" s="62">
        <f t="shared" si="1"/>
        <v>3.9030575523348516E-3</v>
      </c>
    </row>
    <row r="41" spans="1:10">
      <c r="A41" s="63" t="s">
        <v>45</v>
      </c>
      <c r="B41" s="64">
        <f>B19*Rates!D70</f>
        <v>311.79680000000002</v>
      </c>
      <c r="C41" s="65">
        <f>Rates!D46</f>
        <v>0</v>
      </c>
      <c r="D41" s="66">
        <f>B41*C41</f>
        <v>0</v>
      </c>
      <c r="E41" s="64">
        <f>B19*Rates!F70</f>
        <v>311.79680000000002</v>
      </c>
      <c r="F41" s="65">
        <f>Rates!F46</f>
        <v>0</v>
      </c>
      <c r="G41" s="66">
        <f>E41*F41</f>
        <v>0</v>
      </c>
      <c r="H41" s="41">
        <f>G41-D41</f>
        <v>0</v>
      </c>
      <c r="I41" s="42">
        <f>IF(ISERROR(H41/D41),0,H41/D41)</f>
        <v>0</v>
      </c>
      <c r="J41" s="62">
        <f t="shared" si="1"/>
        <v>0</v>
      </c>
    </row>
    <row r="42" spans="1:10" ht="12.75" thickBot="1">
      <c r="A42" s="63" t="str">
        <f>A16</f>
        <v>Standard Supply Service - Administarive Charge (if applicable)</v>
      </c>
      <c r="B42" s="79">
        <f>B27</f>
        <v>1</v>
      </c>
      <c r="C42" s="66">
        <f>C16</f>
        <v>0.25</v>
      </c>
      <c r="D42" s="66">
        <f>B42*C42</f>
        <v>0.25</v>
      </c>
      <c r="E42" s="64">
        <f>B27</f>
        <v>1</v>
      </c>
      <c r="F42" s="66">
        <f>D16</f>
        <v>0.25</v>
      </c>
      <c r="G42" s="66">
        <f>E42*F42</f>
        <v>0.25</v>
      </c>
      <c r="H42" s="66">
        <f t="shared" si="0"/>
        <v>0</v>
      </c>
      <c r="I42" s="67">
        <f t="shared" si="4"/>
        <v>0</v>
      </c>
      <c r="J42" s="68">
        <f t="shared" si="1"/>
        <v>2.4072985702022127E-3</v>
      </c>
    </row>
    <row r="43" spans="1:10" ht="12.75" thickBot="1">
      <c r="A43" s="73" t="s">
        <v>42</v>
      </c>
      <c r="B43" s="74"/>
      <c r="C43" s="75"/>
      <c r="D43" s="76">
        <f>SUM(D39:D42)</f>
        <v>2.2766792000000002</v>
      </c>
      <c r="E43" s="75"/>
      <c r="F43" s="75"/>
      <c r="G43" s="76">
        <f>SUM(G39:G42)</f>
        <v>2.2766792000000002</v>
      </c>
      <c r="H43" s="76">
        <f t="shared" si="0"/>
        <v>0</v>
      </c>
      <c r="I43" s="77">
        <f t="shared" si="4"/>
        <v>0</v>
      </c>
      <c r="J43" s="78">
        <f t="shared" si="1"/>
        <v>2.1922586331876472E-2</v>
      </c>
    </row>
    <row r="44" spans="1:10" ht="12.75" thickBot="1">
      <c r="A44" s="87" t="s">
        <v>19</v>
      </c>
      <c r="B44" s="88">
        <f>B19</f>
        <v>287</v>
      </c>
      <c r="C44" s="89">
        <f>Rates!D64</f>
        <v>2E-3</v>
      </c>
      <c r="D44" s="90">
        <f>B44*C44</f>
        <v>0.57400000000000007</v>
      </c>
      <c r="E44" s="88">
        <f>B19</f>
        <v>287</v>
      </c>
      <c r="F44" s="89">
        <f>Rates!F64</f>
        <v>2E-3</v>
      </c>
      <c r="G44" s="90">
        <f>E44*F44</f>
        <v>0.57400000000000007</v>
      </c>
      <c r="H44" s="90">
        <f t="shared" si="0"/>
        <v>0</v>
      </c>
      <c r="I44" s="91">
        <f t="shared" si="4"/>
        <v>0</v>
      </c>
      <c r="J44" s="92">
        <f t="shared" si="1"/>
        <v>5.5271575171842811E-3</v>
      </c>
    </row>
    <row r="45" spans="1:10" ht="12.75" thickBot="1">
      <c r="A45" s="73" t="s">
        <v>43</v>
      </c>
      <c r="B45" s="74"/>
      <c r="C45" s="75"/>
      <c r="D45" s="76">
        <f>D26+D38+D43+D44</f>
        <v>93.196648319999994</v>
      </c>
      <c r="E45" s="75"/>
      <c r="F45" s="75"/>
      <c r="G45" s="76">
        <f>G26+G38+G43+G44</f>
        <v>91.903406079999996</v>
      </c>
      <c r="H45" s="76">
        <f t="shared" si="0"/>
        <v>-1.2932422399999979</v>
      </c>
      <c r="I45" s="77">
        <f t="shared" si="4"/>
        <v>-1.3876488729074479E-2</v>
      </c>
      <c r="J45" s="78">
        <f t="shared" si="1"/>
        <v>0.88495575221238931</v>
      </c>
    </row>
    <row r="46" spans="1:10" ht="12.75" thickBot="1">
      <c r="A46" s="93" t="s">
        <v>46</v>
      </c>
      <c r="B46" s="94"/>
      <c r="C46" s="95">
        <f>Rates!D71</f>
        <v>0.13</v>
      </c>
      <c r="D46" s="90">
        <f>C46*D45</f>
        <v>12.115564281599999</v>
      </c>
      <c r="E46" s="96"/>
      <c r="F46" s="95">
        <f>Rates!F71</f>
        <v>0.13</v>
      </c>
      <c r="G46" s="90">
        <f>F46*G45</f>
        <v>11.9474427904</v>
      </c>
      <c r="H46" s="90">
        <f t="shared" si="0"/>
        <v>-0.16812149119999908</v>
      </c>
      <c r="I46" s="91">
        <f t="shared" si="4"/>
        <v>-1.3876488729074425E-2</v>
      </c>
      <c r="J46" s="92">
        <f t="shared" si="1"/>
        <v>0.11504424778761062</v>
      </c>
    </row>
    <row r="47" spans="1:10" ht="12.75" thickBot="1">
      <c r="A47" s="81" t="s">
        <v>33</v>
      </c>
      <c r="B47" s="82"/>
      <c r="C47" s="83"/>
      <c r="D47" s="104">
        <f>D45+D46</f>
        <v>105.3122126016</v>
      </c>
      <c r="E47" s="83"/>
      <c r="F47" s="83"/>
      <c r="G47" s="104">
        <f>G45+G46</f>
        <v>103.8508488704</v>
      </c>
      <c r="H47" s="104">
        <f t="shared" si="0"/>
        <v>-1.4613637311999952</v>
      </c>
      <c r="I47" s="85">
        <f t="shared" si="4"/>
        <v>-1.3876488729074456E-2</v>
      </c>
      <c r="J47" s="86">
        <f t="shared" si="1"/>
        <v>1</v>
      </c>
    </row>
    <row r="48" spans="1:10">
      <c r="A48" s="131"/>
      <c r="B48" s="132"/>
      <c r="C48" s="133"/>
      <c r="D48" s="133"/>
      <c r="E48" s="133"/>
      <c r="F48" s="133"/>
      <c r="G48" s="133"/>
      <c r="H48" s="133"/>
      <c r="I48" s="133"/>
      <c r="J48" s="134"/>
    </row>
    <row r="49" spans="1:10">
      <c r="A49" s="135" t="s">
        <v>70</v>
      </c>
      <c r="B49" s="136"/>
      <c r="C49" s="137"/>
      <c r="D49" s="138">
        <f>D47*0.1</f>
        <v>10.531221260160001</v>
      </c>
      <c r="E49" s="137"/>
      <c r="F49" s="137"/>
      <c r="G49" s="138">
        <f>G47*0.1</f>
        <v>10.385084887040001</v>
      </c>
      <c r="H49" s="137"/>
      <c r="I49" s="137"/>
      <c r="J49" s="139"/>
    </row>
    <row r="50" spans="1:10" ht="12.75" thickBot="1">
      <c r="A50" s="140" t="s">
        <v>71</v>
      </c>
      <c r="B50" s="141"/>
      <c r="C50" s="142"/>
      <c r="D50" s="143">
        <f>D47-D49</f>
        <v>94.78099134144</v>
      </c>
      <c r="E50" s="142"/>
      <c r="F50" s="142"/>
      <c r="G50" s="143">
        <f>G47-G49</f>
        <v>93.465763983360006</v>
      </c>
      <c r="H50" s="145">
        <f>G50-D50</f>
        <v>-1.3152273580799942</v>
      </c>
      <c r="I50" s="146">
        <f>H50/D50</f>
        <v>-1.3876488729074441E-2</v>
      </c>
      <c r="J50" s="144"/>
    </row>
  </sheetData>
  <mergeCells count="4">
    <mergeCell ref="A22:A23"/>
    <mergeCell ref="B22:B23"/>
    <mergeCell ref="E22:E23"/>
    <mergeCell ref="H22:J22"/>
  </mergeCells>
  <phoneticPr fontId="2" type="noConversion"/>
  <pageMargins left="0.75" right="0.75" top="1" bottom="1" header="0.5" footer="0.5"/>
  <pageSetup scale="74" orientation="landscape" verticalDpi="1200" r:id="rId1"/>
  <headerFooter alignWithMargins="0">
    <oddHeader xml:space="preserve">&amp;C&amp;"Arial,Bold"&amp;16Electricity Distribution Impacts
Rates Effective January 1, 2012&amp;"Arial,Regular"&amp;10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2:J45"/>
  <sheetViews>
    <sheetView zoomScaleNormal="100" workbookViewId="0">
      <selection activeCell="M42" sqref="M42"/>
    </sheetView>
  </sheetViews>
  <sheetFormatPr defaultRowHeight="12"/>
  <cols>
    <col min="1" max="1" width="73.140625" style="8" bestFit="1" customWidth="1"/>
    <col min="2" max="2" width="9" style="11" bestFit="1" customWidth="1"/>
    <col min="3" max="3" width="9.85546875" style="8" bestFit="1" customWidth="1"/>
    <col min="4" max="4" width="10.28515625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Rates!A49</f>
        <v>Street Lighting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2012</v>
      </c>
    </row>
    <row r="4" spans="1:4">
      <c r="A4" s="23" t="str">
        <f>Rates!A35</f>
        <v>Monthly Service Charge</v>
      </c>
      <c r="B4" s="24" t="str">
        <f>Rates!B50</f>
        <v>$</v>
      </c>
      <c r="C4" s="25">
        <f>Rates!D50</f>
        <v>0.96</v>
      </c>
      <c r="D4" s="26">
        <f>Rates!F50</f>
        <v>0.97</v>
      </c>
    </row>
    <row r="5" spans="1:4">
      <c r="A5" s="27" t="str">
        <f>Rates!A36</f>
        <v>Smart Meter Rate Adder</v>
      </c>
      <c r="B5" s="28" t="str">
        <f>Rates!B51</f>
        <v>$</v>
      </c>
      <c r="C5" s="29">
        <f>Rates!D51</f>
        <v>0</v>
      </c>
      <c r="D5" s="30">
        <f>Rates!F51</f>
        <v>0</v>
      </c>
    </row>
    <row r="6" spans="1:4">
      <c r="A6" s="27" t="str">
        <f>Rates!A37</f>
        <v>Distribution Volumetric Rate</v>
      </c>
      <c r="B6" s="28" t="str">
        <f>Rates!B52</f>
        <v>$/kWh</v>
      </c>
      <c r="C6" s="31">
        <f>Rates!D52</f>
        <v>0.1537</v>
      </c>
      <c r="D6" s="32">
        <f>Rates!F52</f>
        <v>0.18149999999999999</v>
      </c>
    </row>
    <row r="7" spans="1:4">
      <c r="A7" s="27" t="str">
        <f>Rates!A38</f>
        <v>Rate Rider for Deferral/Variance Account Disposition - effective until May 31, 2013</v>
      </c>
      <c r="B7" s="28" t="str">
        <f>Rates!B53</f>
        <v>$/kWh</v>
      </c>
      <c r="C7" s="31">
        <f>Rates!D53</f>
        <v>4.7000000000000002E-3</v>
      </c>
      <c r="D7" s="32">
        <f>Rates!F53</f>
        <v>4.7000000000000002E-3</v>
      </c>
    </row>
    <row r="8" spans="1:4">
      <c r="A8" s="27" t="str">
        <f>Rates!A39</f>
        <v>Rate Rider for Deferral/Variance Account Disposition #2 - effective until May 31, 2013</v>
      </c>
      <c r="B8" s="28" t="str">
        <f>Rates!B54</f>
        <v>$/kWh</v>
      </c>
      <c r="C8" s="31"/>
      <c r="D8" s="32">
        <f>Rates!F54</f>
        <v>-3.5999999999999999E-3</v>
      </c>
    </row>
    <row r="9" spans="1:4">
      <c r="A9" s="27" t="str">
        <f>Rates!A41</f>
        <v>Rate Rider for Tax Changes - effective until December 31, 2012</v>
      </c>
      <c r="B9" s="28" t="str">
        <f>Rates!B55</f>
        <v>$/kWh</v>
      </c>
      <c r="C9" s="31">
        <f>Rates!D55</f>
        <v>0</v>
      </c>
      <c r="D9" s="32">
        <f>Rates!F55</f>
        <v>-2.0000000000000001E-4</v>
      </c>
    </row>
    <row r="10" spans="1:4">
      <c r="A10" s="27" t="str">
        <f>Rates!A42</f>
        <v>Retail Transmission Rate - Network Service Rate</v>
      </c>
      <c r="B10" s="28" t="str">
        <f>Rates!B56</f>
        <v>$/kW</v>
      </c>
      <c r="C10" s="31">
        <f>Rates!D56</f>
        <v>1.6002000000000001</v>
      </c>
      <c r="D10" s="32">
        <f>Rates!F56</f>
        <v>1.7349000000000001</v>
      </c>
    </row>
    <row r="11" spans="1:4">
      <c r="A11" s="27" t="str">
        <f>Rates!A43</f>
        <v>Retail Transmission Rate - Line and Transformation Connection Service Rate</v>
      </c>
      <c r="B11" s="28" t="str">
        <f>Rates!B57</f>
        <v>$/kW</v>
      </c>
      <c r="C11" s="31">
        <f>Rates!D57</f>
        <v>1.2859</v>
      </c>
      <c r="D11" s="32">
        <f>Rates!F57</f>
        <v>1.3491</v>
      </c>
    </row>
    <row r="12" spans="1:4">
      <c r="A12" s="27" t="str">
        <f>Rates!A44</f>
        <v>Wholesale Market Service Rate</v>
      </c>
      <c r="B12" s="28" t="str">
        <f>Rates!B58</f>
        <v>$/kWh</v>
      </c>
      <c r="C12" s="31">
        <f>Rates!D58</f>
        <v>5.1999999999999998E-3</v>
      </c>
      <c r="D12" s="32">
        <f>Rates!F58</f>
        <v>5.1999999999999998E-3</v>
      </c>
    </row>
    <row r="13" spans="1:4">
      <c r="A13" s="27" t="str">
        <f>Rates!A45</f>
        <v>Rural Rate Protection Charge</v>
      </c>
      <c r="B13" s="28" t="str">
        <f>Rates!B59</f>
        <v>$/kWh</v>
      </c>
      <c r="C13" s="31">
        <f>Rates!D59</f>
        <v>1.2999999999999999E-3</v>
      </c>
      <c r="D13" s="32">
        <f>Rates!F59</f>
        <v>1.2999999999999999E-3</v>
      </c>
    </row>
    <row r="14" spans="1:4">
      <c r="A14" s="27" t="str">
        <f>Rates!A60</f>
        <v>Special Purpose Charge</v>
      </c>
      <c r="B14" s="28" t="str">
        <f>Rates!B60</f>
        <v>$/kWh</v>
      </c>
      <c r="C14" s="31">
        <f>Rates!D60</f>
        <v>0</v>
      </c>
      <c r="D14" s="32">
        <f>Rates!F60</f>
        <v>0</v>
      </c>
    </row>
    <row r="15" spans="1:4" ht="12.75" thickBot="1">
      <c r="A15" s="12" t="str">
        <f>Rates!A47</f>
        <v>Standard Supply Service - Administarive Charge (if applicable)</v>
      </c>
      <c r="B15" s="17" t="str">
        <f>Rates!B61</f>
        <v>$</v>
      </c>
      <c r="C15" s="18">
        <f>Rates!D61</f>
        <v>0.25</v>
      </c>
      <c r="D15" s="13">
        <f>Rates!F61</f>
        <v>0.25</v>
      </c>
    </row>
    <row r="17" spans="1:10" ht="12.75" thickBot="1"/>
    <row r="18" spans="1:10" ht="13.5" thickBot="1">
      <c r="A18" s="33" t="s">
        <v>26</v>
      </c>
      <c r="B18" s="34">
        <v>25000</v>
      </c>
      <c r="C18" s="35" t="s">
        <v>27</v>
      </c>
      <c r="D18" s="36">
        <v>71.459999999999994</v>
      </c>
      <c r="E18" s="35" t="s">
        <v>28</v>
      </c>
      <c r="G18" s="37" t="s">
        <v>23</v>
      </c>
      <c r="H18" s="53">
        <f>Rates!F70</f>
        <v>1.0864</v>
      </c>
    </row>
    <row r="19" spans="1:10" ht="13.5" thickBot="1">
      <c r="A19" s="33" t="s">
        <v>29</v>
      </c>
      <c r="B19" s="34">
        <v>750</v>
      </c>
      <c r="C19" s="35" t="s">
        <v>27</v>
      </c>
      <c r="D19" s="37" t="s">
        <v>30</v>
      </c>
      <c r="E19" s="98">
        <f>IF(D18&gt;0,B18/(D18*24*30.4)," ")</f>
        <v>0.47950393055125928</v>
      </c>
    </row>
    <row r="20" spans="1:10" ht="12.75" thickBot="1"/>
    <row r="21" spans="1:10" ht="12.75" customHeight="1">
      <c r="A21" s="149" t="str">
        <f>A3</f>
        <v>Street Lighting</v>
      </c>
      <c r="B21" s="151" t="s">
        <v>31</v>
      </c>
      <c r="C21" s="49" t="s">
        <v>37</v>
      </c>
      <c r="D21" s="49" t="s">
        <v>38</v>
      </c>
      <c r="E21" s="151" t="s">
        <v>31</v>
      </c>
      <c r="F21" s="49" t="s">
        <v>37</v>
      </c>
      <c r="G21" s="49" t="s">
        <v>38</v>
      </c>
      <c r="H21" s="153" t="s">
        <v>44</v>
      </c>
      <c r="I21" s="153"/>
      <c r="J21" s="154"/>
    </row>
    <row r="22" spans="1:10" ht="12.75" thickBot="1">
      <c r="A22" s="150"/>
      <c r="B22" s="152"/>
      <c r="C22" s="50" t="s">
        <v>15</v>
      </c>
      <c r="D22" s="50" t="s">
        <v>15</v>
      </c>
      <c r="E22" s="152"/>
      <c r="F22" s="50" t="s">
        <v>15</v>
      </c>
      <c r="G22" s="50" t="s">
        <v>15</v>
      </c>
      <c r="H22" s="50" t="s">
        <v>15</v>
      </c>
      <c r="I22" s="51" t="s">
        <v>22</v>
      </c>
      <c r="J22" s="52" t="s">
        <v>34</v>
      </c>
    </row>
    <row r="23" spans="1:10">
      <c r="A23" s="54" t="s">
        <v>35</v>
      </c>
      <c r="B23" s="55">
        <f>IF(B18*Rates!D70&gt;B19,B19,B18*Rates!D70)</f>
        <v>750</v>
      </c>
      <c r="C23" s="56">
        <f>Rates!D65</f>
        <v>6.8000000000000005E-2</v>
      </c>
      <c r="D23" s="58">
        <f>B23*C23</f>
        <v>51.000000000000007</v>
      </c>
      <c r="E23" s="55">
        <f>IF(B18*H18&gt;B19,B19,B18*H18)</f>
        <v>750</v>
      </c>
      <c r="F23" s="56">
        <f>Rates!F65</f>
        <v>6.8000000000000005E-2</v>
      </c>
      <c r="G23" s="58">
        <f>E23*F23</f>
        <v>51.000000000000007</v>
      </c>
      <c r="H23" s="58">
        <f t="shared" ref="H23:H45" si="0">G23-D23</f>
        <v>0</v>
      </c>
      <c r="I23" s="59">
        <f>IF(ISERROR(H23/D23),1,H23/D23)</f>
        <v>0</v>
      </c>
      <c r="J23" s="60">
        <f t="shared" ref="J23:J45" si="1">IF(ISERROR(G23/G$45),0,G23/G$45)</f>
        <v>5.8724432905855224E-3</v>
      </c>
    </row>
    <row r="24" spans="1:10" ht="12.75" thickBot="1">
      <c r="A24" s="63" t="s">
        <v>36</v>
      </c>
      <c r="B24" s="64">
        <f>IF(B18*Rates!D70&gt;=B19,B18*Rates!D70-B19,0)</f>
        <v>26410</v>
      </c>
      <c r="C24" s="65">
        <f>Rates!D66</f>
        <v>7.9000000000000001E-2</v>
      </c>
      <c r="D24" s="66">
        <f>B24*C24</f>
        <v>2086.39</v>
      </c>
      <c r="E24" s="64">
        <f>IF(B18*H18&gt;=B19,B18*H18-B19,0)</f>
        <v>26410</v>
      </c>
      <c r="F24" s="65">
        <f>Rates!F66</f>
        <v>7.9000000000000001E-2</v>
      </c>
      <c r="G24" s="66">
        <f>E24*F24</f>
        <v>2086.39</v>
      </c>
      <c r="H24" s="66">
        <f t="shared" si="0"/>
        <v>0</v>
      </c>
      <c r="I24" s="67">
        <f>IF(ISERROR(H24/D24),0,H24/D24)</f>
        <v>0</v>
      </c>
      <c r="J24" s="68">
        <f t="shared" si="1"/>
        <v>0.2402393520989162</v>
      </c>
    </row>
    <row r="25" spans="1:10" ht="12.75" thickBot="1">
      <c r="A25" s="73" t="s">
        <v>39</v>
      </c>
      <c r="B25" s="74"/>
      <c r="C25" s="75"/>
      <c r="D25" s="76">
        <f>SUM(D23:D24)</f>
        <v>2137.39</v>
      </c>
      <c r="E25" s="75"/>
      <c r="F25" s="75"/>
      <c r="G25" s="76">
        <f>SUM(G23:G24)</f>
        <v>2137.39</v>
      </c>
      <c r="H25" s="76">
        <f t="shared" si="0"/>
        <v>0</v>
      </c>
      <c r="I25" s="77">
        <f>IF(ISERROR(H25/D25),0,H25/D25)</f>
        <v>0</v>
      </c>
      <c r="J25" s="78">
        <f t="shared" si="1"/>
        <v>0.2461117953895017</v>
      </c>
    </row>
    <row r="26" spans="1:10">
      <c r="A26" s="69" t="str">
        <f t="shared" ref="A26:A31" si="2">A4</f>
        <v>Monthly Service Charge</v>
      </c>
      <c r="B26" s="70">
        <v>428</v>
      </c>
      <c r="C26" s="46">
        <f t="shared" ref="C26:C31" si="3">C4</f>
        <v>0.96</v>
      </c>
      <c r="D26" s="46">
        <f t="shared" ref="D26:D31" si="4">B26*C26</f>
        <v>410.88</v>
      </c>
      <c r="E26" s="71">
        <f>B26</f>
        <v>428</v>
      </c>
      <c r="F26" s="47">
        <f t="shared" ref="F26:F31" si="5">D4</f>
        <v>0.97</v>
      </c>
      <c r="G26" s="47">
        <f t="shared" ref="G26:G31" si="6">E26*F26</f>
        <v>415.15999999999997</v>
      </c>
      <c r="H26" s="47">
        <f t="shared" si="0"/>
        <v>4.2799999999999727</v>
      </c>
      <c r="I26" s="48">
        <f>IF(ISERROR(H26/D26),0,H26/D26)</f>
        <v>1.04166666666666E-2</v>
      </c>
      <c r="J26" s="72">
        <f t="shared" si="1"/>
        <v>4.7803991304303628E-2</v>
      </c>
    </row>
    <row r="27" spans="1:10">
      <c r="A27" s="61" t="str">
        <f t="shared" si="2"/>
        <v>Smart Meter Rate Adder</v>
      </c>
      <c r="B27" s="43">
        <f>B26</f>
        <v>428</v>
      </c>
      <c r="C27" s="41">
        <f t="shared" si="3"/>
        <v>0</v>
      </c>
      <c r="D27" s="41">
        <f t="shared" si="4"/>
        <v>0</v>
      </c>
      <c r="E27" s="43">
        <f>B27</f>
        <v>428</v>
      </c>
      <c r="F27" s="41">
        <f t="shared" si="5"/>
        <v>0</v>
      </c>
      <c r="G27" s="41">
        <f t="shared" si="6"/>
        <v>0</v>
      </c>
      <c r="H27" s="41">
        <f t="shared" si="0"/>
        <v>0</v>
      </c>
      <c r="I27" s="42">
        <f>IF(ISERROR(H27/D27),0,H27/D27)</f>
        <v>0</v>
      </c>
      <c r="J27" s="62">
        <f t="shared" si="1"/>
        <v>0</v>
      </c>
    </row>
    <row r="28" spans="1:10">
      <c r="A28" s="61" t="str">
        <f t="shared" si="2"/>
        <v>Distribution Volumetric Rate</v>
      </c>
      <c r="B28" s="43">
        <f>B18</f>
        <v>25000</v>
      </c>
      <c r="C28" s="40">
        <f t="shared" si="3"/>
        <v>0.1537</v>
      </c>
      <c r="D28" s="41">
        <f t="shared" si="4"/>
        <v>3842.5</v>
      </c>
      <c r="E28" s="43">
        <f>B18</f>
        <v>25000</v>
      </c>
      <c r="F28" s="40">
        <f t="shared" si="5"/>
        <v>0.18149999999999999</v>
      </c>
      <c r="G28" s="41">
        <f t="shared" si="6"/>
        <v>4537.5</v>
      </c>
      <c r="H28" s="41">
        <f t="shared" si="0"/>
        <v>695</v>
      </c>
      <c r="I28" s="42">
        <f t="shared" ref="I28:I45" si="7">IF(ISERROR(H28/D28),0,H28/D28)</f>
        <v>0.18087182823682499</v>
      </c>
      <c r="J28" s="62">
        <f t="shared" si="1"/>
        <v>0.52247473394180011</v>
      </c>
    </row>
    <row r="29" spans="1:10">
      <c r="A29" s="61" t="str">
        <f t="shared" si="2"/>
        <v>Rate Rider for Deferral/Variance Account Disposition - effective until May 31, 2013</v>
      </c>
      <c r="B29" s="43">
        <f>B18</f>
        <v>25000</v>
      </c>
      <c r="C29" s="40">
        <f t="shared" si="3"/>
        <v>4.7000000000000002E-3</v>
      </c>
      <c r="D29" s="41">
        <f t="shared" si="4"/>
        <v>117.5</v>
      </c>
      <c r="E29" s="43">
        <f>B18</f>
        <v>25000</v>
      </c>
      <c r="F29" s="40">
        <f t="shared" si="5"/>
        <v>4.7000000000000002E-3</v>
      </c>
      <c r="G29" s="41">
        <f t="shared" si="6"/>
        <v>117.5</v>
      </c>
      <c r="H29" s="41">
        <f t="shared" si="0"/>
        <v>0</v>
      </c>
      <c r="I29" s="42">
        <f t="shared" si="7"/>
        <v>0</v>
      </c>
      <c r="J29" s="62">
        <f t="shared" si="1"/>
        <v>1.3529648757721545E-2</v>
      </c>
    </row>
    <row r="30" spans="1:10">
      <c r="A30" s="61" t="str">
        <f t="shared" si="2"/>
        <v>Rate Rider for Deferral/Variance Account Disposition #2 - effective until May 31, 2013</v>
      </c>
      <c r="B30" s="43">
        <f>B18</f>
        <v>25000</v>
      </c>
      <c r="C30" s="40">
        <f t="shared" si="3"/>
        <v>0</v>
      </c>
      <c r="D30" s="41">
        <f t="shared" si="4"/>
        <v>0</v>
      </c>
      <c r="E30" s="43">
        <f>B18</f>
        <v>25000</v>
      </c>
      <c r="F30" s="40">
        <f t="shared" si="5"/>
        <v>-3.5999999999999999E-3</v>
      </c>
      <c r="G30" s="41">
        <f t="shared" ref="G30" si="8">E30*F30</f>
        <v>-90</v>
      </c>
      <c r="H30" s="41">
        <f t="shared" ref="H30" si="9">G30-D30</f>
        <v>-90</v>
      </c>
      <c r="I30" s="42">
        <f t="shared" ref="I30" si="10">IF(ISERROR(H30/D30),0,H30/D30)</f>
        <v>0</v>
      </c>
      <c r="J30" s="62">
        <f t="shared" ref="J30" si="11">IF(ISERROR(G30/G$45),0,G30/G$45)</f>
        <v>-1.0363135218680332E-2</v>
      </c>
    </row>
    <row r="31" spans="1:10" ht="12.75" thickBot="1">
      <c r="A31" s="61" t="str">
        <f t="shared" si="2"/>
        <v>Rate Rider for Tax Changes - effective until December 31, 2012</v>
      </c>
      <c r="B31" s="43">
        <f>B18</f>
        <v>25000</v>
      </c>
      <c r="C31" s="40">
        <f t="shared" si="3"/>
        <v>0</v>
      </c>
      <c r="D31" s="41">
        <f t="shared" si="4"/>
        <v>0</v>
      </c>
      <c r="E31" s="43">
        <f>B18</f>
        <v>25000</v>
      </c>
      <c r="F31" s="40">
        <f t="shared" si="5"/>
        <v>-2.0000000000000001E-4</v>
      </c>
      <c r="G31" s="41">
        <f t="shared" si="6"/>
        <v>-5</v>
      </c>
      <c r="H31" s="41">
        <f t="shared" si="0"/>
        <v>-5</v>
      </c>
      <c r="I31" s="42">
        <f t="shared" si="7"/>
        <v>0</v>
      </c>
      <c r="J31" s="62">
        <f t="shared" si="1"/>
        <v>-5.7572973437112953E-4</v>
      </c>
    </row>
    <row r="32" spans="1:10" ht="12.75" thickBot="1">
      <c r="A32" s="73" t="s">
        <v>40</v>
      </c>
      <c r="B32" s="74"/>
      <c r="C32" s="75"/>
      <c r="D32" s="76">
        <f>SUM(D26:D31)</f>
        <v>4370.88</v>
      </c>
      <c r="E32" s="75"/>
      <c r="F32" s="75"/>
      <c r="G32" s="76">
        <f>SUM(G26:G31)</f>
        <v>4975.16</v>
      </c>
      <c r="H32" s="76">
        <f t="shared" si="0"/>
        <v>604.27999999999975</v>
      </c>
      <c r="I32" s="77">
        <f t="shared" si="7"/>
        <v>0.13825133611538173</v>
      </c>
      <c r="J32" s="78">
        <f t="shared" si="1"/>
        <v>0.57286950905077383</v>
      </c>
    </row>
    <row r="33" spans="1:10">
      <c r="A33" s="69" t="str">
        <f>A10</f>
        <v>Retail Transmission Rate - Network Service Rate</v>
      </c>
      <c r="B33" s="99">
        <f>D18*Rates!D70</f>
        <v>77.634143999999992</v>
      </c>
      <c r="C33" s="45">
        <f>C10</f>
        <v>1.6002000000000001</v>
      </c>
      <c r="D33" s="47">
        <f>B33*C33</f>
        <v>124.2301572288</v>
      </c>
      <c r="E33" s="99">
        <f>D18*H18</f>
        <v>77.634143999999992</v>
      </c>
      <c r="F33" s="45">
        <f>D10</f>
        <v>1.7349000000000001</v>
      </c>
      <c r="G33" s="47">
        <f>E33*F33</f>
        <v>134.68747642559998</v>
      </c>
      <c r="H33" s="47">
        <f t="shared" si="0"/>
        <v>10.457319196799986</v>
      </c>
      <c r="I33" s="48">
        <f t="shared" si="7"/>
        <v>8.4176977877765166E-2</v>
      </c>
      <c r="J33" s="72">
        <f t="shared" si="1"/>
        <v>1.5508717005125692E-2</v>
      </c>
    </row>
    <row r="34" spans="1:10" ht="12.75" thickBot="1">
      <c r="A34" s="63" t="str">
        <f>A11</f>
        <v>Retail Transmission Rate - Line and Transformation Connection Service Rate</v>
      </c>
      <c r="B34" s="100">
        <f>D18*Rates!D70</f>
        <v>77.634143999999992</v>
      </c>
      <c r="C34" s="65">
        <f>C11</f>
        <v>1.2859</v>
      </c>
      <c r="D34" s="66">
        <f>B34*C34</f>
        <v>99.829745769599995</v>
      </c>
      <c r="E34" s="100">
        <f>D18*H18</f>
        <v>77.634143999999992</v>
      </c>
      <c r="F34" s="65">
        <f>D11</f>
        <v>1.3491</v>
      </c>
      <c r="G34" s="66">
        <f>E34*F34</f>
        <v>104.73622367039998</v>
      </c>
      <c r="H34" s="66">
        <f t="shared" si="0"/>
        <v>4.9064779007999846</v>
      </c>
      <c r="I34" s="67">
        <f t="shared" si="7"/>
        <v>4.9148456334084926E-2</v>
      </c>
      <c r="J34" s="68">
        <f t="shared" si="1"/>
        <v>1.2059951646558919E-2</v>
      </c>
    </row>
    <row r="35" spans="1:10" ht="12.75" thickBot="1">
      <c r="A35" s="73" t="s">
        <v>32</v>
      </c>
      <c r="B35" s="74"/>
      <c r="C35" s="75"/>
      <c r="D35" s="76">
        <f>SUM(D33:D34)</f>
        <v>224.05990299839999</v>
      </c>
      <c r="E35" s="75"/>
      <c r="F35" s="75"/>
      <c r="G35" s="76">
        <f>SUM(G33:G34)</f>
        <v>239.42370009599995</v>
      </c>
      <c r="H35" s="76">
        <f t="shared" si="0"/>
        <v>15.363797097599956</v>
      </c>
      <c r="I35" s="77">
        <f t="shared" si="7"/>
        <v>6.8570042618065707E-2</v>
      </c>
      <c r="J35" s="78">
        <f t="shared" si="1"/>
        <v>2.7568668651684607E-2</v>
      </c>
    </row>
    <row r="36" spans="1:10" ht="12.75" thickBot="1">
      <c r="A36" s="81" t="s">
        <v>41</v>
      </c>
      <c r="B36" s="82"/>
      <c r="C36" s="83"/>
      <c r="D36" s="84">
        <f>D32+D35</f>
        <v>4594.9399029983997</v>
      </c>
      <c r="E36" s="83"/>
      <c r="F36" s="83"/>
      <c r="G36" s="84">
        <f>G32+G35</f>
        <v>5214.583700096</v>
      </c>
      <c r="H36" s="84">
        <f t="shared" si="0"/>
        <v>619.64379709760033</v>
      </c>
      <c r="I36" s="85">
        <f t="shared" si="7"/>
        <v>0.13485351499227566</v>
      </c>
      <c r="J36" s="86">
        <f t="shared" si="1"/>
        <v>0.60043817770245844</v>
      </c>
    </row>
    <row r="37" spans="1:10">
      <c r="A37" s="69" t="str">
        <f>A12</f>
        <v>Wholesale Market Service Rate</v>
      </c>
      <c r="B37" s="44">
        <f>B18*Rates!D70</f>
        <v>27160</v>
      </c>
      <c r="C37" s="45">
        <f>C12</f>
        <v>5.1999999999999998E-3</v>
      </c>
      <c r="D37" s="47">
        <f>B37*C37</f>
        <v>141.232</v>
      </c>
      <c r="E37" s="44">
        <f>B18*H18</f>
        <v>27160</v>
      </c>
      <c r="F37" s="45">
        <f>D12</f>
        <v>5.1999999999999998E-3</v>
      </c>
      <c r="G37" s="47">
        <f>E37*F37</f>
        <v>141.232</v>
      </c>
      <c r="H37" s="47">
        <f t="shared" si="0"/>
        <v>0</v>
      </c>
      <c r="I37" s="48">
        <f t="shared" si="7"/>
        <v>0</v>
      </c>
      <c r="J37" s="72">
        <f t="shared" si="1"/>
        <v>1.6262292368940674E-2</v>
      </c>
    </row>
    <row r="38" spans="1:10">
      <c r="A38" s="61" t="str">
        <f>A13</f>
        <v>Rural Rate Protection Charge</v>
      </c>
      <c r="B38" s="39">
        <f>B18*Rates!D70</f>
        <v>27160</v>
      </c>
      <c r="C38" s="40">
        <f>C13</f>
        <v>1.2999999999999999E-3</v>
      </c>
      <c r="D38" s="41">
        <f>B38*C38</f>
        <v>35.308</v>
      </c>
      <c r="E38" s="39">
        <f>B18*H18</f>
        <v>27160</v>
      </c>
      <c r="F38" s="40">
        <f>D13</f>
        <v>1.2999999999999999E-3</v>
      </c>
      <c r="G38" s="41">
        <f>E38*F38</f>
        <v>35.308</v>
      </c>
      <c r="H38" s="41">
        <f t="shared" si="0"/>
        <v>0</v>
      </c>
      <c r="I38" s="42">
        <f t="shared" si="7"/>
        <v>0</v>
      </c>
      <c r="J38" s="62">
        <f t="shared" si="1"/>
        <v>4.0655730922351686E-3</v>
      </c>
    </row>
    <row r="39" spans="1:10">
      <c r="A39" s="63" t="s">
        <v>45</v>
      </c>
      <c r="B39" s="64">
        <f>B18*Rates!D70</f>
        <v>27160</v>
      </c>
      <c r="C39" s="65">
        <f>Rates!D60</f>
        <v>0</v>
      </c>
      <c r="D39" s="66">
        <f>B39*C39</f>
        <v>0</v>
      </c>
      <c r="E39" s="64">
        <f>B18*Rates!F70</f>
        <v>27160</v>
      </c>
      <c r="F39" s="65">
        <f>Rates!F60</f>
        <v>0</v>
      </c>
      <c r="G39" s="66">
        <f>E39*F39</f>
        <v>0</v>
      </c>
      <c r="H39" s="41">
        <f>G39-D39</f>
        <v>0</v>
      </c>
      <c r="I39" s="42">
        <f>IF(ISERROR(H39/D39),0,H39/D39)</f>
        <v>0</v>
      </c>
      <c r="J39" s="62">
        <f t="shared" si="1"/>
        <v>0</v>
      </c>
    </row>
    <row r="40" spans="1:10" ht="12.75" thickBot="1">
      <c r="A40" s="63" t="str">
        <f>A15</f>
        <v>Standard Supply Service - Administarive Charge (if applicable)</v>
      </c>
      <c r="B40" s="79">
        <f>B26</f>
        <v>428</v>
      </c>
      <c r="C40" s="66">
        <f>C15</f>
        <v>0.25</v>
      </c>
      <c r="D40" s="66">
        <f>B40*C40</f>
        <v>107</v>
      </c>
      <c r="E40" s="64">
        <f>B26</f>
        <v>428</v>
      </c>
      <c r="F40" s="66">
        <f>D15</f>
        <v>0.25</v>
      </c>
      <c r="G40" s="66">
        <f>E40*F40</f>
        <v>107</v>
      </c>
      <c r="H40" s="66">
        <f t="shared" si="0"/>
        <v>0</v>
      </c>
      <c r="I40" s="67">
        <f t="shared" si="7"/>
        <v>0</v>
      </c>
      <c r="J40" s="68">
        <f t="shared" si="1"/>
        <v>1.2320616315542173E-2</v>
      </c>
    </row>
    <row r="41" spans="1:10" ht="12.75" thickBot="1">
      <c r="A41" s="73" t="s">
        <v>42</v>
      </c>
      <c r="B41" s="74"/>
      <c r="C41" s="75"/>
      <c r="D41" s="76">
        <f>SUM(D37:D40)</f>
        <v>283.53999999999996</v>
      </c>
      <c r="E41" s="75"/>
      <c r="F41" s="75"/>
      <c r="G41" s="76">
        <f>SUM(G37:G40)</f>
        <v>283.53999999999996</v>
      </c>
      <c r="H41" s="76">
        <f t="shared" si="0"/>
        <v>0</v>
      </c>
      <c r="I41" s="77">
        <f t="shared" si="7"/>
        <v>0</v>
      </c>
      <c r="J41" s="78">
        <f t="shared" si="1"/>
        <v>3.2648481776718009E-2</v>
      </c>
    </row>
    <row r="42" spans="1:10" ht="12.75" thickBot="1">
      <c r="A42" s="87" t="s">
        <v>19</v>
      </c>
      <c r="B42" s="88">
        <f>B18</f>
        <v>25000</v>
      </c>
      <c r="C42" s="89">
        <f>Rates!D64</f>
        <v>2E-3</v>
      </c>
      <c r="D42" s="90">
        <f>B42*C42</f>
        <v>50</v>
      </c>
      <c r="E42" s="88">
        <f>B18</f>
        <v>25000</v>
      </c>
      <c r="F42" s="89">
        <f>Rates!F64</f>
        <v>2E-3</v>
      </c>
      <c r="G42" s="90">
        <f>E42*F42</f>
        <v>50</v>
      </c>
      <c r="H42" s="90">
        <f t="shared" si="0"/>
        <v>0</v>
      </c>
      <c r="I42" s="91">
        <f t="shared" si="7"/>
        <v>0</v>
      </c>
      <c r="J42" s="92">
        <f t="shared" si="1"/>
        <v>5.7572973437112962E-3</v>
      </c>
    </row>
    <row r="43" spans="1:10" ht="12.75" thickBot="1">
      <c r="A43" s="73" t="s">
        <v>43</v>
      </c>
      <c r="B43" s="74"/>
      <c r="C43" s="75"/>
      <c r="D43" s="76">
        <f>D25+D36+D41+D42</f>
        <v>7065.8699029983991</v>
      </c>
      <c r="E43" s="75"/>
      <c r="F43" s="75"/>
      <c r="G43" s="76">
        <f>G25+G36+G41+G42</f>
        <v>7685.5137000959994</v>
      </c>
      <c r="H43" s="76">
        <f t="shared" si="0"/>
        <v>619.64379709760033</v>
      </c>
      <c r="I43" s="77">
        <f t="shared" si="7"/>
        <v>8.7695330596824994E-2</v>
      </c>
      <c r="J43" s="78">
        <f t="shared" si="1"/>
        <v>0.88495575221238942</v>
      </c>
    </row>
    <row r="44" spans="1:10" ht="12.75" thickBot="1">
      <c r="A44" s="93" t="s">
        <v>46</v>
      </c>
      <c r="B44" s="94"/>
      <c r="C44" s="95">
        <f>Rates!D71</f>
        <v>0.13</v>
      </c>
      <c r="D44" s="90">
        <f>C44*D43</f>
        <v>918.56308738979192</v>
      </c>
      <c r="E44" s="96"/>
      <c r="F44" s="95">
        <f>Rates!F71</f>
        <v>0.13</v>
      </c>
      <c r="G44" s="90">
        <f>F44*G43</f>
        <v>999.11678101247992</v>
      </c>
      <c r="H44" s="90">
        <f t="shared" si="0"/>
        <v>80.553693622688002</v>
      </c>
      <c r="I44" s="91">
        <f t="shared" si="7"/>
        <v>8.7695330596824939E-2</v>
      </c>
      <c r="J44" s="92">
        <f t="shared" si="1"/>
        <v>0.11504424778761062</v>
      </c>
    </row>
    <row r="45" spans="1:10" ht="12.75" thickBot="1">
      <c r="A45" s="81" t="s">
        <v>33</v>
      </c>
      <c r="B45" s="82"/>
      <c r="C45" s="83"/>
      <c r="D45" s="104">
        <f>D43+D44</f>
        <v>7984.4329903881908</v>
      </c>
      <c r="E45" s="83"/>
      <c r="F45" s="83"/>
      <c r="G45" s="104">
        <f>G43+G44</f>
        <v>8684.6304811084792</v>
      </c>
      <c r="H45" s="104">
        <f t="shared" si="0"/>
        <v>700.19749072028844</v>
      </c>
      <c r="I45" s="85">
        <f t="shared" si="7"/>
        <v>8.7695330596824994E-2</v>
      </c>
      <c r="J45" s="86">
        <f t="shared" si="1"/>
        <v>1</v>
      </c>
    </row>
  </sheetData>
  <mergeCells count="4">
    <mergeCell ref="A21:A22"/>
    <mergeCell ref="B21:B22"/>
    <mergeCell ref="E21:E22"/>
    <mergeCell ref="H21:J21"/>
  </mergeCells>
  <phoneticPr fontId="2" type="noConversion"/>
  <pageMargins left="0.75" right="0.75" top="1" bottom="1" header="0.5" footer="0.5"/>
  <pageSetup scale="75" orientation="landscape" verticalDpi="1200" r:id="rId1"/>
  <headerFooter alignWithMargins="0">
    <oddHeader xml:space="preserve">&amp;C&amp;"Arial,Bold"&amp;16Electricity Distribution Impacts
Rates Effective January 1, 2012&amp;"Arial,Regular"&amp;10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B2:L10"/>
  <sheetViews>
    <sheetView zoomScaleNormal="100" workbookViewId="0">
      <selection activeCell="L15" sqref="L15"/>
    </sheetView>
  </sheetViews>
  <sheetFormatPr defaultRowHeight="12.75"/>
  <cols>
    <col min="2" max="2" width="14.42578125" bestFit="1" customWidth="1"/>
    <col min="5" max="5" width="1.5703125" customWidth="1"/>
    <col min="6" max="7" width="9.28515625" bestFit="1" customWidth="1"/>
    <col min="9" max="9" width="1.5703125" customWidth="1"/>
    <col min="10" max="11" width="10.28515625" bestFit="1" customWidth="1"/>
  </cols>
  <sheetData>
    <row r="2" spans="2:12" ht="13.5" thickBot="1"/>
    <row r="3" spans="2:12" ht="13.5" thickBot="1">
      <c r="B3" s="157" t="s">
        <v>66</v>
      </c>
      <c r="C3" s="158"/>
      <c r="D3" s="158"/>
      <c r="E3" s="158"/>
      <c r="F3" s="158"/>
      <c r="G3" s="158"/>
      <c r="H3" s="158"/>
      <c r="I3" s="158"/>
      <c r="J3" s="158"/>
      <c r="K3" s="158"/>
      <c r="L3" s="159"/>
    </row>
    <row r="4" spans="2:12">
      <c r="B4" s="123" t="s">
        <v>55</v>
      </c>
      <c r="C4" s="155" t="s">
        <v>56</v>
      </c>
      <c r="D4" s="155"/>
      <c r="E4" s="124"/>
      <c r="F4" s="155" t="s">
        <v>57</v>
      </c>
      <c r="G4" s="155"/>
      <c r="H4" s="155"/>
      <c r="I4" s="124"/>
      <c r="J4" s="155" t="s">
        <v>33</v>
      </c>
      <c r="K4" s="155"/>
      <c r="L4" s="156"/>
    </row>
    <row r="5" spans="2:12">
      <c r="B5" s="114"/>
      <c r="C5" s="110" t="s">
        <v>27</v>
      </c>
      <c r="D5" s="110" t="s">
        <v>28</v>
      </c>
      <c r="E5" s="125"/>
      <c r="F5" s="110" t="s">
        <v>58</v>
      </c>
      <c r="G5" s="110" t="s">
        <v>59</v>
      </c>
      <c r="H5" s="110" t="s">
        <v>60</v>
      </c>
      <c r="I5" s="125"/>
      <c r="J5" s="110" t="s">
        <v>58</v>
      </c>
      <c r="K5" s="110" t="s">
        <v>59</v>
      </c>
      <c r="L5" s="115" t="s">
        <v>60</v>
      </c>
    </row>
    <row r="6" spans="2:12">
      <c r="B6" s="116" t="s">
        <v>61</v>
      </c>
      <c r="C6" s="111">
        <v>800</v>
      </c>
      <c r="D6" s="111">
        <v>0</v>
      </c>
      <c r="E6" s="126"/>
      <c r="F6" s="112">
        <f>'Residential R1 Impact'!D36</f>
        <v>57.998848000000002</v>
      </c>
      <c r="G6" s="112">
        <f>'Residential R1 Impact'!G36</f>
        <v>56.337232</v>
      </c>
      <c r="H6" s="113">
        <f>(G6-F6)/F6</f>
        <v>-2.8649120754950203E-2</v>
      </c>
      <c r="I6" s="128"/>
      <c r="J6" s="112">
        <f>'Residential R1 Impact'!D48</f>
        <v>128.04905433600001</v>
      </c>
      <c r="K6" s="112">
        <f>'Residential R1 Impact'!G48</f>
        <v>126.359190864</v>
      </c>
      <c r="L6" s="117">
        <f>(K6-J6)/J6</f>
        <v>-1.3197000796006043E-2</v>
      </c>
    </row>
    <row r="7" spans="2:12">
      <c r="B7" s="116" t="s">
        <v>61</v>
      </c>
      <c r="C7" s="111">
        <v>2000</v>
      </c>
      <c r="D7" s="111">
        <v>0</v>
      </c>
      <c r="E7" s="126"/>
      <c r="F7" s="112">
        <f>'Residential R1 Impact (2)'!D36</f>
        <v>112.11712</v>
      </c>
      <c r="G7" s="112">
        <f>'Residential R1 Impact (2)'!G36</f>
        <v>107.40807999999998</v>
      </c>
      <c r="H7" s="113">
        <f t="shared" ref="H7:H10" si="0">(G7-F7)/F7</f>
        <v>-4.2001078871808477E-2</v>
      </c>
      <c r="I7" s="128"/>
      <c r="J7" s="112">
        <f>'Residential R1 Impact (2)'!D48</f>
        <v>298.88767584000004</v>
      </c>
      <c r="K7" s="112">
        <f>'Residential R1 Impact (2)'!G48</f>
        <v>294.09858215999998</v>
      </c>
      <c r="L7" s="117">
        <f t="shared" ref="L7:L10" si="1">(K7-J7)/J7</f>
        <v>-1.6023055037450766E-2</v>
      </c>
    </row>
    <row r="8" spans="2:12">
      <c r="B8" s="116" t="s">
        <v>62</v>
      </c>
      <c r="C8" s="111">
        <v>90000</v>
      </c>
      <c r="D8" s="111">
        <v>225</v>
      </c>
      <c r="E8" s="126"/>
      <c r="F8" s="112">
        <f>'Residential R2 Impact'!D38</f>
        <v>2595.1517880000001</v>
      </c>
      <c r="G8" s="112">
        <f>'Residential R2 Impact'!G38</f>
        <v>2291.2889639999994</v>
      </c>
      <c r="H8" s="113">
        <f t="shared" si="0"/>
        <v>-0.11708865177176322</v>
      </c>
      <c r="I8" s="128"/>
      <c r="J8" s="112">
        <f>'Residential R2 Impact'!D47</f>
        <v>12573.50976044</v>
      </c>
      <c r="K8" s="112">
        <f>'Residential R2 Impact'!G47</f>
        <v>12230.144769319999</v>
      </c>
      <c r="L8" s="117">
        <f t="shared" si="1"/>
        <v>-2.7308603378217375E-2</v>
      </c>
    </row>
    <row r="9" spans="2:12">
      <c r="B9" s="116" t="s">
        <v>13</v>
      </c>
      <c r="C9" s="111">
        <v>287</v>
      </c>
      <c r="D9" s="111">
        <v>0</v>
      </c>
      <c r="E9" s="126"/>
      <c r="F9" s="112">
        <f>'Seasonal Impact'!D38*0.9</f>
        <v>62.229408047999996</v>
      </c>
      <c r="G9" s="112">
        <f>'Seasonal Impact'!G38*0.9</f>
        <v>61.065490032</v>
      </c>
      <c r="H9" s="113">
        <f t="shared" si="0"/>
        <v>-1.8703665236574657E-2</v>
      </c>
      <c r="I9" s="128"/>
      <c r="J9" s="112">
        <f>'Seasonal Impact'!D50</f>
        <v>94.78099134144</v>
      </c>
      <c r="K9" s="112">
        <f>'Seasonal Impact'!G50</f>
        <v>93.465763983360006</v>
      </c>
      <c r="L9" s="117">
        <f t="shared" si="1"/>
        <v>-1.3876488729074441E-2</v>
      </c>
    </row>
    <row r="10" spans="2:12" ht="13.5" thickBot="1">
      <c r="B10" s="118" t="s">
        <v>14</v>
      </c>
      <c r="C10" s="119">
        <v>25000</v>
      </c>
      <c r="D10" s="119">
        <v>71.459999999999994</v>
      </c>
      <c r="E10" s="127"/>
      <c r="F10" s="120">
        <f>'Street Light Impact'!D36</f>
        <v>4594.9399029983997</v>
      </c>
      <c r="G10" s="120">
        <f>'Street Light Impact'!G36</f>
        <v>5214.583700096</v>
      </c>
      <c r="H10" s="121">
        <f t="shared" si="0"/>
        <v>0.13485351499227566</v>
      </c>
      <c r="I10" s="129"/>
      <c r="J10" s="120">
        <f>'Street Light Impact'!D45</f>
        <v>7984.4329903881908</v>
      </c>
      <c r="K10" s="120">
        <f>'Street Light Impact'!G45</f>
        <v>8684.6304811084792</v>
      </c>
      <c r="L10" s="122">
        <f t="shared" si="1"/>
        <v>8.7695330596824994E-2</v>
      </c>
    </row>
  </sheetData>
  <mergeCells count="4">
    <mergeCell ref="C4:D4"/>
    <mergeCell ref="F4:H4"/>
    <mergeCell ref="J4:L4"/>
    <mergeCell ref="B3:L3"/>
  </mergeCells>
  <pageMargins left="0.75" right="0.75" top="1" bottom="1" header="0.5" footer="0.5"/>
  <pageSetup scale="75" orientation="portrait" verticalDpi="1200" r:id="rId1"/>
  <headerFooter alignWithMargins="0">
    <oddHeader xml:space="preserve">&amp;C&amp;"Arial,Bold"&amp;16Electricity Distribution Impacts
Rates Effective January 1, 2012&amp;"Arial,Regular"&amp;10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Cover</vt:lpstr>
      <vt:lpstr>Rates</vt:lpstr>
      <vt:lpstr>Residential R1 Impact</vt:lpstr>
      <vt:lpstr>Residential R1 Impact (2)</vt:lpstr>
      <vt:lpstr>Residential R2 Impact</vt:lpstr>
      <vt:lpstr>Residential R2 Impact Interval</vt:lpstr>
      <vt:lpstr>Seasonal Impact</vt:lpstr>
      <vt:lpstr>Street Light Impact</vt:lpstr>
      <vt:lpstr>Summary</vt:lpstr>
    </vt:vector>
  </TitlesOfParts>
  <Company>FortisOntario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bradburyd</cp:lastModifiedBy>
  <cp:lastPrinted>2011-10-11T18:47:16Z</cp:lastPrinted>
  <dcterms:created xsi:type="dcterms:W3CDTF">2010-01-19T01:47:37Z</dcterms:created>
  <dcterms:modified xsi:type="dcterms:W3CDTF">2011-10-11T18:47:28Z</dcterms:modified>
</cp:coreProperties>
</file>