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8780" windowHeight="12120"/>
  </bookViews>
  <sheets>
    <sheet name="Cover Sheet" sheetId="22" r:id="rId1"/>
    <sheet name="Tariff Sheet" sheetId="6" r:id="rId2"/>
    <sheet name="Forecast Data" sheetId="7" r:id="rId3"/>
    <sheet name="Cost Allocation Sheet O1" sheetId="23" r:id="rId4"/>
    <sheet name="2011 Cost Allocation Design" sheetId="25" r:id="rId5"/>
    <sheet name="Allocated Revenues" sheetId="14" r:id="rId6"/>
    <sheet name="2012 Cost Allocation Design" sheetId="27" r:id="rId7"/>
    <sheet name="2012 RRRP Rate Design" sheetId="29" r:id="rId8"/>
    <sheet name="2012 Non-RRRP Rate Design" sheetId="30" r:id="rId9"/>
    <sheet name="Reconciliation" sheetId="26" r:id="rId10"/>
  </sheets>
  <calcPr calcId="125725" iterate="1" calcOnSave="0"/>
</workbook>
</file>

<file path=xl/calcChain.xml><?xml version="1.0" encoding="utf-8"?>
<calcChain xmlns="http://schemas.openxmlformats.org/spreadsheetml/2006/main">
  <c r="I23" i="14"/>
  <c r="H7" i="30"/>
  <c r="D8" i="26" l="1"/>
  <c r="D7"/>
  <c r="D6"/>
  <c r="D5"/>
  <c r="C6"/>
  <c r="C7"/>
  <c r="C8"/>
  <c r="C5"/>
  <c r="I9" i="30"/>
  <c r="E8"/>
  <c r="E7"/>
  <c r="D8"/>
  <c r="D7"/>
  <c r="I17" i="29"/>
  <c r="I16"/>
  <c r="M13"/>
  <c r="G8"/>
  <c r="G7"/>
  <c r="F8"/>
  <c r="E7"/>
  <c r="D8"/>
  <c r="D7"/>
  <c r="E14" i="27"/>
  <c r="J14"/>
  <c r="E15"/>
  <c r="J15"/>
  <c r="K15"/>
  <c r="E16"/>
  <c r="J16"/>
  <c r="E13"/>
  <c r="J13"/>
  <c r="K13"/>
  <c r="E20" i="14"/>
  <c r="K19" i="6" l="1"/>
  <c r="E8" i="26" s="1"/>
  <c r="K11" i="6"/>
  <c r="E6" i="26" s="1"/>
  <c r="H8" i="29"/>
  <c r="I24" i="27"/>
  <c r="I23"/>
  <c r="I22"/>
  <c r="I21"/>
  <c r="E21"/>
  <c r="E25" s="1"/>
  <c r="E8"/>
  <c r="C8"/>
  <c r="E7"/>
  <c r="C7"/>
  <c r="E6"/>
  <c r="C6"/>
  <c r="E5"/>
  <c r="C5"/>
  <c r="C9" s="1"/>
  <c r="C6" i="25"/>
  <c r="C7"/>
  <c r="C8"/>
  <c r="C9"/>
  <c r="E6"/>
  <c r="E7"/>
  <c r="E8"/>
  <c r="E9"/>
  <c r="I16"/>
  <c r="I18"/>
  <c r="I17"/>
  <c r="I15" i="27" s="1"/>
  <c r="I15" i="25"/>
  <c r="I13" i="27" s="1"/>
  <c r="E15" i="25"/>
  <c r="H8" i="14"/>
  <c r="H9"/>
  <c r="H10"/>
  <c r="H11"/>
  <c r="K18" i="25" l="1"/>
  <c r="K16" i="27" s="1"/>
  <c r="I16"/>
  <c r="K16" i="25"/>
  <c r="K14" i="27" s="1"/>
  <c r="I14"/>
  <c r="E9"/>
  <c r="F5" s="1"/>
  <c r="C10" i="25"/>
  <c r="D7" s="1"/>
  <c r="G7" s="1"/>
  <c r="G8" i="26"/>
  <c r="D16" i="29"/>
  <c r="D17"/>
  <c r="K18" s="1"/>
  <c r="E16"/>
  <c r="F17"/>
  <c r="G6" i="26"/>
  <c r="K9" i="30"/>
  <c r="H7" i="29"/>
  <c r="D7" i="27"/>
  <c r="G7" s="1"/>
  <c r="D5"/>
  <c r="F7"/>
  <c r="H7" s="1"/>
  <c r="D6"/>
  <c r="G6" s="1"/>
  <c r="D8"/>
  <c r="G8" s="1"/>
  <c r="D8" i="25"/>
  <c r="G8" s="1"/>
  <c r="E10"/>
  <c r="F7" s="1"/>
  <c r="H7" s="1"/>
  <c r="E19"/>
  <c r="I7" l="1"/>
  <c r="C16" s="1"/>
  <c r="C14" i="27" s="1"/>
  <c r="F6"/>
  <c r="H6" s="1"/>
  <c r="F8"/>
  <c r="H8" s="1"/>
  <c r="D9" i="25"/>
  <c r="G9" s="1"/>
  <c r="F8"/>
  <c r="H8" s="1"/>
  <c r="I8" s="1"/>
  <c r="C17" s="1"/>
  <c r="C15" i="27" s="1"/>
  <c r="D6" i="25"/>
  <c r="G6" s="1"/>
  <c r="H5" i="27"/>
  <c r="G5"/>
  <c r="D9"/>
  <c r="I8"/>
  <c r="I6"/>
  <c r="I7"/>
  <c r="F6" i="25"/>
  <c r="F9"/>
  <c r="H9" s="1"/>
  <c r="H6"/>
  <c r="I6" s="1"/>
  <c r="I9" l="1"/>
  <c r="C18" s="1"/>
  <c r="C16" i="27" s="1"/>
  <c r="F9"/>
  <c r="D10" i="25"/>
  <c r="F10"/>
  <c r="I5" i="27"/>
  <c r="C15" i="25"/>
  <c r="C13" i="27" s="1"/>
  <c r="C17" s="1"/>
  <c r="I10" i="25"/>
  <c r="I9" i="27" l="1"/>
  <c r="C19" i="25"/>
  <c r="D15" s="1"/>
  <c r="D13" i="27" s="1"/>
  <c r="F16" i="25" l="1"/>
  <c r="F17"/>
  <c r="F18"/>
  <c r="F15"/>
  <c r="D17"/>
  <c r="D15" i="27" s="1"/>
  <c r="D18" i="25"/>
  <c r="D16" i="27" s="1"/>
  <c r="D16" i="25"/>
  <c r="D14" i="27" s="1"/>
  <c r="D17" l="1"/>
  <c r="F16"/>
  <c r="F13"/>
  <c r="F15"/>
  <c r="F14"/>
  <c r="D19" i="25"/>
  <c r="H17"/>
  <c r="M10" i="14"/>
  <c r="G17" i="25"/>
  <c r="G15" i="27" s="1"/>
  <c r="M11" i="14"/>
  <c r="G18" i="25"/>
  <c r="G16" i="27" s="1"/>
  <c r="H18" i="25"/>
  <c r="H16" i="27" s="1"/>
  <c r="M9" i="14"/>
  <c r="G16" i="25"/>
  <c r="G14" i="27" s="1"/>
  <c r="H16" i="25"/>
  <c r="H14" i="27" s="1"/>
  <c r="H15" i="25"/>
  <c r="F19"/>
  <c r="M8" i="14"/>
  <c r="G15" i="25"/>
  <c r="G13" i="27" s="1"/>
  <c r="F17" l="1"/>
  <c r="H13"/>
  <c r="H15"/>
  <c r="K22"/>
  <c r="K24"/>
  <c r="K9" i="14"/>
  <c r="I9" s="1"/>
  <c r="L9"/>
  <c r="J9" s="1"/>
  <c r="K11"/>
  <c r="I11" s="1"/>
  <c r="I31" s="1"/>
  <c r="L11"/>
  <c r="J11" s="1"/>
  <c r="J31" s="1"/>
  <c r="L31" s="1"/>
  <c r="K10"/>
  <c r="I10" s="1"/>
  <c r="I30" s="1"/>
  <c r="K30" s="1"/>
  <c r="L10"/>
  <c r="J10" s="1"/>
  <c r="J30" s="1"/>
  <c r="L30" s="1"/>
  <c r="K8"/>
  <c r="L8"/>
  <c r="M12"/>
  <c r="K31" l="1"/>
  <c r="I8" i="30"/>
  <c r="J29" i="14"/>
  <c r="L29" s="1"/>
  <c r="M30"/>
  <c r="G30" s="1"/>
  <c r="H30" s="1"/>
  <c r="I29"/>
  <c r="K29" s="1"/>
  <c r="M29" s="1"/>
  <c r="G29" s="1"/>
  <c r="H29" s="1"/>
  <c r="I8"/>
  <c r="K12"/>
  <c r="L12"/>
  <c r="J8"/>
  <c r="J28" l="1"/>
  <c r="L28" s="1"/>
  <c r="L32" s="1"/>
  <c r="M31"/>
  <c r="G31" s="1"/>
  <c r="I28"/>
  <c r="K28" s="1"/>
  <c r="K17" i="29"/>
  <c r="M28" i="14" l="1"/>
  <c r="M32" s="1"/>
  <c r="C25" i="27" s="1"/>
  <c r="K32" i="14"/>
  <c r="H31"/>
  <c r="H8" i="30" s="1"/>
  <c r="G8"/>
  <c r="C24" i="27"/>
  <c r="D24" s="1"/>
  <c r="C22"/>
  <c r="D22" s="1"/>
  <c r="C21"/>
  <c r="D21" s="1"/>
  <c r="C23"/>
  <c r="D23" s="1"/>
  <c r="F24"/>
  <c r="F21"/>
  <c r="F22"/>
  <c r="F23"/>
  <c r="G28" i="14"/>
  <c r="H28" s="1"/>
  <c r="D25" i="27" l="1"/>
  <c r="M8" i="29"/>
  <c r="H22" i="27"/>
  <c r="G22"/>
  <c r="M8" i="30"/>
  <c r="G24" i="27"/>
  <c r="H24"/>
  <c r="M7" i="30"/>
  <c r="G23" i="27"/>
  <c r="H23"/>
  <c r="M7" i="29"/>
  <c r="F25" i="27"/>
  <c r="H21"/>
  <c r="G21"/>
  <c r="J17" i="29"/>
  <c r="L17" s="1"/>
  <c r="M17" s="1"/>
  <c r="M9" l="1"/>
  <c r="L7"/>
  <c r="K7"/>
  <c r="L8" i="30"/>
  <c r="J8" s="1"/>
  <c r="K8"/>
  <c r="L9"/>
  <c r="K7"/>
  <c r="L7"/>
  <c r="K8" i="29"/>
  <c r="I8" s="1"/>
  <c r="L8"/>
  <c r="J8" s="1"/>
  <c r="H17"/>
  <c r="K7" i="6"/>
  <c r="E5" i="26" s="1"/>
  <c r="G5" s="1"/>
  <c r="J16" i="29"/>
  <c r="K8" i="6" s="1"/>
  <c r="F5" i="26" s="1"/>
  <c r="H5" s="1"/>
  <c r="G17" i="29"/>
  <c r="L18"/>
  <c r="J7" i="30" l="1"/>
  <c r="K16" i="6" s="1"/>
  <c r="F7" i="26" s="1"/>
  <c r="H7" s="1"/>
  <c r="L10" i="30"/>
  <c r="J9"/>
  <c r="K20" i="6" s="1"/>
  <c r="F8" i="26" s="1"/>
  <c r="H8" s="1"/>
  <c r="I8" s="1"/>
  <c r="M9" i="30"/>
  <c r="L9" i="29"/>
  <c r="J7"/>
  <c r="I7" i="30"/>
  <c r="K15" i="6" s="1"/>
  <c r="E7" i="26" s="1"/>
  <c r="G7" s="1"/>
  <c r="I7" s="1"/>
  <c r="K10" i="30"/>
  <c r="K9" i="29"/>
  <c r="I7"/>
  <c r="K16"/>
  <c r="L16"/>
  <c r="G9" i="26"/>
  <c r="I5"/>
  <c r="M18" i="29"/>
  <c r="H18" s="1"/>
  <c r="J18"/>
  <c r="K12" i="6" s="1"/>
  <c r="F6" i="26" s="1"/>
  <c r="H6" s="1"/>
  <c r="I6" s="1"/>
  <c r="K19" i="29"/>
  <c r="H9" i="30" l="1"/>
  <c r="G9"/>
  <c r="M10"/>
  <c r="M16" i="29"/>
  <c r="H16" s="1"/>
  <c r="L19"/>
  <c r="I9" i="26"/>
  <c r="H9"/>
  <c r="M19" i="29"/>
  <c r="M21" s="1"/>
  <c r="K22" i="6" s="1"/>
  <c r="J9" i="26" s="1"/>
  <c r="K9" s="1"/>
  <c r="G18" i="29"/>
  <c r="G16"/>
</calcChain>
</file>

<file path=xl/sharedStrings.xml><?xml version="1.0" encoding="utf-8"?>
<sst xmlns="http://schemas.openxmlformats.org/spreadsheetml/2006/main" count="398" uniqueCount="193">
  <si>
    <t>2006 Cost Allocation Information Filing</t>
  </si>
  <si>
    <t>Algoma Power Inc.</t>
  </si>
  <si>
    <t xml:space="preserve">Sheet O1 Revenue to Cost Summary Worksheet  - First Run  </t>
  </si>
  <si>
    <t>Rate Base Assets</t>
  </si>
  <si>
    <t>Total</t>
  </si>
  <si>
    <t>R1</t>
  </si>
  <si>
    <t>R2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</si>
  <si>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</si>
  <si>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</si>
  <si>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</si>
  <si>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</si>
  <si>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</si>
  <si>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</si>
  <si>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</si>
  <si>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Embedded Distributor</t>
  </si>
  <si>
    <t>Back-up/Standby Power</t>
  </si>
  <si>
    <t>Seasonal</t>
  </si>
  <si>
    <t>crev</t>
  </si>
  <si>
    <t>Distribution Revenue  (sale)</t>
  </si>
  <si>
    <t>mi</t>
  </si>
  <si>
    <t>Miscellaneous Revenue (mi)</t>
  </si>
  <si>
    <t>Total Revenue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</si>
  <si>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</si>
  <si>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</si>
  <si>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</si>
  <si>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</si>
  <si>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</si>
  <si>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</si>
  <si>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</si>
  <si>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</si>
  <si>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</si>
  <si>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</si>
  <si>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</si>
  <si>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</si>
  <si>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</si>
  <si>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Total Expenses</t>
  </si>
  <si>
    <t>Direct Allocation</t>
  </si>
  <si>
    <t>NI</t>
  </si>
  <si>
    <t>Allocated Net Income  (NI)</t>
  </si>
  <si>
    <t>Revenue Requirement (includes NI)</t>
  </si>
  <si>
    <t>Rate Base Calculation</t>
  </si>
  <si>
    <t>Net Assets</t>
  </si>
  <si>
    <t>dp</t>
  </si>
  <si>
    <t xml:space="preserve">Distribution Plant - Gross </t>
  </si>
  <si>
    <t>gp</t>
  </si>
  <si>
    <t>General Plant - Gross</t>
  </si>
  <si>
    <t>accum dep</t>
  </si>
  <si>
    <t>Accumulated Depreciation</t>
  </si>
  <si>
    <t>co</t>
  </si>
  <si>
    <t xml:space="preserve">Capital Contribution </t>
  </si>
  <si>
    <t>Total Net Plant</t>
  </si>
  <si>
    <t>Directly Allocated Net Fixed Assets</t>
  </si>
  <si>
    <t>COP</t>
  </si>
  <si>
    <t>Cost of Power  (COP)</t>
  </si>
  <si>
    <t>OM&amp;A Expenses</t>
  </si>
  <si>
    <t xml:space="preserve">Directly Allocated Expenses </t>
  </si>
  <si>
    <t xml:space="preserve">Subtotal </t>
  </si>
  <si>
    <t>Working Capital</t>
  </si>
  <si>
    <t>Total Rate Base</t>
  </si>
  <si>
    <t>Rate Base Input equals Output</t>
  </si>
  <si>
    <t>Equity Component of Rate Base</t>
  </si>
  <si>
    <t>Net Income on Allocated Assets</t>
  </si>
  <si>
    <t>Net Income on Direct Allocation Assets</t>
  </si>
  <si>
    <t>Net Income</t>
  </si>
  <si>
    <t>RATIOS ANALYSIS</t>
  </si>
  <si>
    <t>REVENUE TO EXPENSES %</t>
  </si>
  <si>
    <t>0.00%</t>
  </si>
  <si>
    <t>EXISTING REVENUE MINUS ALLOCATED COSTS</t>
  </si>
  <si>
    <t>RETURN ON EQUITY COMPONENT OF RATE BASE</t>
  </si>
  <si>
    <t>Residential - R1</t>
  </si>
  <si>
    <t>Residential - R2</t>
  </si>
  <si>
    <t>Street Lighting</t>
  </si>
  <si>
    <t>kW</t>
  </si>
  <si>
    <t>kWh</t>
  </si>
  <si>
    <t>Proposed Revenue to Cost Ratio</t>
  </si>
  <si>
    <t>Proposed Proportion of Revenue</t>
  </si>
  <si>
    <t>Board's Guideline</t>
  </si>
  <si>
    <t>85-115%</t>
  </si>
  <si>
    <t>80-180%</t>
  </si>
  <si>
    <t>70-120%</t>
  </si>
  <si>
    <t>Customer Class</t>
  </si>
  <si>
    <t>Metric</t>
  </si>
  <si>
    <t>Average # of Customers</t>
  </si>
  <si>
    <t>Billing Determinant</t>
  </si>
  <si>
    <t>Revenues</t>
  </si>
  <si>
    <t>Monthly Service Charge</t>
  </si>
  <si>
    <t>Variable Charge</t>
  </si>
  <si>
    <t>Fixed</t>
  </si>
  <si>
    <t>Variable</t>
  </si>
  <si>
    <t>Fixed Allocation</t>
  </si>
  <si>
    <t>Variable Allocation</t>
  </si>
  <si>
    <t>Distribution Rates</t>
  </si>
  <si>
    <t>Beneficary</t>
  </si>
  <si>
    <t>F/V Split</t>
  </si>
  <si>
    <t>Monthly Rates and Charges</t>
  </si>
  <si>
    <t>$</t>
  </si>
  <si>
    <t>Distribution Volumetric Rate</t>
  </si>
  <si>
    <t>$/kWh</t>
  </si>
  <si>
    <t>$/kW</t>
  </si>
  <si>
    <t>2010 Test Year</t>
  </si>
  <si>
    <t>2011 Test Year</t>
  </si>
  <si>
    <t>Number of Customers</t>
  </si>
  <si>
    <t>Change in Customer Count</t>
  </si>
  <si>
    <t>Kilowatt-hours</t>
  </si>
  <si>
    <t>Weather Normalized Kilowatt-hours</t>
  </si>
  <si>
    <t>Average per Customer - kWh</t>
  </si>
  <si>
    <t>Normalized Average per Customer - kWh</t>
  </si>
  <si>
    <t>Kilowatts</t>
  </si>
  <si>
    <t>Weather Normalized Kilowatts</t>
  </si>
  <si>
    <t>Average per Customer - kW</t>
  </si>
  <si>
    <t>Normalized Average per Customer - kW</t>
  </si>
  <si>
    <t>Totals</t>
  </si>
  <si>
    <t>Weather Normal Kilowatt-hours</t>
  </si>
  <si>
    <t>Weather Normal Kilowatts</t>
  </si>
  <si>
    <t>Charge Determinant</t>
  </si>
  <si>
    <t>No. of Customers</t>
  </si>
  <si>
    <t>Application of Rate Indexing Methodology</t>
  </si>
  <si>
    <t>2011 Distribution Base Rate Determination</t>
  </si>
  <si>
    <t>Delivery Charges Indexed by Simple Average of Other LDC Increases in Current Year</t>
  </si>
  <si>
    <t>2007 Board Approved Tariff, EB-2007-0744</t>
  </si>
  <si>
    <t>Effective September 2007</t>
  </si>
  <si>
    <t>Delivery Charges</t>
  </si>
  <si>
    <t>Proposed</t>
  </si>
  <si>
    <t>Rural and Remote Rate Protection</t>
  </si>
  <si>
    <t>2007 Application</t>
  </si>
  <si>
    <t>Cost Allocation Revenue Requirement</t>
  </si>
  <si>
    <t>Revenue Requirement Allocation Percentage</t>
  </si>
  <si>
    <t>Cost Allocation Misc.</t>
  </si>
  <si>
    <t>Cost Allocation Misc. Percentage</t>
  </si>
  <si>
    <t>Revenue Proportions @ 100% R|C</t>
  </si>
  <si>
    <t>Base Revenue @ Proposed Proportion</t>
  </si>
  <si>
    <t>Over/(Under) Contributing</t>
  </si>
  <si>
    <t>2010 Cost Allocation R|C</t>
  </si>
  <si>
    <t>2011 Cost Allcoaction Results</t>
  </si>
  <si>
    <t>2011 Base Distribution Rate Cost Allcation Design</t>
  </si>
  <si>
    <t>2011 Service Revenue Requirement</t>
  </si>
  <si>
    <t>2011 Misc. Revenue</t>
  </si>
  <si>
    <t>2011 Base Revenue Requirement</t>
  </si>
  <si>
    <t xml:space="preserve">EB-2010-0278   </t>
  </si>
  <si>
    <t>Distribution Rate Design Module</t>
  </si>
  <si>
    <t>EB-2009-0278</t>
  </si>
  <si>
    <t>Revenue Requirement Input Does Not Equal Output</t>
  </si>
  <si>
    <t>Note 1:</t>
  </si>
  <si>
    <t>Note 2:</t>
  </si>
  <si>
    <t>Target R|C Ratio</t>
  </si>
  <si>
    <t>Note 3:</t>
  </si>
  <si>
    <t>Hold Residential - R2 Fixed Charge at $596.12</t>
  </si>
  <si>
    <r>
      <t>Monthly Service Charge</t>
    </r>
    <r>
      <rPr>
        <vertAlign val="superscript"/>
        <sz val="10"/>
        <rFont val="Arial"/>
        <family val="2"/>
      </rPr>
      <t>1</t>
    </r>
  </si>
  <si>
    <t>The target Revenue to Cost Ratio for the Residential R-2 Class is 25% of the gap to the nearest boundary.</t>
  </si>
  <si>
    <t>The target Revenue to Cost Ratio for the Street Lighting Class is 25% of the gap to the nearest boundary.</t>
  </si>
  <si>
    <t>Beneficiary</t>
  </si>
  <si>
    <t>The Residential R - 1 and Seasonal Classes are the co-beneficiaries of these adjustments.</t>
  </si>
  <si>
    <t>2012 Distribution Base Rate Determination</t>
  </si>
  <si>
    <t>Simple Average Increase in Delivery Charge for 2012 using the Board Determination</t>
  </si>
  <si>
    <t>The Rural and Remote Rate Protection Amount Required for 2012</t>
  </si>
  <si>
    <t>Proposed January 1, 2012</t>
  </si>
  <si>
    <t>Approved</t>
  </si>
  <si>
    <t>Effective December 1, 2010</t>
  </si>
  <si>
    <t>2012 Monthly Service Charge</t>
  </si>
  <si>
    <t>2012 Volumetric Distribution Charge</t>
  </si>
  <si>
    <t>2012 Volumetric Distribution Revenue</t>
  </si>
  <si>
    <t>Total Service Revenue</t>
  </si>
  <si>
    <t>Total Service Revenue plus RRRP</t>
  </si>
  <si>
    <t>Board Approved EB-2009-0278</t>
  </si>
  <si>
    <t>Proposed 2012 RRRP</t>
  </si>
  <si>
    <t>Algoma Load and Customer Forecast Information - Board Approved EB-2009-0278</t>
  </si>
  <si>
    <t>Adjustment to the 2011 Board Approved Revenue to Cost Ratios</t>
  </si>
  <si>
    <t>Determination of Seasonal and Street Lighting Distribution Rates</t>
  </si>
  <si>
    <t>Reconciliation of Proposed Distribution Revenue with Price Cap</t>
  </si>
  <si>
    <t>2011 Cost Allocation Results</t>
  </si>
  <si>
    <t>2012 IR Electricity Distribution Rate Proposal</t>
  </si>
  <si>
    <t>2011 Approved Revenue @ 100% R|C</t>
  </si>
  <si>
    <t>Approved Proportion of Revenue</t>
  </si>
  <si>
    <t>Base Revenue @ Approved Proportion</t>
  </si>
  <si>
    <t>Approved Revenue to Cost Ratio</t>
  </si>
  <si>
    <t>2011 Cost Allocation R|C</t>
  </si>
  <si>
    <t>Incentive Regulation Price Cap Metrics</t>
  </si>
  <si>
    <t>2012 Distribution Price Indexed Electricity Distribution Rates</t>
  </si>
  <si>
    <t xml:space="preserve">Implicit Price Index (estimated) </t>
  </si>
  <si>
    <t>Productivity Factor</t>
  </si>
  <si>
    <t>Stretch Factor (mid point)</t>
  </si>
  <si>
    <t>Proposed 2012 Base Distribution Rate Cost Allocation Design</t>
  </si>
  <si>
    <t>Board Approved 2011 Base Distribution Rate Cost Allcation Design</t>
  </si>
  <si>
    <t>2012 Forecasted Revenue @ 100% R|C</t>
  </si>
  <si>
    <t>Determination of Residential R1 &amp; R2 2012 Distribution Rates and RRRP Funding</t>
  </si>
  <si>
    <t>2012 Monthly Service Charge Revenue</t>
  </si>
  <si>
    <t>2012 IR</t>
  </si>
  <si>
    <t>RRRP Adjustment Factor (estimated)</t>
  </si>
  <si>
    <t>Price Cap Index (Estimated)</t>
  </si>
  <si>
    <t>Application of Incentive Regulation Price Cap to Equivalent Distribution Rates</t>
  </si>
  <si>
    <t>Equivalent Distribution Rates</t>
  </si>
  <si>
    <t>Price Cap Index (calculated)</t>
  </si>
  <si>
    <t>September 15, 2011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</si>
</sst>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&quot;$&quot;* #,##0_);_(&quot;$&quot;* \(#,##0\);_(&quot;$&quot;* &quot;-&quot;??_);_(@_)"/>
    <numFmt numFmtId="169" formatCode="_(&quot;$&quot;* #,##0.0000_);_(&quot;$&quot;* \(#,##0.0000\);_(&quot;$&quot;* &quot;-&quot;??_);_(@_)"/>
  </numFmts>
  <fonts count="24">
    <font>
      <sz val="10"/>
      <name val="Arial"/>
    </font>
    <font>
      <sz val="10"/>
      <name val="Arial"/>
      <family val="2"/>
    </font>
    <font>
      <sz val="16"/>
      <color indexed="12"/>
      <name val="Algerian"/>
      <family val="5"/>
    </font>
    <font>
      <sz val="8"/>
      <name val="Arial"/>
      <family val="2"/>
    </font>
    <font>
      <sz val="16"/>
      <name val="Cooper Black"/>
      <family val="1"/>
    </font>
    <font>
      <sz val="14"/>
      <name val="Cooper Black"/>
      <family val="1"/>
    </font>
    <font>
      <sz val="22"/>
      <name val="Algerian"/>
      <family val="5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2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6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vertAlign val="superscript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indent="5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Border="1"/>
    <xf numFmtId="6" fontId="9" fillId="2" borderId="0" xfId="0" applyNumberFormat="1" applyFont="1" applyFill="1" applyBorder="1"/>
    <xf numFmtId="6" fontId="10" fillId="2" borderId="0" xfId="0" applyNumberFormat="1" applyFont="1" applyFill="1" applyBorder="1"/>
    <xf numFmtId="6" fontId="11" fillId="2" borderId="0" xfId="0" applyNumberFormat="1" applyFont="1" applyFill="1" applyBorder="1"/>
    <xf numFmtId="0" fontId="12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13" fillId="2" borderId="0" xfId="0" applyFont="1" applyFill="1" applyBorder="1"/>
    <xf numFmtId="6" fontId="14" fillId="2" borderId="0" xfId="0" applyNumberFormat="1" applyFont="1" applyFill="1" applyBorder="1"/>
    <xf numFmtId="6" fontId="13" fillId="2" borderId="0" xfId="0" applyNumberFormat="1" applyFont="1" applyFill="1" applyBorder="1"/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9" fillId="2" borderId="0" xfId="0" applyFont="1" applyFill="1" applyBorder="1" applyAlignment="1"/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>
      <alignment horizontal="center"/>
    </xf>
    <xf numFmtId="0" fontId="14" fillId="2" borderId="2" xfId="0" applyNumberFormat="1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3" fillId="2" borderId="3" xfId="0" applyFont="1" applyFill="1" applyBorder="1"/>
    <xf numFmtId="6" fontId="17" fillId="2" borderId="5" xfId="0" applyNumberFormat="1" applyFont="1" applyFill="1" applyBorder="1"/>
    <xf numFmtId="6" fontId="13" fillId="2" borderId="1" xfId="0" applyNumberFormat="1" applyFont="1" applyFill="1" applyBorder="1"/>
    <xf numFmtId="6" fontId="17" fillId="2" borderId="6" xfId="0" applyNumberFormat="1" applyFont="1" applyFill="1" applyBorder="1"/>
    <xf numFmtId="6" fontId="13" fillId="2" borderId="7" xfId="0" applyNumberFormat="1" applyFont="1" applyFill="1" applyBorder="1"/>
    <xf numFmtId="0" fontId="14" fillId="3" borderId="3" xfId="0" applyFont="1" applyFill="1" applyBorder="1"/>
    <xf numFmtId="6" fontId="17" fillId="3" borderId="8" xfId="0" applyNumberFormat="1" applyFont="1" applyFill="1" applyBorder="1"/>
    <xf numFmtId="6" fontId="14" fillId="3" borderId="9" xfId="0" applyNumberFormat="1" applyFont="1" applyFill="1" applyBorder="1"/>
    <xf numFmtId="6" fontId="17" fillId="2" borderId="3" xfId="0" applyNumberFormat="1" applyFont="1" applyFill="1" applyBorder="1"/>
    <xf numFmtId="6" fontId="13" fillId="2" borderId="10" xfId="0" applyNumberFormat="1" applyFont="1" applyFill="1" applyBorder="1"/>
    <xf numFmtId="0" fontId="13" fillId="2" borderId="10" xfId="0" applyFont="1" applyFill="1" applyBorder="1"/>
    <xf numFmtId="0" fontId="14" fillId="2" borderId="3" xfId="0" applyFont="1" applyFill="1" applyBorder="1"/>
    <xf numFmtId="6" fontId="17" fillId="2" borderId="3" xfId="0" applyNumberFormat="1" applyFont="1" applyFill="1" applyBorder="1" applyAlignment="1">
      <alignment horizontal="right"/>
    </xf>
    <xf numFmtId="6" fontId="13" fillId="2" borderId="10" xfId="0" applyNumberFormat="1" applyFont="1" applyFill="1" applyBorder="1" applyAlignment="1">
      <alignment horizontal="right"/>
    </xf>
    <xf numFmtId="6" fontId="14" fillId="2" borderId="10" xfId="0" applyNumberFormat="1" applyFont="1" applyFill="1" applyBorder="1"/>
    <xf numFmtId="6" fontId="13" fillId="2" borderId="10" xfId="1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2" borderId="3" xfId="0" applyFont="1" applyFill="1" applyBorder="1"/>
    <xf numFmtId="6" fontId="17" fillId="2" borderId="6" xfId="0" applyNumberFormat="1" applyFont="1" applyFill="1" applyBorder="1" applyAlignment="1">
      <alignment horizontal="right"/>
    </xf>
    <xf numFmtId="6" fontId="13" fillId="2" borderId="7" xfId="0" applyNumberFormat="1" applyFont="1" applyFill="1" applyBorder="1" applyAlignment="1">
      <alignment horizontal="right"/>
    </xf>
    <xf numFmtId="0" fontId="13" fillId="2" borderId="3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6" fontId="20" fillId="3" borderId="3" xfId="0" applyNumberFormat="1" applyFont="1" applyFill="1" applyBorder="1"/>
    <xf numFmtId="6" fontId="19" fillId="3" borderId="10" xfId="0" applyNumberFormat="1" applyFont="1" applyFill="1" applyBorder="1"/>
    <xf numFmtId="6" fontId="13" fillId="2" borderId="3" xfId="0" applyNumberFormat="1" applyFont="1" applyFill="1" applyBorder="1"/>
    <xf numFmtId="6" fontId="17" fillId="3" borderId="11" xfId="0" applyNumberFormat="1" applyFont="1" applyFill="1" applyBorder="1"/>
    <xf numFmtId="6" fontId="14" fillId="3" borderId="12" xfId="0" applyNumberFormat="1" applyFont="1" applyFill="1" applyBorder="1"/>
    <xf numFmtId="6" fontId="17" fillId="3" borderId="3" xfId="0" applyNumberFormat="1" applyFont="1" applyFill="1" applyBorder="1"/>
    <xf numFmtId="6" fontId="14" fillId="3" borderId="10" xfId="0" applyNumberFormat="1" applyFont="1" applyFill="1" applyBorder="1"/>
    <xf numFmtId="10" fontId="16" fillId="2" borderId="0" xfId="3" applyNumberFormat="1" applyFont="1" applyFill="1" applyBorder="1" applyAlignment="1">
      <alignment horizontal="center"/>
    </xf>
    <xf numFmtId="10" fontId="13" fillId="2" borderId="3" xfId="3" applyNumberFormat="1" applyFont="1" applyFill="1" applyBorder="1"/>
    <xf numFmtId="10" fontId="17" fillId="2" borderId="3" xfId="3" applyNumberFormat="1" applyFont="1" applyFill="1" applyBorder="1" applyAlignment="1">
      <alignment horizontal="right"/>
    </xf>
    <xf numFmtId="10" fontId="13" fillId="2" borderId="10" xfId="3" applyNumberFormat="1" applyFont="1" applyFill="1" applyBorder="1" applyAlignment="1">
      <alignment horizontal="right"/>
    </xf>
    <xf numFmtId="10" fontId="13" fillId="2" borderId="6" xfId="3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/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5" fontId="0" fillId="0" borderId="13" xfId="1" applyNumberFormat="1" applyFont="1" applyBorder="1"/>
    <xf numFmtId="43" fontId="0" fillId="0" borderId="13" xfId="1" applyFont="1" applyBorder="1"/>
    <xf numFmtId="167" fontId="0" fillId="0" borderId="13" xfId="1" applyNumberFormat="1" applyFont="1" applyBorder="1"/>
    <xf numFmtId="165" fontId="0" fillId="0" borderId="13" xfId="0" applyNumberFormat="1" applyBorder="1"/>
    <xf numFmtId="0" fontId="0" fillId="0" borderId="13" xfId="0" applyBorder="1"/>
    <xf numFmtId="165" fontId="14" fillId="0" borderId="13" xfId="0" applyNumberFormat="1" applyFont="1" applyBorder="1"/>
    <xf numFmtId="165" fontId="14" fillId="0" borderId="0" xfId="0" applyNumberFormat="1" applyFont="1" applyBorder="1"/>
    <xf numFmtId="165" fontId="1" fillId="0" borderId="13" xfId="1" applyNumberFormat="1" applyBorder="1"/>
    <xf numFmtId="167" fontId="1" fillId="0" borderId="13" xfId="1" applyNumberFormat="1" applyBorder="1"/>
    <xf numFmtId="166" fontId="1" fillId="0" borderId="13" xfId="3" applyNumberFormat="1" applyBorder="1" applyAlignment="1">
      <alignment horizontal="center"/>
    </xf>
    <xf numFmtId="43" fontId="1" fillId="0" borderId="13" xfId="1" applyBorder="1"/>
    <xf numFmtId="168" fontId="14" fillId="0" borderId="13" xfId="2" applyNumberFormat="1" applyFont="1" applyBorder="1"/>
    <xf numFmtId="44" fontId="0" fillId="0" borderId="0" xfId="2" applyFont="1"/>
    <xf numFmtId="9" fontId="0" fillId="0" borderId="0" xfId="3" applyFont="1" applyAlignment="1">
      <alignment horizontal="center"/>
    </xf>
    <xf numFmtId="0" fontId="0" fillId="0" borderId="0" xfId="0" applyBorder="1"/>
    <xf numFmtId="0" fontId="14" fillId="0" borderId="0" xfId="0" applyFont="1" applyBorder="1" applyAlignment="1"/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6" fontId="1" fillId="4" borderId="13" xfId="3" applyNumberFormat="1" applyFill="1" applyBorder="1" applyAlignment="1">
      <alignment horizontal="center"/>
    </xf>
    <xf numFmtId="10" fontId="1" fillId="0" borderId="13" xfId="3" applyNumberFormat="1" applyFill="1" applyBorder="1" applyAlignment="1">
      <alignment horizontal="center"/>
    </xf>
    <xf numFmtId="166" fontId="1" fillId="0" borderId="13" xfId="3" applyNumberFormat="1" applyFont="1" applyBorder="1" applyAlignment="1">
      <alignment horizontal="center"/>
    </xf>
    <xf numFmtId="166" fontId="1" fillId="0" borderId="13" xfId="3" applyNumberFormat="1" applyFill="1" applyBorder="1" applyAlignment="1">
      <alignment horizontal="center"/>
    </xf>
    <xf numFmtId="10" fontId="1" fillId="0" borderId="13" xfId="3" applyNumberFormat="1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165" fontId="0" fillId="0" borderId="13" xfId="1" applyNumberFormat="1" applyFont="1" applyFill="1" applyBorder="1"/>
    <xf numFmtId="0" fontId="14" fillId="0" borderId="13" xfId="0" applyFont="1" applyFill="1" applyBorder="1"/>
    <xf numFmtId="165" fontId="0" fillId="5" borderId="13" xfId="0" applyNumberFormat="1" applyFill="1" applyBorder="1"/>
    <xf numFmtId="0" fontId="14" fillId="3" borderId="13" xfId="0" applyFont="1" applyFill="1" applyBorder="1"/>
    <xf numFmtId="0" fontId="0" fillId="3" borderId="13" xfId="0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65" fontId="1" fillId="3" borderId="13" xfId="1" applyNumberFormat="1" applyFill="1" applyBorder="1"/>
    <xf numFmtId="166" fontId="1" fillId="3" borderId="13" xfId="3" applyNumberFormat="1" applyFill="1" applyBorder="1" applyAlignment="1">
      <alignment horizontal="center"/>
    </xf>
    <xf numFmtId="43" fontId="1" fillId="3" borderId="13" xfId="1" applyFill="1" applyBorder="1"/>
    <xf numFmtId="167" fontId="1" fillId="3" borderId="13" xfId="1" applyNumberFormat="1" applyFill="1" applyBorder="1"/>
    <xf numFmtId="165" fontId="0" fillId="3" borderId="13" xfId="0" applyNumberFormat="1" applyFill="1" applyBorder="1"/>
    <xf numFmtId="43" fontId="1" fillId="0" borderId="13" xfId="1" applyFont="1" applyBorder="1"/>
    <xf numFmtId="0" fontId="0" fillId="0" borderId="0" xfId="0" applyAlignment="1">
      <alignment horizontal="left" indent="4"/>
    </xf>
    <xf numFmtId="169" fontId="0" fillId="0" borderId="0" xfId="0" applyNumberFormat="1"/>
    <xf numFmtId="0" fontId="1" fillId="0" borderId="13" xfId="0" applyFont="1" applyBorder="1" applyAlignment="1">
      <alignment horizontal="left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" fillId="0" borderId="0" xfId="0" applyFont="1"/>
    <xf numFmtId="43" fontId="0" fillId="0" borderId="20" xfId="1" applyFont="1" applyBorder="1"/>
    <xf numFmtId="0" fontId="0" fillId="0" borderId="15" xfId="0" applyBorder="1"/>
    <xf numFmtId="167" fontId="0" fillId="0" borderId="15" xfId="1" applyNumberFormat="1" applyFont="1" applyBorder="1"/>
    <xf numFmtId="43" fontId="0" fillId="0" borderId="15" xfId="1" applyFont="1" applyBorder="1"/>
    <xf numFmtId="43" fontId="0" fillId="0" borderId="15" xfId="0" applyNumberFormat="1" applyBorder="1"/>
    <xf numFmtId="0" fontId="0" fillId="0" borderId="26" xfId="0" applyBorder="1"/>
    <xf numFmtId="0" fontId="0" fillId="0" borderId="27" xfId="0" applyBorder="1"/>
    <xf numFmtId="0" fontId="0" fillId="0" borderId="24" xfId="0" applyBorder="1"/>
    <xf numFmtId="0" fontId="0" fillId="0" borderId="25" xfId="0" applyBorder="1"/>
    <xf numFmtId="0" fontId="0" fillId="0" borderId="28" xfId="0" applyBorder="1"/>
    <xf numFmtId="165" fontId="0" fillId="0" borderId="29" xfId="1" applyNumberFormat="1" applyFont="1" applyBorder="1"/>
    <xf numFmtId="0" fontId="0" fillId="0" borderId="6" xfId="0" applyBorder="1"/>
    <xf numFmtId="0" fontId="0" fillId="3" borderId="14" xfId="0" applyFill="1" applyBorder="1"/>
    <xf numFmtId="43" fontId="0" fillId="3" borderId="14" xfId="1" applyFont="1" applyFill="1" applyBorder="1"/>
    <xf numFmtId="167" fontId="0" fillId="3" borderId="14" xfId="1" applyNumberFormat="1" applyFont="1" applyFill="1" applyBorder="1"/>
    <xf numFmtId="0" fontId="14" fillId="3" borderId="14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Fill="1" applyBorder="1"/>
    <xf numFmtId="0" fontId="0" fillId="0" borderId="16" xfId="0" applyBorder="1"/>
    <xf numFmtId="43" fontId="0" fillId="0" borderId="14" xfId="1" applyFont="1" applyBorder="1" applyAlignment="1">
      <alignment horizontal="center"/>
    </xf>
    <xf numFmtId="165" fontId="0" fillId="7" borderId="13" xfId="0" applyNumberFormat="1" applyFill="1" applyBorder="1"/>
    <xf numFmtId="0" fontId="14" fillId="0" borderId="13" xfId="0" applyFont="1" applyBorder="1" applyAlignment="1">
      <alignment horizontal="center" vertical="center" wrapText="1"/>
    </xf>
    <xf numFmtId="10" fontId="14" fillId="8" borderId="13" xfId="3" applyNumberFormat="1" applyFont="1" applyFill="1" applyBorder="1"/>
    <xf numFmtId="0" fontId="0" fillId="0" borderId="13" xfId="0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166" fontId="0" fillId="0" borderId="0" xfId="3" applyNumberFormat="1" applyFont="1"/>
    <xf numFmtId="0" fontId="0" fillId="0" borderId="20" xfId="0" applyBorder="1"/>
    <xf numFmtId="0" fontId="1" fillId="0" borderId="31" xfId="0" applyFont="1" applyBorder="1"/>
    <xf numFmtId="0" fontId="1" fillId="0" borderId="3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165" fontId="0" fillId="0" borderId="40" xfId="0" applyNumberFormat="1" applyBorder="1"/>
    <xf numFmtId="166" fontId="1" fillId="0" borderId="40" xfId="3" applyNumberFormat="1" applyBorder="1" applyAlignment="1">
      <alignment horizontal="center"/>
    </xf>
    <xf numFmtId="165" fontId="0" fillId="5" borderId="40" xfId="0" applyNumberFormat="1" applyFill="1" applyBorder="1"/>
    <xf numFmtId="0" fontId="0" fillId="0" borderId="40" xfId="0" applyBorder="1"/>
    <xf numFmtId="0" fontId="0" fillId="0" borderId="41" xfId="0" applyBorder="1"/>
    <xf numFmtId="165" fontId="0" fillId="0" borderId="13" xfId="1" applyNumberFormat="1" applyFont="1" applyBorder="1" applyAlignment="1">
      <alignment horizontal="center"/>
    </xf>
    <xf numFmtId="166" fontId="0" fillId="0" borderId="13" xfId="3" applyNumberFormat="1" applyFont="1" applyBorder="1" applyAlignment="1">
      <alignment horizontal="center"/>
    </xf>
    <xf numFmtId="0" fontId="0" fillId="0" borderId="38" xfId="0" applyBorder="1" applyAlignment="1">
      <alignment horizontal="center" wrapText="1"/>
    </xf>
    <xf numFmtId="0" fontId="0" fillId="0" borderId="0" xfId="0" applyBorder="1" applyAlignment="1">
      <alignment horizontal="center"/>
    </xf>
    <xf numFmtId="166" fontId="1" fillId="0" borderId="38" xfId="3" applyNumberFormat="1" applyFont="1" applyBorder="1" applyAlignment="1">
      <alignment horizontal="center"/>
    </xf>
    <xf numFmtId="166" fontId="1" fillId="0" borderId="38" xfId="3" applyNumberFormat="1" applyBorder="1" applyAlignment="1">
      <alignment horizontal="center"/>
    </xf>
    <xf numFmtId="165" fontId="1" fillId="0" borderId="40" xfId="1" applyNumberFormat="1" applyBorder="1"/>
    <xf numFmtId="166" fontId="1" fillId="4" borderId="40" xfId="3" applyNumberFormat="1" applyFill="1" applyBorder="1" applyAlignment="1">
      <alignment horizontal="center"/>
    </xf>
    <xf numFmtId="166" fontId="1" fillId="0" borderId="40" xfId="3" applyNumberFormat="1" applyFill="1" applyBorder="1" applyAlignment="1">
      <alignment horizontal="center"/>
    </xf>
    <xf numFmtId="10" fontId="1" fillId="0" borderId="40" xfId="3" applyNumberFormat="1" applyFont="1" applyFill="1" applyBorder="1" applyAlignment="1">
      <alignment horizontal="center"/>
    </xf>
    <xf numFmtId="0" fontId="21" fillId="0" borderId="14" xfId="0" applyFont="1" applyBorder="1"/>
    <xf numFmtId="10" fontId="0" fillId="0" borderId="32" xfId="3" applyNumberFormat="1" applyFont="1" applyBorder="1"/>
    <xf numFmtId="10" fontId="0" fillId="0" borderId="33" xfId="3" applyNumberFormat="1" applyFont="1" applyBorder="1"/>
    <xf numFmtId="43" fontId="1" fillId="0" borderId="13" xfId="1" applyBorder="1" applyAlignment="1">
      <alignment horizontal="center"/>
    </xf>
    <xf numFmtId="165" fontId="1" fillId="0" borderId="13" xfId="1" applyNumberFormat="1" applyBorder="1" applyAlignment="1">
      <alignment horizontal="center"/>
    </xf>
    <xf numFmtId="167" fontId="1" fillId="0" borderId="13" xfId="1" applyNumberForma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37" xfId="0" applyFont="1" applyBorder="1"/>
    <xf numFmtId="0" fontId="14" fillId="0" borderId="39" xfId="0" applyFont="1" applyBorder="1"/>
    <xf numFmtId="0" fontId="0" fillId="0" borderId="40" xfId="0" applyBorder="1" applyAlignment="1">
      <alignment horizontal="center"/>
    </xf>
    <xf numFmtId="165" fontId="0" fillId="0" borderId="40" xfId="1" applyNumberFormat="1" applyFont="1" applyBorder="1"/>
    <xf numFmtId="0" fontId="0" fillId="3" borderId="43" xfId="0" applyFill="1" applyBorder="1"/>
    <xf numFmtId="165" fontId="0" fillId="0" borderId="44" xfId="1" applyNumberFormat="1" applyFont="1" applyBorder="1" applyAlignment="1">
      <alignment horizontal="center"/>
    </xf>
    <xf numFmtId="10" fontId="21" fillId="0" borderId="0" xfId="0" applyNumberFormat="1" applyFont="1" applyAlignment="1">
      <alignment horizontal="center"/>
    </xf>
    <xf numFmtId="0" fontId="22" fillId="0" borderId="0" xfId="0" quotePrefix="1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14" fillId="0" borderId="2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0" xfId="0" applyFont="1" applyAlignment="1">
      <alignment horizontal="center"/>
    </xf>
    <xf numFmtId="6" fontId="9" fillId="2" borderId="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 indent="10"/>
    </xf>
    <xf numFmtId="0" fontId="4" fillId="2" borderId="0" xfId="0" applyFont="1" applyFill="1" applyAlignment="1">
      <alignment horizontal="left" indent="10"/>
    </xf>
    <xf numFmtId="0" fontId="5" fillId="2" borderId="0" xfId="0" applyFont="1" applyFill="1" applyAlignment="1">
      <alignment horizontal="left" wrapText="1" indent="10"/>
    </xf>
    <xf numFmtId="164" fontId="5" fillId="2" borderId="0" xfId="0" applyNumberFormat="1" applyFont="1" applyFill="1" applyAlignment="1">
      <alignment horizontal="left" indent="10"/>
    </xf>
    <xf numFmtId="0" fontId="14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0" fillId="0" borderId="0" xfId="0" applyAlignment="1">
      <alignment horizontal="left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13" xfId="0" applyFont="1" applyBorder="1" applyAlignment="1">
      <alignment horizontal="left"/>
    </xf>
    <xf numFmtId="0" fontId="14" fillId="0" borderId="15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1025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0:I27"/>
  <sheetViews>
    <sheetView showGridLines="0" tabSelected="1" workbookViewId="0">
      <selection activeCell="M24" sqref="M24"/>
    </sheetView>
  </sheetViews>
  <sheetFormatPr defaultRowHeight="12.75"/>
  <cols>
    <col min="1" max="1" width="5" customWidth="1"/>
    <col min="9" max="9" width="47" customWidth="1"/>
  </cols>
  <sheetData>
    <row r="20" spans="2:9" ht="33.75">
      <c r="B20" s="188" t="s">
        <v>1</v>
      </c>
      <c r="C20" s="188"/>
      <c r="D20" s="188"/>
      <c r="E20" s="188"/>
      <c r="F20" s="188"/>
      <c r="G20" s="188"/>
      <c r="H20" s="188"/>
      <c r="I20" s="188"/>
    </row>
    <row r="21" spans="2:9" ht="33.75">
      <c r="B21" s="188" t="s">
        <v>139</v>
      </c>
      <c r="C21" s="188"/>
      <c r="D21" s="188"/>
      <c r="E21" s="188"/>
      <c r="F21" s="188"/>
      <c r="G21" s="188"/>
      <c r="H21" s="188"/>
      <c r="I21" s="188"/>
    </row>
    <row r="23" spans="2:9" ht="33.75">
      <c r="B23" s="188" t="s">
        <v>170</v>
      </c>
      <c r="C23" s="188"/>
      <c r="D23" s="188"/>
      <c r="E23" s="188"/>
      <c r="F23" s="188"/>
      <c r="G23" s="188"/>
      <c r="H23" s="188"/>
      <c r="I23" s="188"/>
    </row>
    <row r="24" spans="2:9" ht="33.75">
      <c r="B24" s="188"/>
      <c r="C24" s="188"/>
      <c r="D24" s="188"/>
      <c r="E24" s="188"/>
      <c r="F24" s="188"/>
      <c r="G24" s="188"/>
      <c r="H24" s="188"/>
      <c r="I24" s="188"/>
    </row>
    <row r="25" spans="2:9" ht="33.75">
      <c r="B25" s="187"/>
      <c r="C25" s="187"/>
      <c r="D25" s="187"/>
      <c r="E25" s="187"/>
      <c r="F25" s="187"/>
      <c r="G25" s="187"/>
      <c r="H25" s="187"/>
      <c r="I25" s="187"/>
    </row>
    <row r="26" spans="2:9" ht="33.75">
      <c r="B26" s="186"/>
      <c r="C26" s="185"/>
      <c r="D26" s="185"/>
      <c r="E26" s="185"/>
      <c r="F26" s="185"/>
      <c r="G26" s="185"/>
      <c r="H26" s="185"/>
      <c r="I26" s="185"/>
    </row>
    <row r="27" spans="2:9" ht="33.75">
      <c r="B27" s="185" t="s">
        <v>192</v>
      </c>
      <c r="C27" s="185"/>
      <c r="D27" s="185"/>
      <c r="E27" s="185"/>
      <c r="F27" s="185"/>
      <c r="G27" s="185"/>
      <c r="H27" s="185"/>
      <c r="I27" s="185"/>
    </row>
  </sheetData>
  <mergeCells count="7">
    <mergeCell ref="B27:I27"/>
    <mergeCell ref="B26:I26"/>
    <mergeCell ref="B25:I25"/>
    <mergeCell ref="B20:I20"/>
    <mergeCell ref="B21:I21"/>
    <mergeCell ref="B23:I23"/>
    <mergeCell ref="B24:I24"/>
  </mergeCells>
  <phoneticPr fontId="3" type="noConversion"/>
  <pageMargins left="0.75" right="0.75" top="1" bottom="1" header="0.5" footer="0.5"/>
  <pageSetup scale="78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9"/>
  <sheetViews>
    <sheetView showGridLines="0" workbookViewId="0">
      <selection activeCell="E17" sqref="E17"/>
    </sheetView>
  </sheetViews>
  <sheetFormatPr defaultRowHeight="12.75"/>
  <cols>
    <col min="1" max="1" width="4" customWidth="1"/>
    <col min="2" max="2" width="14.28515625" bestFit="1" customWidth="1"/>
    <col min="3" max="3" width="10.85546875" customWidth="1"/>
    <col min="4" max="4" width="12.28515625" bestFit="1" customWidth="1"/>
    <col min="6" max="6" width="12.140625" customWidth="1"/>
    <col min="7" max="7" width="12.7109375" customWidth="1"/>
    <col min="8" max="8" width="12" customWidth="1"/>
    <col min="9" max="9" width="10.28515625" bestFit="1" customWidth="1"/>
    <col min="10" max="11" width="11.28515625" bestFit="1" customWidth="1"/>
  </cols>
  <sheetData>
    <row r="2" spans="2:11" ht="15.75">
      <c r="B2" s="206" t="s">
        <v>168</v>
      </c>
      <c r="C2" s="206"/>
      <c r="D2" s="206"/>
      <c r="E2" s="206"/>
      <c r="F2" s="206"/>
      <c r="G2" s="206"/>
      <c r="H2" s="206"/>
      <c r="I2" s="206"/>
      <c r="J2" s="206"/>
      <c r="K2" s="206"/>
    </row>
    <row r="4" spans="2:11" ht="51">
      <c r="B4" s="142"/>
      <c r="C4" s="140" t="s">
        <v>115</v>
      </c>
      <c r="D4" s="140" t="s">
        <v>114</v>
      </c>
      <c r="E4" s="140" t="s">
        <v>158</v>
      </c>
      <c r="F4" s="140" t="s">
        <v>159</v>
      </c>
      <c r="G4" s="144" t="s">
        <v>185</v>
      </c>
      <c r="H4" s="140" t="s">
        <v>160</v>
      </c>
      <c r="I4" s="140" t="s">
        <v>161</v>
      </c>
      <c r="J4" s="140" t="s">
        <v>164</v>
      </c>
      <c r="K4" s="140" t="s">
        <v>162</v>
      </c>
    </row>
    <row r="5" spans="2:11">
      <c r="B5" s="77" t="s">
        <v>69</v>
      </c>
      <c r="C5" s="73">
        <f>'Allocated Revenues'!D8</f>
        <v>8039</v>
      </c>
      <c r="D5" s="73">
        <f>'Allocated Revenues'!E8</f>
        <v>106119297</v>
      </c>
      <c r="E5" s="74">
        <f>'Tariff Sheet'!K7</f>
        <v>21.286100000000005</v>
      </c>
      <c r="F5" s="75">
        <f>'Tariff Sheet'!K8</f>
        <v>2.99145E-2</v>
      </c>
      <c r="G5" s="73">
        <f>C5*E5*12</f>
        <v>2053427.4948000005</v>
      </c>
      <c r="H5" s="73">
        <f>D5*F5</f>
        <v>3174505.7101065</v>
      </c>
      <c r="I5" s="76">
        <f>G5+H5</f>
        <v>5227933.2049065009</v>
      </c>
      <c r="J5" s="77"/>
      <c r="K5" s="77"/>
    </row>
    <row r="6" spans="2:11">
      <c r="B6" s="77" t="s">
        <v>70</v>
      </c>
      <c r="C6" s="73">
        <f>'Allocated Revenues'!D9</f>
        <v>48</v>
      </c>
      <c r="D6" s="73">
        <f>'Allocated Revenues'!F29</f>
        <v>151952</v>
      </c>
      <c r="E6" s="74">
        <f>'Tariff Sheet'!K11</f>
        <v>596.12</v>
      </c>
      <c r="F6" s="75">
        <f>'Tariff Sheet'!K12</f>
        <v>2.6573686562072241</v>
      </c>
      <c r="G6" s="73">
        <f>C6*E6*12</f>
        <v>343365.12</v>
      </c>
      <c r="H6" s="73">
        <f>D6*F6</f>
        <v>403792.48204800009</v>
      </c>
      <c r="I6" s="76">
        <f t="shared" ref="I6:I8" si="0">G6+H6</f>
        <v>747157.60204800009</v>
      </c>
      <c r="J6" s="77"/>
      <c r="K6" s="77"/>
    </row>
    <row r="7" spans="2:11">
      <c r="B7" s="77" t="s">
        <v>16</v>
      </c>
      <c r="C7" s="73">
        <f>'Allocated Revenues'!D10</f>
        <v>3660</v>
      </c>
      <c r="D7" s="73">
        <f>'Allocated Revenues'!E10</f>
        <v>12622297</v>
      </c>
      <c r="E7" s="74">
        <f>'Tariff Sheet'!K15</f>
        <v>25.853414612360648</v>
      </c>
      <c r="F7" s="75">
        <f>'Tariff Sheet'!K16</f>
        <v>9.9427733925601655E-2</v>
      </c>
      <c r="G7" s="73">
        <f>C7*E7*12</f>
        <v>1135481.9697748797</v>
      </c>
      <c r="H7" s="73">
        <f>D7*F7</f>
        <v>1255006.38764592</v>
      </c>
      <c r="I7" s="76">
        <f t="shared" si="0"/>
        <v>2390488.3574207998</v>
      </c>
      <c r="J7" s="77"/>
      <c r="K7" s="77"/>
    </row>
    <row r="8" spans="2:11">
      <c r="B8" s="77" t="s">
        <v>71</v>
      </c>
      <c r="C8" s="73">
        <f>'Allocated Revenues'!D11</f>
        <v>1052</v>
      </c>
      <c r="D8" s="73">
        <f>'Allocated Revenues'!E11</f>
        <v>791996</v>
      </c>
      <c r="E8" s="74">
        <f>'Tariff Sheet'!K19</f>
        <v>0.96767999999999998</v>
      </c>
      <c r="F8" s="75">
        <f>'Tariff Sheet'!K20</f>
        <v>0.18151105501359072</v>
      </c>
      <c r="G8" s="73">
        <f>C8*E8*12</f>
        <v>12215.992320000001</v>
      </c>
      <c r="H8" s="73">
        <f>D8*F8</f>
        <v>143756.0295265438</v>
      </c>
      <c r="I8" s="76">
        <f t="shared" si="0"/>
        <v>155972.02184654379</v>
      </c>
      <c r="J8" s="77"/>
      <c r="K8" s="77"/>
    </row>
    <row r="9" spans="2:11">
      <c r="B9" s="77"/>
      <c r="C9" s="77"/>
      <c r="D9" s="77"/>
      <c r="E9" s="77"/>
      <c r="F9" s="77"/>
      <c r="G9" s="76">
        <f>SUM(G5:G8)</f>
        <v>3544490.5768948803</v>
      </c>
      <c r="H9" s="76">
        <f>SUM(H5:H8)</f>
        <v>4977060.6093269642</v>
      </c>
      <c r="I9" s="76">
        <f>SUM(I5:I8)</f>
        <v>8521551.1862218454</v>
      </c>
      <c r="J9" s="76">
        <f>'Tariff Sheet'!K22</f>
        <v>11465809.661778154</v>
      </c>
      <c r="K9" s="139">
        <f>J9+I9</f>
        <v>19987360.847999997</v>
      </c>
    </row>
  </sheetData>
  <mergeCells count="1">
    <mergeCell ref="B2:K2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25"/>
  <sheetViews>
    <sheetView showGridLines="0" workbookViewId="0">
      <selection activeCell="B30" sqref="B30"/>
    </sheetView>
  </sheetViews>
  <sheetFormatPr defaultRowHeight="12.75"/>
  <cols>
    <col min="1" max="1" width="3.42578125" customWidth="1"/>
    <col min="2" max="2" width="40.140625" customWidth="1"/>
    <col min="3" max="3" width="6.42578125" style="67" bestFit="1" customWidth="1"/>
    <col min="4" max="4" width="11" bestFit="1" customWidth="1"/>
    <col min="5" max="5" width="2.85546875" customWidth="1"/>
    <col min="6" max="6" width="5" customWidth="1"/>
    <col min="7" max="7" width="12.28515625" customWidth="1"/>
    <col min="8" max="8" width="9.28515625" customWidth="1"/>
    <col min="9" max="9" width="3.5703125" customWidth="1"/>
    <col min="10" max="10" width="6.28515625" customWidth="1"/>
    <col min="11" max="11" width="11.28515625" bestFit="1" customWidth="1"/>
    <col min="12" max="12" width="10.140625" customWidth="1"/>
  </cols>
  <sheetData>
    <row r="1" spans="2:12" ht="13.5" thickBot="1"/>
    <row r="2" spans="2:12" ht="15.75">
      <c r="B2" s="189" t="s">
        <v>119</v>
      </c>
      <c r="C2" s="190"/>
      <c r="D2" s="190"/>
      <c r="E2" s="191"/>
      <c r="F2" s="202" t="s">
        <v>156</v>
      </c>
      <c r="G2" s="202"/>
      <c r="H2" s="203"/>
      <c r="J2" s="189" t="s">
        <v>186</v>
      </c>
      <c r="K2" s="190"/>
      <c r="L2" s="195"/>
    </row>
    <row r="3" spans="2:12" ht="15.75">
      <c r="B3" s="175"/>
      <c r="C3" s="173"/>
      <c r="D3" s="173"/>
      <c r="E3" s="174"/>
      <c r="F3" s="200" t="s">
        <v>140</v>
      </c>
      <c r="G3" s="193"/>
      <c r="H3" s="196"/>
      <c r="J3" s="192" t="s">
        <v>122</v>
      </c>
      <c r="K3" s="193"/>
      <c r="L3" s="196"/>
    </row>
    <row r="4" spans="2:12" ht="15.75">
      <c r="B4" s="192" t="s">
        <v>121</v>
      </c>
      <c r="C4" s="193"/>
      <c r="D4" s="193"/>
      <c r="E4" s="194"/>
      <c r="F4" s="204" t="s">
        <v>121</v>
      </c>
      <c r="G4" s="204"/>
      <c r="H4" s="205"/>
      <c r="J4" s="192" t="s">
        <v>121</v>
      </c>
      <c r="K4" s="193"/>
      <c r="L4" s="196"/>
    </row>
    <row r="5" spans="2:12" ht="38.25">
      <c r="B5" s="178" t="s">
        <v>94</v>
      </c>
      <c r="C5" s="177" t="s">
        <v>81</v>
      </c>
      <c r="D5" s="144" t="s">
        <v>120</v>
      </c>
      <c r="E5" s="134"/>
      <c r="F5" s="201" t="s">
        <v>157</v>
      </c>
      <c r="G5" s="198"/>
      <c r="H5" s="199"/>
      <c r="J5" s="197" t="s">
        <v>155</v>
      </c>
      <c r="K5" s="198"/>
      <c r="L5" s="199"/>
    </row>
    <row r="6" spans="2:12">
      <c r="B6" s="178" t="s">
        <v>69</v>
      </c>
      <c r="C6" s="71"/>
      <c r="D6" s="77"/>
      <c r="E6" s="131"/>
      <c r="F6" s="135"/>
      <c r="G6" s="136"/>
      <c r="H6" s="127"/>
      <c r="J6" s="126"/>
      <c r="K6" s="120"/>
      <c r="L6" s="127"/>
    </row>
    <row r="7" spans="2:12">
      <c r="B7" s="149" t="s">
        <v>85</v>
      </c>
      <c r="C7" s="71" t="s">
        <v>95</v>
      </c>
      <c r="D7" s="74">
        <v>20.41</v>
      </c>
      <c r="E7" s="132"/>
      <c r="F7" s="138"/>
      <c r="G7" s="122">
        <v>20.92</v>
      </c>
      <c r="H7" s="127"/>
      <c r="J7" s="124"/>
      <c r="K7" s="119">
        <f>'2012 RRRP Rate Design'!I16</f>
        <v>21.286100000000005</v>
      </c>
      <c r="L7" s="125"/>
    </row>
    <row r="8" spans="2:12">
      <c r="B8" s="149" t="s">
        <v>96</v>
      </c>
      <c r="C8" s="71" t="s">
        <v>97</v>
      </c>
      <c r="D8" s="75">
        <v>2.87E-2</v>
      </c>
      <c r="E8" s="133"/>
      <c r="F8" s="138"/>
      <c r="G8" s="121">
        <v>2.9399999999999999E-2</v>
      </c>
      <c r="H8" s="127"/>
      <c r="J8" s="126"/>
      <c r="K8" s="121">
        <f>'2012 RRRP Rate Design'!J16</f>
        <v>2.99145E-2</v>
      </c>
      <c r="L8" s="127"/>
    </row>
    <row r="9" spans="2:12">
      <c r="B9" s="149"/>
      <c r="C9" s="71"/>
      <c r="D9" s="77"/>
      <c r="E9" s="131"/>
      <c r="F9" s="135"/>
      <c r="G9" s="120"/>
      <c r="H9" s="127"/>
      <c r="J9" s="126"/>
      <c r="K9" s="120"/>
      <c r="L9" s="127"/>
    </row>
    <row r="10" spans="2:12">
      <c r="B10" s="178" t="s">
        <v>70</v>
      </c>
      <c r="C10" s="71"/>
      <c r="D10" s="77"/>
      <c r="E10" s="131"/>
      <c r="F10" s="135"/>
      <c r="G10" s="120"/>
      <c r="H10" s="127"/>
      <c r="J10" s="126"/>
      <c r="K10" s="120"/>
      <c r="L10" s="127"/>
    </row>
    <row r="11" spans="2:12">
      <c r="B11" s="149" t="s">
        <v>85</v>
      </c>
      <c r="C11" s="71" t="s">
        <v>95</v>
      </c>
      <c r="D11" s="74">
        <v>596.12</v>
      </c>
      <c r="E11" s="132"/>
      <c r="F11" s="138"/>
      <c r="G11" s="123">
        <v>596.12</v>
      </c>
      <c r="H11" s="127"/>
      <c r="J11" s="126"/>
      <c r="K11" s="122">
        <f>'2012 RRRP Rate Design'!I18</f>
        <v>596.12</v>
      </c>
      <c r="L11" s="127"/>
    </row>
    <row r="12" spans="2:12">
      <c r="B12" s="149" t="s">
        <v>96</v>
      </c>
      <c r="C12" s="71" t="s">
        <v>98</v>
      </c>
      <c r="D12" s="75">
        <v>2.4548999999999999</v>
      </c>
      <c r="E12" s="133"/>
      <c r="F12" s="138"/>
      <c r="G12" s="121">
        <v>2.5728</v>
      </c>
      <c r="H12" s="127"/>
      <c r="J12" s="126"/>
      <c r="K12" s="121">
        <f>'2012 RRRP Rate Design'!J18</f>
        <v>2.6573686562072241</v>
      </c>
      <c r="L12" s="127"/>
    </row>
    <row r="13" spans="2:12">
      <c r="B13" s="149"/>
      <c r="C13" s="71"/>
      <c r="D13" s="77"/>
      <c r="E13" s="131"/>
      <c r="F13" s="135"/>
      <c r="G13" s="120"/>
      <c r="H13" s="127"/>
      <c r="J13" s="126"/>
      <c r="K13" s="120"/>
      <c r="L13" s="127"/>
    </row>
    <row r="14" spans="2:12">
      <c r="B14" s="178" t="s">
        <v>16</v>
      </c>
      <c r="C14" s="71"/>
      <c r="D14" s="77"/>
      <c r="E14" s="131"/>
      <c r="F14" s="135"/>
      <c r="G14" s="120"/>
      <c r="H14" s="127"/>
      <c r="J14" s="126"/>
      <c r="K14" s="120"/>
      <c r="L14" s="127"/>
    </row>
    <row r="15" spans="2:12">
      <c r="B15" s="149" t="s">
        <v>85</v>
      </c>
      <c r="C15" s="71" t="s">
        <v>95</v>
      </c>
      <c r="D15" s="74">
        <v>24</v>
      </c>
      <c r="E15" s="132"/>
      <c r="F15" s="138"/>
      <c r="G15" s="123">
        <v>26.07</v>
      </c>
      <c r="H15" s="127"/>
      <c r="J15" s="126"/>
      <c r="K15" s="123">
        <f>'2012 Non-RRRP Rate Design'!I7</f>
        <v>25.853414612360648</v>
      </c>
      <c r="L15" s="127"/>
    </row>
    <row r="16" spans="2:12">
      <c r="B16" s="149" t="s">
        <v>96</v>
      </c>
      <c r="C16" s="71" t="s">
        <v>97</v>
      </c>
      <c r="D16" s="75">
        <v>7.0000000000000007E-2</v>
      </c>
      <c r="E16" s="133"/>
      <c r="F16" s="138"/>
      <c r="G16" s="121">
        <v>0.10009999999999999</v>
      </c>
      <c r="H16" s="127"/>
      <c r="J16" s="126"/>
      <c r="K16" s="121">
        <f>'2012 Non-RRRP Rate Design'!J7</f>
        <v>9.9427733925601655E-2</v>
      </c>
      <c r="L16" s="127"/>
    </row>
    <row r="17" spans="2:12">
      <c r="B17" s="149"/>
      <c r="C17" s="71"/>
      <c r="D17" s="77"/>
      <c r="E17" s="131"/>
      <c r="F17" s="135"/>
      <c r="G17" s="120"/>
      <c r="H17" s="127"/>
      <c r="J17" s="126"/>
      <c r="K17" s="120"/>
      <c r="L17" s="127"/>
    </row>
    <row r="18" spans="2:12">
      <c r="B18" s="178" t="s">
        <v>71</v>
      </c>
      <c r="C18" s="71"/>
      <c r="D18" s="77"/>
      <c r="E18" s="131"/>
      <c r="F18" s="135"/>
      <c r="G18" s="120"/>
      <c r="H18" s="127"/>
      <c r="J18" s="126"/>
      <c r="K18" s="120"/>
      <c r="L18" s="127"/>
    </row>
    <row r="19" spans="2:12" ht="14.25">
      <c r="B19" s="149" t="s">
        <v>147</v>
      </c>
      <c r="C19" s="71" t="s">
        <v>95</v>
      </c>
      <c r="D19" s="74">
        <v>0</v>
      </c>
      <c r="E19" s="132"/>
      <c r="F19" s="138"/>
      <c r="G19" s="123">
        <v>0.96</v>
      </c>
      <c r="H19" s="127"/>
      <c r="J19" s="126"/>
      <c r="K19" s="123">
        <f>'2012 Non-RRRP Rate Design'!I9</f>
        <v>0.96767999999999998</v>
      </c>
      <c r="L19" s="127"/>
    </row>
    <row r="20" spans="2:12">
      <c r="B20" s="149" t="s">
        <v>96</v>
      </c>
      <c r="C20" s="71" t="s">
        <v>97</v>
      </c>
      <c r="D20" s="75">
        <v>4.9599999999999998E-2</v>
      </c>
      <c r="E20" s="133"/>
      <c r="F20" s="138"/>
      <c r="G20" s="121">
        <v>0.1537</v>
      </c>
      <c r="H20" s="127"/>
      <c r="J20" s="126"/>
      <c r="K20" s="121">
        <f>'2012 Non-RRRP Rate Design'!J9</f>
        <v>0.18151105501359072</v>
      </c>
      <c r="L20" s="127"/>
    </row>
    <row r="21" spans="2:12" ht="12" customHeight="1">
      <c r="B21" s="149"/>
      <c r="C21" s="71"/>
      <c r="D21" s="77"/>
      <c r="E21" s="131"/>
      <c r="F21" s="135"/>
      <c r="G21" s="120"/>
      <c r="H21" s="127"/>
      <c r="J21" s="126"/>
      <c r="K21" s="120"/>
      <c r="L21" s="127"/>
    </row>
    <row r="22" spans="2:12" ht="13.5" thickBot="1">
      <c r="B22" s="179" t="s">
        <v>123</v>
      </c>
      <c r="C22" s="180" t="s">
        <v>95</v>
      </c>
      <c r="D22" s="181">
        <v>8861800</v>
      </c>
      <c r="E22" s="182"/>
      <c r="F22" s="183"/>
      <c r="G22" s="129">
        <v>11411951</v>
      </c>
      <c r="H22" s="130"/>
      <c r="J22" s="128"/>
      <c r="K22" s="129">
        <f>'2012 RRRP Rate Design'!M21</f>
        <v>11465809.661778154</v>
      </c>
      <c r="L22" s="130"/>
    </row>
    <row r="24" spans="2:12">
      <c r="H24" s="85"/>
    </row>
    <row r="25" spans="2:12">
      <c r="B25" s="113"/>
      <c r="H25" s="114"/>
    </row>
  </sheetData>
  <mergeCells count="10">
    <mergeCell ref="B2:E2"/>
    <mergeCell ref="B4:E4"/>
    <mergeCell ref="J2:L2"/>
    <mergeCell ref="J4:L4"/>
    <mergeCell ref="J5:L5"/>
    <mergeCell ref="J3:L3"/>
    <mergeCell ref="F3:H3"/>
    <mergeCell ref="F5:H5"/>
    <mergeCell ref="F2:H2"/>
    <mergeCell ref="F4:H4"/>
  </mergeCells>
  <phoneticPr fontId="3" type="noConversion"/>
  <pageMargins left="0.75" right="0.75" top="1" bottom="1" header="0.5" footer="0.5"/>
  <pageSetup scale="7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showGridLines="0" workbookViewId="0">
      <selection activeCell="D6" sqref="D6"/>
    </sheetView>
  </sheetViews>
  <sheetFormatPr defaultRowHeight="12.75"/>
  <cols>
    <col min="1" max="1" width="35.5703125" bestFit="1" customWidth="1"/>
    <col min="2" max="11" width="12.28515625" bestFit="1" customWidth="1"/>
  </cols>
  <sheetData>
    <row r="1" spans="1:11" ht="15.75">
      <c r="A1" s="200" t="s">
        <v>165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ht="25.5">
      <c r="A2" s="77"/>
      <c r="B2" s="68">
        <v>2003</v>
      </c>
      <c r="C2" s="68">
        <v>2004</v>
      </c>
      <c r="D2" s="68">
        <v>2005</v>
      </c>
      <c r="E2" s="68">
        <v>2006</v>
      </c>
      <c r="F2" s="69" t="s">
        <v>124</v>
      </c>
      <c r="G2" s="69">
        <v>2007</v>
      </c>
      <c r="H2" s="69">
        <v>2008</v>
      </c>
      <c r="I2" s="99">
        <v>2009</v>
      </c>
      <c r="J2" s="99" t="s">
        <v>99</v>
      </c>
      <c r="K2" s="99" t="s">
        <v>100</v>
      </c>
    </row>
    <row r="3" spans="1:11">
      <c r="A3" s="70" t="s">
        <v>5</v>
      </c>
      <c r="B3" s="77"/>
      <c r="C3" s="77"/>
      <c r="D3" s="77"/>
      <c r="E3" s="77"/>
      <c r="F3" s="77"/>
      <c r="G3" s="77"/>
      <c r="H3" s="77"/>
      <c r="I3" s="100"/>
      <c r="J3" s="100"/>
      <c r="K3" s="77"/>
    </row>
    <row r="4" spans="1:11">
      <c r="A4" s="77" t="s">
        <v>101</v>
      </c>
      <c r="B4" s="73">
        <v>7837</v>
      </c>
      <c r="C4" s="73">
        <v>7763</v>
      </c>
      <c r="D4" s="73">
        <v>7758</v>
      </c>
      <c r="E4" s="73">
        <v>7740</v>
      </c>
      <c r="F4" s="73">
        <v>7740</v>
      </c>
      <c r="G4" s="73">
        <v>7814.5</v>
      </c>
      <c r="H4" s="73">
        <v>7923</v>
      </c>
      <c r="I4" s="101">
        <v>7997</v>
      </c>
      <c r="J4" s="101">
        <v>8024</v>
      </c>
      <c r="K4" s="101">
        <v>8049</v>
      </c>
    </row>
    <row r="5" spans="1:11">
      <c r="A5" s="77" t="s">
        <v>102</v>
      </c>
      <c r="B5" s="73"/>
      <c r="C5" s="73">
        <v>-74</v>
      </c>
      <c r="D5" s="73">
        <v>-5</v>
      </c>
      <c r="E5" s="73">
        <v>-18</v>
      </c>
      <c r="F5" s="73"/>
      <c r="G5" s="73">
        <v>74.5</v>
      </c>
      <c r="H5" s="73">
        <v>108.5</v>
      </c>
      <c r="I5" s="101">
        <v>74</v>
      </c>
      <c r="J5" s="101">
        <v>27</v>
      </c>
      <c r="K5" s="101">
        <v>25</v>
      </c>
    </row>
    <row r="6" spans="1:11">
      <c r="A6" s="77" t="s">
        <v>103</v>
      </c>
      <c r="B6" s="73">
        <v>108693027</v>
      </c>
      <c r="C6" s="73">
        <v>105879912</v>
      </c>
      <c r="D6" s="73">
        <v>103661767</v>
      </c>
      <c r="E6" s="73">
        <v>99478516</v>
      </c>
      <c r="F6" s="73">
        <v>104428305.5</v>
      </c>
      <c r="G6" s="73">
        <v>100674579</v>
      </c>
      <c r="H6" s="73">
        <v>103691076</v>
      </c>
      <c r="I6" s="101">
        <v>103761012</v>
      </c>
      <c r="J6" s="101"/>
      <c r="K6" s="77"/>
    </row>
    <row r="7" spans="1:11">
      <c r="A7" s="77" t="s">
        <v>104</v>
      </c>
      <c r="B7" s="73"/>
      <c r="C7" s="73"/>
      <c r="D7" s="73"/>
      <c r="E7" s="73"/>
      <c r="F7" s="73"/>
      <c r="G7" s="73"/>
      <c r="H7" s="73"/>
      <c r="I7" s="101">
        <v>103317932</v>
      </c>
      <c r="J7" s="101">
        <v>104754767</v>
      </c>
      <c r="K7" s="101">
        <v>106119297</v>
      </c>
    </row>
    <row r="8" spans="1:11">
      <c r="A8" s="77" t="s">
        <v>105</v>
      </c>
      <c r="B8" s="73">
        <v>13869.213602143678</v>
      </c>
      <c r="C8" s="73">
        <v>13639.045729743655</v>
      </c>
      <c r="D8" s="73">
        <v>13361.918922402681</v>
      </c>
      <c r="E8" s="73">
        <v>12852.521447028425</v>
      </c>
      <c r="F8" s="73">
        <v>13492.029134366925</v>
      </c>
      <c r="G8" s="73">
        <v>12883.048051698765</v>
      </c>
      <c r="H8" s="73">
        <v>13087.350246118895</v>
      </c>
      <c r="I8" s="101">
        <v>12974.992122045767</v>
      </c>
      <c r="J8" s="101"/>
      <c r="K8" s="77"/>
    </row>
    <row r="9" spans="1:11">
      <c r="A9" s="77" t="s">
        <v>106</v>
      </c>
      <c r="B9" s="73"/>
      <c r="C9" s="73"/>
      <c r="D9" s="73"/>
      <c r="E9" s="73"/>
      <c r="F9" s="73"/>
      <c r="G9" s="73"/>
      <c r="H9" s="73"/>
      <c r="I9" s="101">
        <v>12919.58634487933</v>
      </c>
      <c r="J9" s="101">
        <v>13055.180333998005</v>
      </c>
      <c r="K9" s="101">
        <v>13184.159150204994</v>
      </c>
    </row>
    <row r="10" spans="1:11">
      <c r="A10" s="77"/>
      <c r="B10" s="73"/>
      <c r="C10" s="73"/>
      <c r="D10" s="73"/>
      <c r="E10" s="73"/>
      <c r="F10" s="73"/>
      <c r="G10" s="73"/>
      <c r="H10" s="73"/>
      <c r="I10" s="101"/>
      <c r="J10" s="101"/>
      <c r="K10" s="101"/>
    </row>
    <row r="11" spans="1:11">
      <c r="A11" s="70" t="s">
        <v>16</v>
      </c>
      <c r="B11" s="73"/>
      <c r="C11" s="73"/>
      <c r="D11" s="73"/>
      <c r="E11" s="73"/>
      <c r="F11" s="73"/>
      <c r="G11" s="73"/>
      <c r="H11" s="73"/>
      <c r="I11" s="101"/>
      <c r="J11" s="101"/>
      <c r="K11" s="77"/>
    </row>
    <row r="12" spans="1:11">
      <c r="A12" s="77" t="s">
        <v>101</v>
      </c>
      <c r="B12" s="73">
        <v>3577</v>
      </c>
      <c r="C12" s="73">
        <v>3646</v>
      </c>
      <c r="D12" s="73">
        <v>3652</v>
      </c>
      <c r="E12" s="73">
        <v>3707</v>
      </c>
      <c r="F12" s="73">
        <v>3707</v>
      </c>
      <c r="G12" s="73">
        <v>3717.5</v>
      </c>
      <c r="H12" s="73">
        <v>3688</v>
      </c>
      <c r="I12" s="101">
        <v>3643</v>
      </c>
      <c r="J12" s="101">
        <v>3654</v>
      </c>
      <c r="K12" s="101">
        <v>3665</v>
      </c>
    </row>
    <row r="13" spans="1:11">
      <c r="A13" s="77" t="s">
        <v>102</v>
      </c>
      <c r="B13" s="73"/>
      <c r="C13" s="73">
        <v>69</v>
      </c>
      <c r="D13" s="73">
        <v>6</v>
      </c>
      <c r="E13" s="73">
        <v>55</v>
      </c>
      <c r="F13" s="73"/>
      <c r="G13" s="73">
        <v>10.5</v>
      </c>
      <c r="H13" s="73">
        <v>-29.5</v>
      </c>
      <c r="I13" s="101">
        <v>-45</v>
      </c>
      <c r="J13" s="101">
        <v>11</v>
      </c>
      <c r="K13" s="101">
        <v>11</v>
      </c>
    </row>
    <row r="14" spans="1:11">
      <c r="A14" s="77" t="s">
        <v>103</v>
      </c>
      <c r="B14" s="73">
        <v>11867258</v>
      </c>
      <c r="C14" s="73">
        <v>11692754</v>
      </c>
      <c r="D14" s="73">
        <v>11678117</v>
      </c>
      <c r="E14" s="73">
        <v>11746043</v>
      </c>
      <c r="F14" s="73">
        <v>11746043</v>
      </c>
      <c r="G14" s="73">
        <v>11665350.75</v>
      </c>
      <c r="H14" s="73">
        <v>11591418</v>
      </c>
      <c r="I14" s="101">
        <v>12341792</v>
      </c>
      <c r="J14" s="101"/>
      <c r="K14" s="77"/>
    </row>
    <row r="15" spans="1:11">
      <c r="A15" s="77" t="s">
        <v>104</v>
      </c>
      <c r="B15" s="73"/>
      <c r="C15" s="73"/>
      <c r="D15" s="73"/>
      <c r="E15" s="73"/>
      <c r="F15" s="73"/>
      <c r="G15" s="73"/>
      <c r="H15" s="73"/>
      <c r="I15" s="101">
        <v>12289090</v>
      </c>
      <c r="J15" s="101">
        <v>12459994</v>
      </c>
      <c r="K15" s="101">
        <v>12622297</v>
      </c>
    </row>
    <row r="16" spans="1:11">
      <c r="A16" s="77" t="s">
        <v>105</v>
      </c>
      <c r="B16" s="73">
        <v>3317.6566955549342</v>
      </c>
      <c r="C16" s="73">
        <v>3207.0087767416348</v>
      </c>
      <c r="D16" s="73">
        <v>3197.7319277108436</v>
      </c>
      <c r="E16" s="73">
        <v>3168.6115457243054</v>
      </c>
      <c r="F16" s="73">
        <v>3168.6115457243054</v>
      </c>
      <c r="G16" s="73">
        <v>3137.9558170813721</v>
      </c>
      <c r="H16" s="73">
        <v>3143.0092190889372</v>
      </c>
      <c r="I16" s="101">
        <v>3387.8100466648366</v>
      </c>
      <c r="J16" s="101"/>
      <c r="K16" s="77"/>
    </row>
    <row r="17" spans="1:11">
      <c r="A17" s="77" t="s">
        <v>106</v>
      </c>
      <c r="B17" s="73"/>
      <c r="C17" s="73"/>
      <c r="D17" s="73"/>
      <c r="E17" s="73"/>
      <c r="F17" s="73"/>
      <c r="G17" s="73"/>
      <c r="H17" s="73"/>
      <c r="I17" s="101">
        <v>3373.343398298106</v>
      </c>
      <c r="J17" s="101">
        <v>3409.9600437876302</v>
      </c>
      <c r="K17" s="101">
        <v>3444.0100954979534</v>
      </c>
    </row>
    <row r="18" spans="1:11">
      <c r="A18" s="77"/>
      <c r="B18" s="73"/>
      <c r="C18" s="73"/>
      <c r="D18" s="73"/>
      <c r="E18" s="73"/>
      <c r="F18" s="73"/>
      <c r="G18" s="73"/>
      <c r="H18" s="73"/>
      <c r="I18" s="101"/>
      <c r="J18" s="101"/>
      <c r="K18" s="77"/>
    </row>
    <row r="19" spans="1:11">
      <c r="A19" s="102" t="s">
        <v>70</v>
      </c>
      <c r="B19" s="101"/>
      <c r="C19" s="101"/>
      <c r="D19" s="101"/>
      <c r="E19" s="101"/>
      <c r="F19" s="101"/>
      <c r="G19" s="101"/>
      <c r="H19" s="101"/>
      <c r="I19" s="101"/>
      <c r="J19" s="101"/>
      <c r="K19" s="77"/>
    </row>
    <row r="20" spans="1:11">
      <c r="A20" s="100" t="s">
        <v>101</v>
      </c>
      <c r="B20" s="101">
        <v>49</v>
      </c>
      <c r="C20" s="101">
        <v>49</v>
      </c>
      <c r="D20" s="101">
        <v>47</v>
      </c>
      <c r="E20" s="101">
        <v>45</v>
      </c>
      <c r="F20" s="101">
        <v>47</v>
      </c>
      <c r="G20" s="101">
        <v>47</v>
      </c>
      <c r="H20" s="101">
        <v>48</v>
      </c>
      <c r="I20" s="101">
        <v>48</v>
      </c>
      <c r="J20" s="101">
        <v>48</v>
      </c>
      <c r="K20" s="101">
        <v>48</v>
      </c>
    </row>
    <row r="21" spans="1:11">
      <c r="A21" s="100" t="s">
        <v>103</v>
      </c>
      <c r="B21" s="101"/>
      <c r="C21" s="101">
        <v>30337868</v>
      </c>
      <c r="D21" s="101">
        <v>66360103</v>
      </c>
      <c r="E21" s="101">
        <v>68290099</v>
      </c>
      <c r="F21" s="101">
        <v>50139889</v>
      </c>
      <c r="G21" s="101">
        <v>75340938</v>
      </c>
      <c r="H21" s="101">
        <v>66017652</v>
      </c>
      <c r="I21" s="101">
        <v>69931763</v>
      </c>
      <c r="J21" s="101"/>
      <c r="K21" s="77"/>
    </row>
    <row r="22" spans="1:11">
      <c r="A22" s="100" t="s">
        <v>107</v>
      </c>
      <c r="B22" s="101"/>
      <c r="C22" s="101">
        <v>163453</v>
      </c>
      <c r="D22" s="101">
        <v>182693</v>
      </c>
      <c r="E22" s="101">
        <v>180802</v>
      </c>
      <c r="F22" s="101">
        <v>197392</v>
      </c>
      <c r="G22" s="101">
        <v>191492</v>
      </c>
      <c r="H22" s="101">
        <v>159280</v>
      </c>
      <c r="I22" s="101">
        <v>150499</v>
      </c>
      <c r="J22" s="101"/>
      <c r="K22" s="77"/>
    </row>
    <row r="23" spans="1:11">
      <c r="A23" s="100" t="s">
        <v>104</v>
      </c>
      <c r="B23" s="101"/>
      <c r="C23" s="101"/>
      <c r="D23" s="101"/>
      <c r="E23" s="101"/>
      <c r="F23" s="101"/>
      <c r="G23" s="101"/>
      <c r="H23" s="101"/>
      <c r="I23" s="101">
        <v>69808980</v>
      </c>
      <c r="J23" s="101">
        <v>70228773</v>
      </c>
      <c r="K23" s="101">
        <v>70606900</v>
      </c>
    </row>
    <row r="24" spans="1:11">
      <c r="A24" s="100" t="s">
        <v>108</v>
      </c>
      <c r="B24" s="101"/>
      <c r="C24" s="101"/>
      <c r="D24" s="101"/>
      <c r="E24" s="101"/>
      <c r="F24" s="101"/>
      <c r="G24" s="101"/>
      <c r="H24" s="101"/>
      <c r="I24" s="101">
        <v>150235</v>
      </c>
      <c r="J24" s="101">
        <v>151138</v>
      </c>
      <c r="K24" s="101">
        <v>151952</v>
      </c>
    </row>
    <row r="25" spans="1:11">
      <c r="A25" s="77" t="s">
        <v>105</v>
      </c>
      <c r="B25" s="101"/>
      <c r="C25" s="101">
        <v>619140.16326530615</v>
      </c>
      <c r="D25" s="101">
        <v>1411917.0851063831</v>
      </c>
      <c r="E25" s="101">
        <v>1517557.7555555555</v>
      </c>
      <c r="F25" s="101">
        <v>1066806.1489361702</v>
      </c>
      <c r="G25" s="101">
        <v>1602998.6808510639</v>
      </c>
      <c r="H25" s="101">
        <v>1375367.75</v>
      </c>
      <c r="I25" s="101">
        <v>1456911.7291666667</v>
      </c>
      <c r="J25" s="101"/>
      <c r="K25" s="101"/>
    </row>
    <row r="26" spans="1:11">
      <c r="A26" s="77" t="s">
        <v>109</v>
      </c>
      <c r="B26" s="101"/>
      <c r="C26" s="101">
        <v>3335.7755102040815</v>
      </c>
      <c r="D26" s="101">
        <v>3887.0851063829787</v>
      </c>
      <c r="E26" s="101">
        <v>4017.8222222222221</v>
      </c>
      <c r="F26" s="101">
        <v>4199.8297872340427</v>
      </c>
      <c r="G26" s="101">
        <v>4074.2978723404253</v>
      </c>
      <c r="H26" s="101">
        <v>3318.3333333333335</v>
      </c>
      <c r="I26" s="101">
        <v>3135.3958333333335</v>
      </c>
      <c r="J26" s="101"/>
      <c r="K26" s="101"/>
    </row>
    <row r="27" spans="1:11">
      <c r="A27" s="77" t="s">
        <v>106</v>
      </c>
      <c r="B27" s="101"/>
      <c r="C27" s="101"/>
      <c r="D27" s="101"/>
      <c r="E27" s="101"/>
      <c r="F27" s="101"/>
      <c r="G27" s="101"/>
      <c r="H27" s="101"/>
      <c r="I27" s="101">
        <v>1454353.75</v>
      </c>
      <c r="J27" s="101">
        <v>1463099.4375</v>
      </c>
      <c r="K27" s="101">
        <v>1470977.0833333333</v>
      </c>
    </row>
    <row r="28" spans="1:11">
      <c r="A28" s="77" t="s">
        <v>110</v>
      </c>
      <c r="B28" s="101"/>
      <c r="C28" s="101"/>
      <c r="D28" s="101"/>
      <c r="E28" s="101"/>
      <c r="F28" s="101"/>
      <c r="G28" s="101"/>
      <c r="H28" s="101"/>
      <c r="I28" s="101">
        <v>3129.8958333333335</v>
      </c>
      <c r="J28" s="101">
        <v>3148.7083333333335</v>
      </c>
      <c r="K28" s="101">
        <v>3165.6666666666665</v>
      </c>
    </row>
    <row r="29" spans="1:11">
      <c r="A29" s="77"/>
      <c r="B29" s="73"/>
      <c r="C29" s="73"/>
      <c r="D29" s="73"/>
      <c r="E29" s="73"/>
      <c r="F29" s="73"/>
      <c r="G29" s="73"/>
      <c r="H29" s="73"/>
      <c r="I29" s="101"/>
      <c r="J29" s="101"/>
      <c r="K29" s="77"/>
    </row>
    <row r="30" spans="1:11">
      <c r="A30" s="70" t="s">
        <v>11</v>
      </c>
      <c r="B30" s="73"/>
      <c r="C30" s="73"/>
      <c r="D30" s="73"/>
      <c r="E30" s="73"/>
      <c r="F30" s="73"/>
      <c r="G30" s="73"/>
      <c r="H30" s="73"/>
      <c r="I30" s="101"/>
      <c r="J30" s="101"/>
      <c r="K30" s="77"/>
    </row>
    <row r="31" spans="1:11">
      <c r="A31" s="77" t="s">
        <v>101</v>
      </c>
      <c r="B31" s="73">
        <v>104</v>
      </c>
      <c r="C31" s="73">
        <v>103</v>
      </c>
      <c r="D31" s="73">
        <v>100</v>
      </c>
      <c r="E31" s="73">
        <v>99</v>
      </c>
      <c r="F31" s="73">
        <v>99</v>
      </c>
      <c r="G31" s="101">
        <v>32</v>
      </c>
      <c r="H31" s="101">
        <v>32</v>
      </c>
      <c r="I31" s="101">
        <v>32</v>
      </c>
      <c r="J31" s="101">
        <v>32</v>
      </c>
      <c r="K31" s="101">
        <v>32</v>
      </c>
    </row>
    <row r="32" spans="1:11">
      <c r="A32" s="77" t="s">
        <v>103</v>
      </c>
      <c r="B32" s="73">
        <v>935668</v>
      </c>
      <c r="C32" s="73">
        <v>1002422</v>
      </c>
      <c r="D32" s="73">
        <v>1046222</v>
      </c>
      <c r="E32" s="73">
        <v>1056913</v>
      </c>
      <c r="F32" s="73">
        <v>1010306.25</v>
      </c>
      <c r="G32" s="73">
        <v>816298</v>
      </c>
      <c r="H32" s="73">
        <v>791996</v>
      </c>
      <c r="I32" s="101">
        <v>791996</v>
      </c>
      <c r="J32" s="101">
        <v>791996</v>
      </c>
      <c r="K32" s="101">
        <v>791996</v>
      </c>
    </row>
    <row r="33" spans="1:11">
      <c r="A33" s="77" t="s">
        <v>107</v>
      </c>
      <c r="B33" s="73"/>
      <c r="C33" s="73"/>
      <c r="D33" s="73"/>
      <c r="E33" s="73"/>
      <c r="F33" s="73"/>
      <c r="G33" s="73"/>
      <c r="H33" s="73">
        <v>2304</v>
      </c>
      <c r="I33" s="101">
        <v>2304</v>
      </c>
      <c r="J33" s="101">
        <v>2304</v>
      </c>
      <c r="K33" s="101">
        <v>2304</v>
      </c>
    </row>
    <row r="34" spans="1:11">
      <c r="A34" s="77"/>
      <c r="B34" s="77"/>
      <c r="C34" s="77"/>
      <c r="D34" s="77"/>
      <c r="E34" s="77"/>
      <c r="F34" s="77"/>
      <c r="G34" s="77"/>
      <c r="H34" s="77"/>
      <c r="I34" s="100"/>
      <c r="J34" s="100"/>
      <c r="K34" s="77"/>
    </row>
    <row r="35" spans="1:11">
      <c r="A35" s="70" t="s">
        <v>111</v>
      </c>
      <c r="B35" s="77"/>
      <c r="C35" s="77"/>
      <c r="D35" s="77"/>
      <c r="E35" s="77"/>
      <c r="F35" s="77"/>
      <c r="G35" s="77"/>
      <c r="H35" s="77"/>
      <c r="I35" s="100"/>
      <c r="J35" s="100"/>
      <c r="K35" s="77"/>
    </row>
    <row r="36" spans="1:11">
      <c r="A36" s="77" t="s">
        <v>101</v>
      </c>
      <c r="B36" s="76">
        <v>11567</v>
      </c>
      <c r="C36" s="76">
        <v>11561</v>
      </c>
      <c r="D36" s="76">
        <v>11557</v>
      </c>
      <c r="E36" s="76">
        <v>11591</v>
      </c>
      <c r="F36" s="76">
        <v>11593</v>
      </c>
      <c r="G36" s="76">
        <v>11611</v>
      </c>
      <c r="H36" s="76">
        <v>11691</v>
      </c>
      <c r="I36" s="101">
        <v>11720</v>
      </c>
      <c r="J36" s="76">
        <v>11758</v>
      </c>
      <c r="K36" s="76">
        <v>11794</v>
      </c>
    </row>
    <row r="37" spans="1:11">
      <c r="A37" s="77" t="s">
        <v>103</v>
      </c>
      <c r="B37" s="76"/>
      <c r="C37" s="76">
        <v>148912956</v>
      </c>
      <c r="D37" s="76">
        <v>182746209</v>
      </c>
      <c r="E37" s="76">
        <v>180571571</v>
      </c>
      <c r="F37" s="76">
        <v>167324543.75</v>
      </c>
      <c r="G37" s="76">
        <v>188497165.75</v>
      </c>
      <c r="H37" s="76">
        <v>182092142</v>
      </c>
      <c r="I37" s="101">
        <v>186826563</v>
      </c>
      <c r="J37" s="76"/>
      <c r="K37" s="76"/>
    </row>
    <row r="38" spans="1:11">
      <c r="A38" s="77" t="s">
        <v>107</v>
      </c>
      <c r="B38" s="76"/>
      <c r="C38" s="76">
        <v>163453</v>
      </c>
      <c r="D38" s="76">
        <v>182693</v>
      </c>
      <c r="E38" s="76">
        <v>180802</v>
      </c>
      <c r="F38" s="76">
        <v>197392</v>
      </c>
      <c r="G38" s="76">
        <v>191492</v>
      </c>
      <c r="H38" s="76">
        <v>161584</v>
      </c>
      <c r="I38" s="101">
        <v>152803</v>
      </c>
      <c r="J38" s="76"/>
      <c r="K38" s="77"/>
    </row>
    <row r="39" spans="1:11">
      <c r="A39" s="77" t="s">
        <v>112</v>
      </c>
      <c r="B39" s="77"/>
      <c r="C39" s="77"/>
      <c r="D39" s="77"/>
      <c r="E39" s="77"/>
      <c r="F39" s="77"/>
      <c r="G39" s="77"/>
      <c r="H39" s="77"/>
      <c r="I39" s="101">
        <v>186207998</v>
      </c>
      <c r="J39" s="76">
        <v>188235530</v>
      </c>
      <c r="K39" s="76">
        <v>190140490</v>
      </c>
    </row>
    <row r="40" spans="1:11">
      <c r="A40" s="77" t="s">
        <v>113</v>
      </c>
      <c r="B40" s="77"/>
      <c r="C40" s="77"/>
      <c r="D40" s="77"/>
      <c r="E40" s="77"/>
      <c r="F40" s="77"/>
      <c r="G40" s="77"/>
      <c r="H40" s="77"/>
      <c r="I40" s="101">
        <v>152539</v>
      </c>
      <c r="J40" s="76">
        <v>153442</v>
      </c>
      <c r="K40" s="76">
        <v>154256</v>
      </c>
    </row>
  </sheetData>
  <mergeCells count="1">
    <mergeCell ref="A1:K1"/>
  </mergeCells>
  <phoneticPr fontId="3" type="noConversion"/>
  <pageMargins left="0.75" right="0.75" top="1" bottom="1" header="0.5" footer="0.5"/>
  <pageSetup scale="78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7"/>
  <sheetViews>
    <sheetView workbookViewId="0">
      <selection activeCell="A6" sqref="A6:E6"/>
    </sheetView>
  </sheetViews>
  <sheetFormatPr defaultRowHeight="12.75"/>
  <cols>
    <col min="1" max="1" width="10.5703125" customWidth="1"/>
    <col min="2" max="2" width="46.85546875" customWidth="1"/>
    <col min="3" max="5" width="15.7109375" customWidth="1"/>
    <col min="6" max="9" width="0" hidden="1" customWidth="1"/>
    <col min="10" max="10" width="15.7109375" customWidth="1"/>
    <col min="11" max="14" width="0" hidden="1" customWidth="1"/>
    <col min="15" max="15" width="15.7109375" customWidth="1"/>
  </cols>
  <sheetData>
    <row r="1" spans="1:15" ht="7.5" customHeight="1"/>
    <row r="2" spans="1:15" ht="15.75">
      <c r="A2" s="206" t="s">
        <v>163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15" ht="8.25" customHeight="1"/>
    <row r="4" spans="1:15" ht="21.75">
      <c r="A4" s="213" t="s">
        <v>0</v>
      </c>
      <c r="B4" s="213"/>
      <c r="C4" s="213"/>
      <c r="D4" s="213"/>
      <c r="E4" s="213"/>
      <c r="F4" s="213"/>
      <c r="G4" s="1"/>
      <c r="H4" s="1"/>
      <c r="I4" s="1"/>
      <c r="J4" s="1"/>
      <c r="K4" s="1"/>
      <c r="L4" s="1"/>
      <c r="M4" s="1"/>
      <c r="N4" s="1"/>
      <c r="O4" s="1"/>
    </row>
    <row r="5" spans="1:15" ht="20.25">
      <c r="A5" s="214" t="s">
        <v>1</v>
      </c>
      <c r="B5" s="214"/>
      <c r="C5" s="214"/>
      <c r="D5" s="214"/>
      <c r="E5" s="214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0">
      <c r="A6" s="215" t="s">
        <v>138</v>
      </c>
      <c r="B6" s="215"/>
      <c r="C6" s="215"/>
      <c r="D6" s="215"/>
      <c r="E6" s="215"/>
      <c r="F6" s="1"/>
      <c r="G6" s="2"/>
      <c r="H6" s="1"/>
      <c r="I6" s="1"/>
      <c r="J6" s="1"/>
      <c r="K6" s="1"/>
      <c r="L6" s="1"/>
      <c r="M6" s="1"/>
      <c r="N6" s="1"/>
      <c r="O6" s="1"/>
    </row>
    <row r="7" spans="1:15" ht="18">
      <c r="A7" s="216">
        <v>40330</v>
      </c>
      <c r="B7" s="216"/>
      <c r="C7" s="216"/>
      <c r="D7" s="216"/>
      <c r="E7" s="216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0.25">
      <c r="A8" s="3" t="s">
        <v>2</v>
      </c>
      <c r="B8" s="4"/>
      <c r="C8" s="5"/>
      <c r="D8" s="5"/>
      <c r="E8" s="6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>
      <c r="A9" s="7"/>
      <c r="B9" s="7"/>
      <c r="C9" s="8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15">
      <c r="A10" s="9"/>
      <c r="B10" s="10"/>
      <c r="C10" s="11"/>
      <c r="D10" s="12"/>
      <c r="E10" s="13"/>
      <c r="F10" s="13"/>
      <c r="G10" s="13"/>
      <c r="H10" s="12"/>
      <c r="I10" s="12"/>
      <c r="J10" s="12"/>
      <c r="K10" s="12"/>
      <c r="L10" s="12"/>
      <c r="M10" s="10"/>
      <c r="N10" s="10"/>
      <c r="O10" s="10"/>
    </row>
    <row r="11" spans="1:15">
      <c r="A11" s="14"/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0"/>
      <c r="N11" s="10"/>
      <c r="O11" s="10"/>
    </row>
    <row r="12" spans="1:15">
      <c r="A12" s="9"/>
      <c r="B12" s="10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0"/>
      <c r="N12" s="10"/>
      <c r="O12" s="10"/>
    </row>
    <row r="13" spans="1:15">
      <c r="A13" s="15"/>
      <c r="B13" s="16"/>
      <c r="C13" s="17"/>
      <c r="D13" s="18"/>
      <c r="E13" s="18"/>
      <c r="F13" s="18"/>
      <c r="G13" s="12"/>
      <c r="H13" s="12"/>
      <c r="I13" s="12"/>
      <c r="J13" s="12"/>
      <c r="K13" s="12"/>
      <c r="L13" s="12"/>
      <c r="M13" s="10"/>
      <c r="N13" s="10"/>
      <c r="O13" s="10"/>
    </row>
    <row r="14" spans="1:15">
      <c r="A14" s="15"/>
      <c r="B14" s="10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0"/>
      <c r="N14" s="10"/>
      <c r="O14" s="10"/>
    </row>
    <row r="15" spans="1:15">
      <c r="A15" s="15"/>
      <c r="B15" s="10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0"/>
      <c r="N15" s="10"/>
      <c r="O15" s="10"/>
    </row>
    <row r="16" spans="1:15">
      <c r="A16" s="19"/>
      <c r="B16" s="20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0"/>
      <c r="N16" s="10"/>
      <c r="O16" s="10"/>
    </row>
    <row r="17" spans="1:15">
      <c r="A17" s="15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0"/>
      <c r="N17" s="10"/>
      <c r="O17" s="10"/>
    </row>
    <row r="18" spans="1:15" ht="13.5" thickBot="1">
      <c r="A18" s="22"/>
      <c r="B18" s="23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10"/>
      <c r="N18" s="10"/>
      <c r="O18" s="10"/>
    </row>
    <row r="19" spans="1:15">
      <c r="A19" s="24"/>
      <c r="B19" s="25"/>
      <c r="C19" s="26"/>
      <c r="D19" s="27">
        <v>1</v>
      </c>
      <c r="E19" s="27">
        <v>2</v>
      </c>
      <c r="F19" s="27">
        <v>3</v>
      </c>
      <c r="G19" s="27">
        <v>4</v>
      </c>
      <c r="H19" s="27">
        <v>5</v>
      </c>
      <c r="I19" s="27">
        <v>6</v>
      </c>
      <c r="J19" s="27">
        <v>7</v>
      </c>
      <c r="K19" s="27">
        <v>8</v>
      </c>
      <c r="L19" s="27">
        <v>9</v>
      </c>
      <c r="M19" s="27">
        <v>10</v>
      </c>
      <c r="N19" s="27">
        <v>11</v>
      </c>
      <c r="O19" s="27">
        <v>12</v>
      </c>
    </row>
    <row r="20" spans="1:15" ht="51.75" thickBot="1">
      <c r="A20" s="28" t="s">
        <v>3</v>
      </c>
      <c r="B20" s="29"/>
      <c r="C20" s="30" t="s">
        <v>4</v>
      </c>
      <c r="D20" s="31" t="s">
        <v>5</v>
      </c>
      <c r="E20" s="31" t="s">
        <v>6</v>
      </c>
      <c r="F20" s="31" t="s">
        <v>7</v>
      </c>
      <c r="G20" s="31" t="s">
        <v>8</v>
      </c>
      <c r="H20" s="31" t="s">
        <v>9</v>
      </c>
      <c r="I20" s="31" t="s">
        <v>10</v>
      </c>
      <c r="J20" s="31" t="s">
        <v>11</v>
      </c>
      <c r="K20" s="31" t="s">
        <v>12</v>
      </c>
      <c r="L20" s="31" t="s">
        <v>13</v>
      </c>
      <c r="M20" s="31" t="s">
        <v>14</v>
      </c>
      <c r="N20" s="31" t="s">
        <v>15</v>
      </c>
      <c r="O20" s="31" t="s">
        <v>16</v>
      </c>
    </row>
    <row r="21" spans="1:15">
      <c r="A21" s="32" t="s">
        <v>17</v>
      </c>
      <c r="B21" s="33" t="s">
        <v>18</v>
      </c>
      <c r="C21" s="34">
        <v>18585008</v>
      </c>
      <c r="D21" s="35">
        <v>13865405</v>
      </c>
      <c r="E21" s="35">
        <v>1717567</v>
      </c>
      <c r="F21" s="35">
        <v>0</v>
      </c>
      <c r="G21" s="35">
        <v>0</v>
      </c>
      <c r="H21" s="35">
        <v>0</v>
      </c>
      <c r="I21" s="35">
        <v>0</v>
      </c>
      <c r="J21" s="35">
        <v>42237</v>
      </c>
      <c r="K21" s="35">
        <v>0</v>
      </c>
      <c r="L21" s="35">
        <v>0</v>
      </c>
      <c r="M21" s="35">
        <v>0</v>
      </c>
      <c r="N21" s="35">
        <v>0</v>
      </c>
      <c r="O21" s="35">
        <v>2959799</v>
      </c>
    </row>
    <row r="22" spans="1:15" ht="13.5" thickBot="1">
      <c r="A22" s="32" t="s">
        <v>19</v>
      </c>
      <c r="B22" s="33" t="s">
        <v>20</v>
      </c>
      <c r="C22" s="36">
        <v>343057</v>
      </c>
      <c r="D22" s="37">
        <v>217489.68270909949</v>
      </c>
      <c r="E22" s="37">
        <v>88132.624542482896</v>
      </c>
      <c r="F22" s="37">
        <v>0</v>
      </c>
      <c r="G22" s="37">
        <v>0</v>
      </c>
      <c r="H22" s="37">
        <v>0</v>
      </c>
      <c r="I22" s="37">
        <v>0</v>
      </c>
      <c r="J22" s="37">
        <v>5003.2895272679543</v>
      </c>
      <c r="K22" s="37">
        <v>0</v>
      </c>
      <c r="L22" s="37">
        <v>0</v>
      </c>
      <c r="M22" s="37">
        <v>0</v>
      </c>
      <c r="N22" s="37">
        <v>0</v>
      </c>
      <c r="O22" s="37">
        <v>32431.403221149769</v>
      </c>
    </row>
    <row r="23" spans="1:15" ht="13.5" thickBot="1">
      <c r="A23" s="32"/>
      <c r="B23" s="38" t="s">
        <v>21</v>
      </c>
      <c r="C23" s="39">
        <v>18928065</v>
      </c>
      <c r="D23" s="40">
        <v>14082894.6827091</v>
      </c>
      <c r="E23" s="40">
        <v>1805699.6245424829</v>
      </c>
      <c r="F23" s="40">
        <v>0</v>
      </c>
      <c r="G23" s="40">
        <v>0</v>
      </c>
      <c r="H23" s="40">
        <v>0</v>
      </c>
      <c r="I23" s="40">
        <v>0</v>
      </c>
      <c r="J23" s="40">
        <v>47240.289527267953</v>
      </c>
      <c r="K23" s="40">
        <v>0</v>
      </c>
      <c r="L23" s="40">
        <v>0</v>
      </c>
      <c r="M23" s="40">
        <v>0</v>
      </c>
      <c r="N23" s="40">
        <v>0</v>
      </c>
      <c r="O23" s="40">
        <v>2992230.4032211499</v>
      </c>
    </row>
    <row r="24" spans="1:15" ht="13.5" thickTop="1">
      <c r="A24" s="32"/>
      <c r="B24" s="33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43"/>
      <c r="O24" s="43"/>
    </row>
    <row r="25" spans="1:15">
      <c r="A25" s="32"/>
      <c r="B25" s="44" t="s">
        <v>22</v>
      </c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43"/>
      <c r="O25" s="43"/>
    </row>
    <row r="26" spans="1:15">
      <c r="A26" s="32" t="s">
        <v>23</v>
      </c>
      <c r="B26" s="33" t="s">
        <v>24</v>
      </c>
      <c r="C26" s="41">
        <v>4712464.3508517938</v>
      </c>
      <c r="D26" s="42">
        <v>2835058.6867799037</v>
      </c>
      <c r="E26" s="42">
        <v>1290516.5675966546</v>
      </c>
      <c r="F26" s="42">
        <v>0</v>
      </c>
      <c r="G26" s="42">
        <v>0</v>
      </c>
      <c r="H26" s="42">
        <v>0</v>
      </c>
      <c r="I26" s="42">
        <v>0</v>
      </c>
      <c r="J26" s="42">
        <v>87388.00029362386</v>
      </c>
      <c r="K26" s="42">
        <v>0</v>
      </c>
      <c r="L26" s="42">
        <v>0</v>
      </c>
      <c r="M26" s="42">
        <v>0</v>
      </c>
      <c r="N26" s="42">
        <v>0</v>
      </c>
      <c r="O26" s="42">
        <v>499501.0961816113</v>
      </c>
    </row>
    <row r="27" spans="1:15">
      <c r="A27" s="32" t="s">
        <v>25</v>
      </c>
      <c r="B27" s="33" t="s">
        <v>26</v>
      </c>
      <c r="C27" s="41">
        <v>1693808.4044454272</v>
      </c>
      <c r="D27" s="42">
        <v>1394715.018301195</v>
      </c>
      <c r="E27" s="42">
        <v>91659.222664461937</v>
      </c>
      <c r="F27" s="42">
        <v>0</v>
      </c>
      <c r="G27" s="42">
        <v>0</v>
      </c>
      <c r="H27" s="42">
        <v>0</v>
      </c>
      <c r="I27" s="42">
        <v>0</v>
      </c>
      <c r="J27" s="42">
        <v>11235.291425316285</v>
      </c>
      <c r="K27" s="42">
        <v>0</v>
      </c>
      <c r="L27" s="42">
        <v>0</v>
      </c>
      <c r="M27" s="42">
        <v>0</v>
      </c>
      <c r="N27" s="42">
        <v>0</v>
      </c>
      <c r="O27" s="42">
        <v>196198.87205445388</v>
      </c>
    </row>
    <row r="28" spans="1:15">
      <c r="A28" s="32" t="s">
        <v>27</v>
      </c>
      <c r="B28" s="33" t="s">
        <v>28</v>
      </c>
      <c r="C28" s="41">
        <v>2632963.9007266099</v>
      </c>
      <c r="D28" s="42">
        <v>1725449.2149465042</v>
      </c>
      <c r="E28" s="42">
        <v>583912.1785581687</v>
      </c>
      <c r="F28" s="42">
        <v>0</v>
      </c>
      <c r="G28" s="42">
        <v>0</v>
      </c>
      <c r="H28" s="42">
        <v>0</v>
      </c>
      <c r="I28" s="42">
        <v>0</v>
      </c>
      <c r="J28" s="42">
        <v>40419.72860932102</v>
      </c>
      <c r="K28" s="42">
        <v>0</v>
      </c>
      <c r="L28" s="42">
        <v>0</v>
      </c>
      <c r="M28" s="42">
        <v>0</v>
      </c>
      <c r="N28" s="42">
        <v>0</v>
      </c>
      <c r="O28" s="42">
        <v>283182.77861261601</v>
      </c>
    </row>
    <row r="29" spans="1:15">
      <c r="A29" s="32" t="s">
        <v>29</v>
      </c>
      <c r="B29" s="33" t="s">
        <v>30</v>
      </c>
      <c r="C29" s="45">
        <v>4056672.0247569596</v>
      </c>
      <c r="D29" s="46">
        <v>2563127.9349853685</v>
      </c>
      <c r="E29" s="46">
        <v>975345.29367472359</v>
      </c>
      <c r="F29" s="46">
        <v>0</v>
      </c>
      <c r="G29" s="46">
        <v>0</v>
      </c>
      <c r="H29" s="46">
        <v>0</v>
      </c>
      <c r="I29" s="46">
        <v>0</v>
      </c>
      <c r="J29" s="46">
        <v>70644.214183055301</v>
      </c>
      <c r="K29" s="46">
        <v>0</v>
      </c>
      <c r="L29" s="46">
        <v>0</v>
      </c>
      <c r="M29" s="46">
        <v>0</v>
      </c>
      <c r="N29" s="46">
        <v>0</v>
      </c>
      <c r="O29" s="46">
        <v>447554.5819138122</v>
      </c>
    </row>
    <row r="30" spans="1:15">
      <c r="A30" s="32" t="s">
        <v>31</v>
      </c>
      <c r="B30" s="33" t="s">
        <v>32</v>
      </c>
      <c r="C30" s="41">
        <v>751038</v>
      </c>
      <c r="D30" s="42">
        <v>456887.51527834096</v>
      </c>
      <c r="E30" s="42">
        <v>209627.82992079962</v>
      </c>
      <c r="F30" s="42">
        <v>0</v>
      </c>
      <c r="G30" s="42">
        <v>0</v>
      </c>
      <c r="H30" s="42">
        <v>0</v>
      </c>
      <c r="I30" s="42">
        <v>0</v>
      </c>
      <c r="J30" s="42">
        <v>11218.929030918629</v>
      </c>
      <c r="K30" s="42">
        <v>0</v>
      </c>
      <c r="L30" s="42">
        <v>0</v>
      </c>
      <c r="M30" s="42">
        <v>0</v>
      </c>
      <c r="N30" s="42">
        <v>0</v>
      </c>
      <c r="O30" s="42">
        <v>73303.72576994088</v>
      </c>
    </row>
    <row r="31" spans="1:15" ht="13.5" thickBot="1">
      <c r="A31" s="32" t="s">
        <v>33</v>
      </c>
      <c r="B31" s="33" t="s">
        <v>34</v>
      </c>
      <c r="C31" s="36">
        <v>2342458</v>
      </c>
      <c r="D31" s="37">
        <v>1425014.2006980632</v>
      </c>
      <c r="E31" s="37">
        <v>653820.96141688759</v>
      </c>
      <c r="F31" s="37">
        <v>0</v>
      </c>
      <c r="G31" s="37">
        <v>0</v>
      </c>
      <c r="H31" s="37">
        <v>0</v>
      </c>
      <c r="I31" s="37">
        <v>0</v>
      </c>
      <c r="J31" s="37">
        <v>34991.398650810734</v>
      </c>
      <c r="K31" s="37">
        <v>0</v>
      </c>
      <c r="L31" s="37">
        <v>0</v>
      </c>
      <c r="M31" s="37">
        <v>0</v>
      </c>
      <c r="N31" s="37">
        <v>0</v>
      </c>
      <c r="O31" s="37">
        <v>228631.4392342387</v>
      </c>
    </row>
    <row r="32" spans="1:15" ht="13.5" thickBot="1">
      <c r="A32" s="32"/>
      <c r="B32" s="38" t="s">
        <v>35</v>
      </c>
      <c r="C32" s="39">
        <v>16189404.680780791</v>
      </c>
      <c r="D32" s="40">
        <v>10400252.570989376</v>
      </c>
      <c r="E32" s="40">
        <v>3804882.053831696</v>
      </c>
      <c r="F32" s="40">
        <v>0</v>
      </c>
      <c r="G32" s="40">
        <v>0</v>
      </c>
      <c r="H32" s="40">
        <v>0</v>
      </c>
      <c r="I32" s="40">
        <v>0</v>
      </c>
      <c r="J32" s="40">
        <v>255897.56219304583</v>
      </c>
      <c r="K32" s="40">
        <v>0</v>
      </c>
      <c r="L32" s="40">
        <v>0</v>
      </c>
      <c r="M32" s="40">
        <v>0</v>
      </c>
      <c r="N32" s="40">
        <v>0</v>
      </c>
      <c r="O32" s="40">
        <v>1728372.4937666729</v>
      </c>
    </row>
    <row r="33" spans="1:15" ht="13.5" thickTop="1">
      <c r="A33" s="32"/>
      <c r="B33" s="44"/>
      <c r="C33" s="41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1:15">
      <c r="A34" s="32"/>
      <c r="B34" s="44" t="s">
        <v>36</v>
      </c>
      <c r="C34" s="41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</row>
    <row r="35" spans="1:15">
      <c r="A35" s="32"/>
      <c r="B35" s="33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3"/>
      <c r="N35" s="43"/>
      <c r="O35" s="43"/>
    </row>
    <row r="36" spans="1:15">
      <c r="A36" s="32" t="s">
        <v>37</v>
      </c>
      <c r="B36" s="33" t="s">
        <v>38</v>
      </c>
      <c r="C36" s="41">
        <v>2738660</v>
      </c>
      <c r="D36" s="42">
        <v>1666040.2837035959</v>
      </c>
      <c r="E36" s="42">
        <v>764407.86310532503</v>
      </c>
      <c r="F36" s="42">
        <v>0</v>
      </c>
      <c r="G36" s="42">
        <v>0</v>
      </c>
      <c r="H36" s="42">
        <v>0</v>
      </c>
      <c r="I36" s="42">
        <v>0</v>
      </c>
      <c r="J36" s="42">
        <v>40909.823710405617</v>
      </c>
      <c r="K36" s="42">
        <v>0</v>
      </c>
      <c r="L36" s="42">
        <v>0</v>
      </c>
      <c r="M36" s="42">
        <v>0</v>
      </c>
      <c r="N36" s="42">
        <v>0</v>
      </c>
      <c r="O36" s="42">
        <v>267302.02948067378</v>
      </c>
    </row>
    <row r="37" spans="1:15">
      <c r="A37" s="32"/>
      <c r="B37" s="33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3"/>
      <c r="N37" s="43"/>
      <c r="O37" s="43"/>
    </row>
    <row r="38" spans="1:15">
      <c r="A38" s="32"/>
      <c r="B38" s="44" t="s">
        <v>39</v>
      </c>
      <c r="C38" s="41">
        <v>18928064.680780791</v>
      </c>
      <c r="D38" s="48">
        <v>12066292.854692971</v>
      </c>
      <c r="E38" s="48">
        <v>4569289.9169370215</v>
      </c>
      <c r="F38" s="48">
        <v>0</v>
      </c>
      <c r="G38" s="48">
        <v>0</v>
      </c>
      <c r="H38" s="48">
        <v>0</v>
      </c>
      <c r="I38" s="48">
        <v>0</v>
      </c>
      <c r="J38" s="48">
        <v>296807.38590345148</v>
      </c>
      <c r="K38" s="48">
        <v>0</v>
      </c>
      <c r="L38" s="48">
        <v>0</v>
      </c>
      <c r="M38" s="48">
        <v>0</v>
      </c>
      <c r="N38" s="48">
        <v>0</v>
      </c>
      <c r="O38" s="48">
        <v>1995674.5232473467</v>
      </c>
    </row>
    <row r="39" spans="1:15">
      <c r="A39" s="49"/>
      <c r="B39" s="33"/>
      <c r="C39" s="208" t="s">
        <v>141</v>
      </c>
      <c r="D39" s="208"/>
      <c r="E39" s="209"/>
      <c r="F39" s="42"/>
      <c r="G39" s="42"/>
      <c r="H39" s="42"/>
      <c r="I39" s="42"/>
      <c r="J39" s="42"/>
      <c r="K39" s="42"/>
      <c r="L39" s="42"/>
      <c r="M39" s="43"/>
      <c r="N39" s="43"/>
      <c r="O39" s="43"/>
    </row>
    <row r="40" spans="1:15">
      <c r="A40" s="32"/>
      <c r="B40" s="33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3"/>
      <c r="N40" s="43"/>
      <c r="O40" s="43"/>
    </row>
    <row r="41" spans="1:15">
      <c r="A41" s="32"/>
      <c r="B41" s="33"/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3"/>
      <c r="N41" s="43"/>
      <c r="O41" s="43"/>
    </row>
    <row r="42" spans="1:15">
      <c r="A42" s="32"/>
      <c r="B42" s="44" t="s">
        <v>40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43"/>
      <c r="O42" s="43"/>
    </row>
    <row r="43" spans="1:15">
      <c r="A43" s="32"/>
      <c r="B43" s="44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3"/>
      <c r="N43" s="43"/>
      <c r="O43" s="43"/>
    </row>
    <row r="44" spans="1:15">
      <c r="A44" s="32"/>
      <c r="B44" s="50" t="s">
        <v>41</v>
      </c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3"/>
      <c r="O44" s="43"/>
    </row>
    <row r="45" spans="1:15">
      <c r="A45" s="32" t="s">
        <v>42</v>
      </c>
      <c r="B45" s="33" t="s">
        <v>43</v>
      </c>
      <c r="C45" s="41">
        <v>101557857.99858268</v>
      </c>
      <c r="D45" s="42">
        <v>61697988.792122856</v>
      </c>
      <c r="E45" s="42">
        <v>27444170.372349057</v>
      </c>
      <c r="F45" s="42">
        <v>0</v>
      </c>
      <c r="G45" s="42">
        <v>0</v>
      </c>
      <c r="H45" s="42">
        <v>0</v>
      </c>
      <c r="I45" s="42">
        <v>0</v>
      </c>
      <c r="J45" s="42">
        <v>1706422.4545467549</v>
      </c>
      <c r="K45" s="42">
        <v>0</v>
      </c>
      <c r="L45" s="42">
        <v>0</v>
      </c>
      <c r="M45" s="42">
        <v>0</v>
      </c>
      <c r="N45" s="42">
        <v>0</v>
      </c>
      <c r="O45" s="42">
        <v>10709276.379564019</v>
      </c>
    </row>
    <row r="46" spans="1:15">
      <c r="A46" s="32" t="s">
        <v>44</v>
      </c>
      <c r="B46" s="33" t="s">
        <v>45</v>
      </c>
      <c r="C46" s="41">
        <v>10530381.620285748</v>
      </c>
      <c r="D46" s="42">
        <v>6406067.1942365952</v>
      </c>
      <c r="E46" s="42">
        <v>2939213.5248793997</v>
      </c>
      <c r="F46" s="42">
        <v>0</v>
      </c>
      <c r="G46" s="42">
        <v>0</v>
      </c>
      <c r="H46" s="42">
        <v>0</v>
      </c>
      <c r="I46" s="42">
        <v>0</v>
      </c>
      <c r="J46" s="42">
        <v>157301.76644387591</v>
      </c>
      <c r="K46" s="42">
        <v>0</v>
      </c>
      <c r="L46" s="42">
        <v>0</v>
      </c>
      <c r="M46" s="42">
        <v>0</v>
      </c>
      <c r="N46" s="42">
        <v>0</v>
      </c>
      <c r="O46" s="42">
        <v>1027799.1347258753</v>
      </c>
    </row>
    <row r="47" spans="1:15">
      <c r="A47" s="32" t="s">
        <v>46</v>
      </c>
      <c r="B47" s="33" t="s">
        <v>47</v>
      </c>
      <c r="C47" s="45">
        <v>-46509937.492378518</v>
      </c>
      <c r="D47" s="46">
        <v>-28210059.258172177</v>
      </c>
      <c r="E47" s="46">
        <v>-12079333.816318255</v>
      </c>
      <c r="F47" s="46">
        <v>0</v>
      </c>
      <c r="G47" s="46">
        <v>0</v>
      </c>
      <c r="H47" s="46">
        <v>0</v>
      </c>
      <c r="I47" s="46">
        <v>0</v>
      </c>
      <c r="J47" s="46">
        <v>-884122.23344109172</v>
      </c>
      <c r="K47" s="46">
        <v>0</v>
      </c>
      <c r="L47" s="46">
        <v>0</v>
      </c>
      <c r="M47" s="46">
        <v>0</v>
      </c>
      <c r="N47" s="46">
        <v>0</v>
      </c>
      <c r="O47" s="46">
        <v>-5336422.1844469989</v>
      </c>
    </row>
    <row r="48" spans="1:15" ht="13.5" thickBot="1">
      <c r="A48" s="32" t="s">
        <v>48</v>
      </c>
      <c r="B48" s="33" t="s">
        <v>49</v>
      </c>
      <c r="C48" s="51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</row>
    <row r="49" spans="1:15" ht="13.5" thickBot="1">
      <c r="A49" s="32"/>
      <c r="B49" s="38" t="s">
        <v>50</v>
      </c>
      <c r="C49" s="39">
        <v>65578302.126489908</v>
      </c>
      <c r="D49" s="40">
        <v>39893996.72818727</v>
      </c>
      <c r="E49" s="40">
        <v>18304050.080910202</v>
      </c>
      <c r="F49" s="40">
        <v>0</v>
      </c>
      <c r="G49" s="40">
        <v>0</v>
      </c>
      <c r="H49" s="40">
        <v>0</v>
      </c>
      <c r="I49" s="40">
        <v>0</v>
      </c>
      <c r="J49" s="40">
        <v>979601.98754953907</v>
      </c>
      <c r="K49" s="40">
        <v>0</v>
      </c>
      <c r="L49" s="40">
        <v>0</v>
      </c>
      <c r="M49" s="40">
        <v>0</v>
      </c>
      <c r="N49" s="40">
        <v>0</v>
      </c>
      <c r="O49" s="40">
        <v>6400653.3298428962</v>
      </c>
    </row>
    <row r="50" spans="1:15" ht="13.5" thickTop="1">
      <c r="A50" s="32"/>
      <c r="B50" s="44"/>
      <c r="C50" s="41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1:15">
      <c r="A51" s="32"/>
      <c r="B51" s="44" t="s">
        <v>51</v>
      </c>
      <c r="C51" s="41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</row>
    <row r="52" spans="1:15">
      <c r="A52" s="32"/>
      <c r="B52" s="33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43"/>
      <c r="O52" s="43"/>
    </row>
    <row r="53" spans="1:15">
      <c r="A53" s="32"/>
      <c r="B53" s="44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3"/>
      <c r="N53" s="43"/>
      <c r="O53" s="43"/>
    </row>
    <row r="54" spans="1:15">
      <c r="A54" s="32" t="s">
        <v>52</v>
      </c>
      <c r="B54" s="33" t="s">
        <v>53</v>
      </c>
      <c r="C54" s="41">
        <v>17166389</v>
      </c>
      <c r="D54" s="42">
        <v>9553250.0156923775</v>
      </c>
      <c r="E54" s="42">
        <v>6404606.1671284735</v>
      </c>
      <c r="F54" s="42">
        <v>0</v>
      </c>
      <c r="G54" s="42">
        <v>0</v>
      </c>
      <c r="H54" s="42">
        <v>0</v>
      </c>
      <c r="I54" s="42">
        <v>0</v>
      </c>
      <c r="J54" s="42">
        <v>72227.126422115965</v>
      </c>
      <c r="K54" s="42">
        <v>0</v>
      </c>
      <c r="L54" s="42">
        <v>0</v>
      </c>
      <c r="M54" s="42">
        <v>0</v>
      </c>
      <c r="N54" s="42">
        <v>0</v>
      </c>
      <c r="O54" s="42">
        <v>1136305.690757032</v>
      </c>
    </row>
    <row r="55" spans="1:15">
      <c r="A55" s="32"/>
      <c r="B55" s="33" t="s">
        <v>54</v>
      </c>
      <c r="C55" s="41">
        <v>9039236.6560238302</v>
      </c>
      <c r="D55" s="42">
        <v>5955222.9200276025</v>
      </c>
      <c r="E55" s="42">
        <v>1966087.9688192853</v>
      </c>
      <c r="F55" s="42">
        <v>0</v>
      </c>
      <c r="G55" s="42">
        <v>0</v>
      </c>
      <c r="H55" s="42">
        <v>0</v>
      </c>
      <c r="I55" s="42">
        <v>0</v>
      </c>
      <c r="J55" s="42">
        <v>139043.02032826116</v>
      </c>
      <c r="K55" s="42">
        <v>0</v>
      </c>
      <c r="L55" s="42">
        <v>0</v>
      </c>
      <c r="M55" s="42">
        <v>0</v>
      </c>
      <c r="N55" s="42">
        <v>0</v>
      </c>
      <c r="O55" s="42">
        <v>978882.74684868124</v>
      </c>
    </row>
    <row r="56" spans="1:15">
      <c r="A56" s="32"/>
      <c r="B56" s="53" t="s">
        <v>55</v>
      </c>
      <c r="C56" s="41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</row>
    <row r="57" spans="1:15">
      <c r="A57" s="32"/>
      <c r="B57" s="54" t="s">
        <v>56</v>
      </c>
      <c r="C57" s="55">
        <v>26205625.656023826</v>
      </c>
      <c r="D57" s="56">
        <v>15508472.93571998</v>
      </c>
      <c r="E57" s="56">
        <v>8370694.1359477583</v>
      </c>
      <c r="F57" s="56">
        <v>0</v>
      </c>
      <c r="G57" s="56">
        <v>0</v>
      </c>
      <c r="H57" s="56">
        <v>0</v>
      </c>
      <c r="I57" s="56">
        <v>0</v>
      </c>
      <c r="J57" s="56">
        <v>211270.14675037714</v>
      </c>
      <c r="K57" s="56">
        <v>0</v>
      </c>
      <c r="L57" s="56">
        <v>0</v>
      </c>
      <c r="M57" s="56">
        <v>0</v>
      </c>
      <c r="N57" s="56">
        <v>0</v>
      </c>
      <c r="O57" s="56">
        <v>2115188.4376057135</v>
      </c>
    </row>
    <row r="58" spans="1:15">
      <c r="A58" s="32"/>
      <c r="B58" s="44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</row>
    <row r="59" spans="1:15">
      <c r="A59" s="32"/>
      <c r="B59" s="44" t="s">
        <v>57</v>
      </c>
      <c r="C59" s="41">
        <v>3930843.8484035744</v>
      </c>
      <c r="D59" s="47">
        <v>2326270.9403579971</v>
      </c>
      <c r="E59" s="47">
        <v>1255604.1203921637</v>
      </c>
      <c r="F59" s="47">
        <v>0</v>
      </c>
      <c r="G59" s="47">
        <v>0</v>
      </c>
      <c r="H59" s="47">
        <v>0</v>
      </c>
      <c r="I59" s="47">
        <v>0</v>
      </c>
      <c r="J59" s="47">
        <v>31690.522012556568</v>
      </c>
      <c r="K59" s="47">
        <v>0</v>
      </c>
      <c r="L59" s="47">
        <v>0</v>
      </c>
      <c r="M59" s="47">
        <v>0</v>
      </c>
      <c r="N59" s="47">
        <v>0</v>
      </c>
      <c r="O59" s="47">
        <v>317278.26564085699</v>
      </c>
    </row>
    <row r="60" spans="1:15">
      <c r="A60" s="32"/>
      <c r="B60" s="57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3"/>
      <c r="N60" s="43"/>
      <c r="O60" s="43"/>
    </row>
    <row r="61" spans="1:15" ht="13.5" thickBot="1">
      <c r="A61" s="32"/>
      <c r="B61" s="38" t="s">
        <v>58</v>
      </c>
      <c r="C61" s="58">
        <v>69509145.974893481</v>
      </c>
      <c r="D61" s="59">
        <v>42220267.668545268</v>
      </c>
      <c r="E61" s="59">
        <v>19559654.201302364</v>
      </c>
      <c r="F61" s="59">
        <v>0</v>
      </c>
      <c r="G61" s="59">
        <v>0</v>
      </c>
      <c r="H61" s="59">
        <v>0</v>
      </c>
      <c r="I61" s="59">
        <v>0</v>
      </c>
      <c r="J61" s="59">
        <v>1011292.5095620956</v>
      </c>
      <c r="K61" s="59">
        <v>0</v>
      </c>
      <c r="L61" s="59">
        <v>0</v>
      </c>
      <c r="M61" s="59">
        <v>0</v>
      </c>
      <c r="N61" s="59">
        <v>0</v>
      </c>
      <c r="O61" s="59">
        <v>6717931.5954837529</v>
      </c>
    </row>
    <row r="62" spans="1:15" ht="13.5" thickTop="1">
      <c r="A62" s="49"/>
      <c r="B62" s="44"/>
      <c r="C62" s="210" t="s">
        <v>59</v>
      </c>
      <c r="D62" s="211"/>
      <c r="E62" s="212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>
      <c r="A63" s="32"/>
      <c r="B63" s="44" t="s">
        <v>60</v>
      </c>
      <c r="C63" s="41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</row>
    <row r="64" spans="1:15">
      <c r="A64" s="32"/>
      <c r="B64" s="44"/>
      <c r="C64" s="41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spans="1:15">
      <c r="A65" s="32"/>
      <c r="B65" s="44" t="s">
        <v>61</v>
      </c>
      <c r="C65" s="41">
        <v>2738660.3192192097</v>
      </c>
      <c r="D65" s="47">
        <v>3682642.1117197238</v>
      </c>
      <c r="E65" s="47">
        <v>-1999182.4292892131</v>
      </c>
      <c r="F65" s="47">
        <v>0</v>
      </c>
      <c r="G65" s="47">
        <v>0</v>
      </c>
      <c r="H65" s="47">
        <v>0</v>
      </c>
      <c r="I65" s="47">
        <v>0</v>
      </c>
      <c r="J65" s="47">
        <v>-208657.27266577788</v>
      </c>
      <c r="K65" s="47">
        <v>0</v>
      </c>
      <c r="L65" s="47">
        <v>0</v>
      </c>
      <c r="M65" s="47">
        <v>0</v>
      </c>
      <c r="N65" s="47">
        <v>0</v>
      </c>
      <c r="O65" s="47">
        <v>1263857.909454477</v>
      </c>
    </row>
    <row r="66" spans="1:15">
      <c r="A66" s="32"/>
      <c r="B66" s="44"/>
      <c r="C66" s="41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>
      <c r="A67" s="32"/>
      <c r="B67" s="44" t="s">
        <v>62</v>
      </c>
      <c r="C67" s="41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</row>
    <row r="68" spans="1:15">
      <c r="A68" s="32"/>
      <c r="B68" s="33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3"/>
      <c r="N68" s="43"/>
      <c r="O68" s="43"/>
    </row>
    <row r="69" spans="1:15">
      <c r="A69" s="32"/>
      <c r="B69" s="38" t="s">
        <v>63</v>
      </c>
      <c r="C69" s="60">
        <v>2738660.3192192097</v>
      </c>
      <c r="D69" s="61">
        <v>3682642.1117197238</v>
      </c>
      <c r="E69" s="61">
        <v>-1999182.4292892131</v>
      </c>
      <c r="F69" s="61">
        <v>0</v>
      </c>
      <c r="G69" s="61">
        <v>0</v>
      </c>
      <c r="H69" s="61">
        <v>0</v>
      </c>
      <c r="I69" s="61">
        <v>0</v>
      </c>
      <c r="J69" s="61">
        <v>-208657.27266577788</v>
      </c>
      <c r="K69" s="61">
        <v>0</v>
      </c>
      <c r="L69" s="61">
        <v>0</v>
      </c>
      <c r="M69" s="61">
        <v>0</v>
      </c>
      <c r="N69" s="61">
        <v>0</v>
      </c>
      <c r="O69" s="61">
        <v>1263857.909454477</v>
      </c>
    </row>
    <row r="70" spans="1:15">
      <c r="A70" s="32"/>
      <c r="B70" s="33"/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3"/>
      <c r="N70" s="43"/>
      <c r="O70" s="43"/>
    </row>
    <row r="71" spans="1:15">
      <c r="A71" s="32"/>
      <c r="B71" s="44" t="s">
        <v>64</v>
      </c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3"/>
      <c r="N71" s="43"/>
      <c r="O71" s="43"/>
    </row>
    <row r="72" spans="1:15">
      <c r="A72" s="32"/>
      <c r="B72" s="33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3"/>
      <c r="N72" s="43"/>
      <c r="O72" s="43"/>
    </row>
    <row r="73" spans="1:15">
      <c r="A73" s="62"/>
      <c r="B73" s="63" t="s">
        <v>65</v>
      </c>
      <c r="C73" s="64">
        <v>1.0000000168648626</v>
      </c>
      <c r="D73" s="65">
        <v>1.1671268758599544</v>
      </c>
      <c r="E73" s="65">
        <v>0.3951816709745824</v>
      </c>
      <c r="F73" s="65" t="s">
        <v>66</v>
      </c>
      <c r="G73" s="65" t="s">
        <v>66</v>
      </c>
      <c r="H73" s="65" t="s">
        <v>66</v>
      </c>
      <c r="I73" s="65" t="s">
        <v>66</v>
      </c>
      <c r="J73" s="65">
        <v>0.15916143523003418</v>
      </c>
      <c r="K73" s="65" t="s">
        <v>66</v>
      </c>
      <c r="L73" s="65" t="s">
        <v>66</v>
      </c>
      <c r="M73" s="65" t="s">
        <v>66</v>
      </c>
      <c r="N73" s="65" t="s">
        <v>66</v>
      </c>
      <c r="O73" s="65">
        <v>1.4993579205251439</v>
      </c>
    </row>
    <row r="74" spans="1:15">
      <c r="A74" s="32"/>
      <c r="B74" s="33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3"/>
      <c r="N74" s="43"/>
      <c r="O74" s="43"/>
    </row>
    <row r="75" spans="1:15">
      <c r="A75" s="32"/>
      <c r="B75" s="33" t="s">
        <v>67</v>
      </c>
      <c r="C75" s="41">
        <v>0.31921920960303396</v>
      </c>
      <c r="D75" s="42">
        <v>2016601.8280161284</v>
      </c>
      <c r="E75" s="42">
        <v>-2763590.2923945384</v>
      </c>
      <c r="F75" s="42">
        <v>0</v>
      </c>
      <c r="G75" s="42">
        <v>0</v>
      </c>
      <c r="H75" s="42">
        <v>0</v>
      </c>
      <c r="I75" s="42">
        <v>0</v>
      </c>
      <c r="J75" s="42">
        <v>-249567.09637618353</v>
      </c>
      <c r="K75" s="42">
        <v>0</v>
      </c>
      <c r="L75" s="42">
        <v>0</v>
      </c>
      <c r="M75" s="42">
        <v>0</v>
      </c>
      <c r="N75" s="42">
        <v>0</v>
      </c>
      <c r="O75" s="42">
        <v>996555.87997380318</v>
      </c>
    </row>
    <row r="76" spans="1:15">
      <c r="A76" s="32"/>
      <c r="B76" s="33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3"/>
      <c r="N76" s="43"/>
      <c r="O76" s="43"/>
    </row>
    <row r="77" spans="1:15" ht="13.5" thickBot="1">
      <c r="A77" s="32"/>
      <c r="B77" s="33" t="s">
        <v>68</v>
      </c>
      <c r="C77" s="66" t="s">
        <v>66</v>
      </c>
      <c r="D77" s="66" t="s">
        <v>66</v>
      </c>
      <c r="E77" s="66" t="s">
        <v>66</v>
      </c>
      <c r="F77" s="66" t="s">
        <v>66</v>
      </c>
      <c r="G77" s="66" t="s">
        <v>66</v>
      </c>
      <c r="H77" s="66" t="s">
        <v>66</v>
      </c>
      <c r="I77" s="66" t="s">
        <v>66</v>
      </c>
      <c r="J77" s="66" t="s">
        <v>66</v>
      </c>
      <c r="K77" s="66" t="s">
        <v>66</v>
      </c>
      <c r="L77" s="66" t="s">
        <v>66</v>
      </c>
      <c r="M77" s="66" t="s">
        <v>66</v>
      </c>
      <c r="N77" s="66" t="s">
        <v>66</v>
      </c>
      <c r="O77" s="66" t="s">
        <v>66</v>
      </c>
    </row>
  </sheetData>
  <mergeCells count="8">
    <mergeCell ref="A2:O2"/>
    <mergeCell ref="C18:L18"/>
    <mergeCell ref="C39:E39"/>
    <mergeCell ref="C62:E62"/>
    <mergeCell ref="A4:F4"/>
    <mergeCell ref="A5:E5"/>
    <mergeCell ref="A6:E6"/>
    <mergeCell ref="A7:E7"/>
  </mergeCells>
  <phoneticPr fontId="3" type="noConversion"/>
  <conditionalFormatting sqref="C39 C62">
    <cfRule type="cellIs" dxfId="0" priority="1" stopIfTrue="1" operator="equal">
      <formula>"Error"</formula>
    </cfRule>
  </conditionalFormatting>
  <pageMargins left="0.75" right="0.75" top="1" bottom="1" header="0.5" footer="0.5"/>
  <pageSetup scale="62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19"/>
  <sheetViews>
    <sheetView showGridLines="0" workbookViewId="0">
      <selection activeCell="B15" sqref="B15:B18"/>
    </sheetView>
  </sheetViews>
  <sheetFormatPr defaultRowHeight="12.75"/>
  <cols>
    <col min="1" max="1" width="2.42578125" customWidth="1"/>
    <col min="2" max="2" width="14.28515625" bestFit="1" customWidth="1"/>
    <col min="3" max="3" width="11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2" max="12" width="9.5703125" customWidth="1"/>
  </cols>
  <sheetData>
    <row r="1" spans="2:12" ht="8.25" customHeight="1"/>
    <row r="2" spans="2:12" ht="15.75">
      <c r="B2" s="206" t="s">
        <v>163</v>
      </c>
      <c r="C2" s="206"/>
      <c r="D2" s="206"/>
      <c r="E2" s="206"/>
      <c r="F2" s="206"/>
      <c r="G2" s="206"/>
      <c r="H2" s="206"/>
      <c r="I2" s="206"/>
      <c r="J2" s="206"/>
      <c r="K2" s="206"/>
    </row>
    <row r="3" spans="2:12" ht="8.25" customHeight="1"/>
    <row r="4" spans="2:12">
      <c r="B4" s="217" t="s">
        <v>133</v>
      </c>
      <c r="C4" s="217"/>
      <c r="D4" s="217"/>
      <c r="E4" s="217"/>
      <c r="F4" s="217"/>
      <c r="G4" s="217"/>
      <c r="H4" s="217"/>
      <c r="I4" s="217"/>
      <c r="J4" s="217"/>
      <c r="K4" s="217"/>
    </row>
    <row r="5" spans="2:12" ht="51">
      <c r="B5" s="77"/>
      <c r="C5" s="89" t="s">
        <v>125</v>
      </c>
      <c r="D5" s="89" t="s">
        <v>126</v>
      </c>
      <c r="E5" s="89" t="s">
        <v>127</v>
      </c>
      <c r="F5" s="89" t="s">
        <v>128</v>
      </c>
      <c r="G5" s="89" t="s">
        <v>135</v>
      </c>
      <c r="H5" s="89" t="s">
        <v>136</v>
      </c>
      <c r="I5" s="90" t="s">
        <v>137</v>
      </c>
      <c r="J5" s="77"/>
      <c r="K5" s="77"/>
    </row>
    <row r="6" spans="2:12">
      <c r="B6" s="77" t="s">
        <v>69</v>
      </c>
      <c r="C6" s="80">
        <f>'Cost Allocation Sheet O1'!D38</f>
        <v>12066292.854692971</v>
      </c>
      <c r="D6" s="82">
        <f>C6/C$10</f>
        <v>0.63748159456285369</v>
      </c>
      <c r="E6" s="80">
        <f>'Cost Allocation Sheet O1'!D22</f>
        <v>217489.68270909949</v>
      </c>
      <c r="F6" s="82">
        <f>E6/E$10</f>
        <v>0.63397535310196096</v>
      </c>
      <c r="G6" s="80">
        <f>D6*G$10</f>
        <v>12876371.519516898</v>
      </c>
      <c r="H6" s="80">
        <f>F6*H$10</f>
        <v>234622.86662667993</v>
      </c>
      <c r="I6" s="76">
        <f>G6-H6</f>
        <v>12641748.652890218</v>
      </c>
      <c r="J6" s="77"/>
      <c r="K6" s="77"/>
    </row>
    <row r="7" spans="2:12">
      <c r="B7" s="77" t="s">
        <v>70</v>
      </c>
      <c r="C7" s="80">
        <f>'Cost Allocation Sheet O1'!E38</f>
        <v>4569289.9169370215</v>
      </c>
      <c r="D7" s="82">
        <f>C7/C$10</f>
        <v>0.2414029111796408</v>
      </c>
      <c r="E7" s="80">
        <f>'Cost Allocation Sheet O1'!E22</f>
        <v>88132.624542482896</v>
      </c>
      <c r="F7" s="82">
        <f>E7/E$10</f>
        <v>0.25690373478017609</v>
      </c>
      <c r="G7" s="80">
        <f>D7*G$10</f>
        <v>4876052.2605731739</v>
      </c>
      <c r="H7" s="80">
        <f>F7*H$10</f>
        <v>95075.44797491713</v>
      </c>
      <c r="I7" s="76">
        <f>G7-H7</f>
        <v>4780976.8125982564</v>
      </c>
      <c r="J7" s="77"/>
      <c r="K7" s="77"/>
    </row>
    <row r="8" spans="2:12">
      <c r="B8" s="77" t="s">
        <v>16</v>
      </c>
      <c r="C8" s="80">
        <f>'Cost Allocation Sheet O1'!O38</f>
        <v>1995674.5232473467</v>
      </c>
      <c r="D8" s="82">
        <f>C8/C$10</f>
        <v>0.1054346842587514</v>
      </c>
      <c r="E8" s="80">
        <f>'Cost Allocation Sheet O1'!O22</f>
        <v>32431.403221149769</v>
      </c>
      <c r="F8" s="82">
        <f>E8/E$10</f>
        <v>9.4536485835152048E-2</v>
      </c>
      <c r="G8" s="80">
        <f>D8*G$10</f>
        <v>2129655.4710565628</v>
      </c>
      <c r="H8" s="80">
        <f>F8*H$10</f>
        <v>34986.251750844742</v>
      </c>
      <c r="I8" s="76">
        <f>G8-H8</f>
        <v>2094669.2193057181</v>
      </c>
      <c r="J8" s="77"/>
      <c r="K8" s="77"/>
    </row>
    <row r="9" spans="2:12">
      <c r="B9" s="77" t="s">
        <v>71</v>
      </c>
      <c r="C9" s="80">
        <f>'Cost Allocation Sheet O1'!J38</f>
        <v>296807.38590345148</v>
      </c>
      <c r="D9" s="82">
        <f>C9/C$10</f>
        <v>1.5680809998754087E-2</v>
      </c>
      <c r="E9" s="80">
        <f>'Cost Allocation Sheet O1'!J22</f>
        <v>5003.2895272679543</v>
      </c>
      <c r="F9" s="82">
        <f>E9/E$10</f>
        <v>1.4584426282710899E-2</v>
      </c>
      <c r="G9" s="80">
        <f>D9*G$10</f>
        <v>316733.74885336403</v>
      </c>
      <c r="H9" s="80">
        <f>F9*H$10</f>
        <v>5397.4336475582149</v>
      </c>
      <c r="I9" s="76">
        <f>G9-H9</f>
        <v>311336.31520580582</v>
      </c>
      <c r="J9" s="77"/>
      <c r="K9" s="77"/>
    </row>
    <row r="10" spans="2:12">
      <c r="B10" s="77"/>
      <c r="C10" s="76">
        <f>SUM(C6:C9)</f>
        <v>18928064.680780791</v>
      </c>
      <c r="D10" s="82">
        <f>SUM(D6:D9)</f>
        <v>1</v>
      </c>
      <c r="E10" s="76">
        <f>SUM(E6:E9)</f>
        <v>343057.00000000012</v>
      </c>
      <c r="F10" s="82">
        <f>SUM(F6:F9)</f>
        <v>1</v>
      </c>
      <c r="G10" s="103">
        <v>20198813</v>
      </c>
      <c r="H10" s="103">
        <v>370082</v>
      </c>
      <c r="I10" s="76">
        <f>SUM(I6:I9)</f>
        <v>19828730.999999996</v>
      </c>
      <c r="J10" s="77"/>
      <c r="K10" s="77"/>
    </row>
    <row r="11" spans="2:12">
      <c r="B11" s="218"/>
      <c r="C11" s="219"/>
      <c r="D11" s="219"/>
      <c r="E11" s="219"/>
      <c r="F11" s="219"/>
      <c r="G11" s="219"/>
      <c r="H11" s="219"/>
      <c r="I11" s="219"/>
      <c r="J11" s="219"/>
      <c r="K11" s="220"/>
    </row>
    <row r="12" spans="2:12">
      <c r="B12" s="218"/>
      <c r="C12" s="219"/>
      <c r="D12" s="219"/>
      <c r="E12" s="219"/>
      <c r="F12" s="219"/>
      <c r="G12" s="219"/>
      <c r="H12" s="219"/>
      <c r="I12" s="219"/>
      <c r="J12" s="219"/>
      <c r="K12" s="220"/>
    </row>
    <row r="13" spans="2:12">
      <c r="B13" s="217" t="s">
        <v>134</v>
      </c>
      <c r="C13" s="217"/>
      <c r="D13" s="217"/>
      <c r="E13" s="217"/>
      <c r="F13" s="217"/>
      <c r="G13" s="217"/>
      <c r="H13" s="217"/>
      <c r="I13" s="217"/>
      <c r="J13" s="217"/>
      <c r="K13" s="217"/>
      <c r="L13" s="88"/>
    </row>
    <row r="14" spans="2:12" ht="51">
      <c r="B14" s="77"/>
      <c r="C14" s="89" t="s">
        <v>171</v>
      </c>
      <c r="D14" s="89" t="s">
        <v>129</v>
      </c>
      <c r="E14" s="91" t="s">
        <v>172</v>
      </c>
      <c r="F14" s="89" t="s">
        <v>173</v>
      </c>
      <c r="G14" s="89" t="s">
        <v>131</v>
      </c>
      <c r="H14" s="91" t="s">
        <v>174</v>
      </c>
      <c r="I14" s="92" t="s">
        <v>175</v>
      </c>
      <c r="J14" s="93" t="s">
        <v>76</v>
      </c>
      <c r="K14" s="93" t="s">
        <v>144</v>
      </c>
    </row>
    <row r="15" spans="2:12">
      <c r="B15" s="77" t="s">
        <v>69</v>
      </c>
      <c r="C15" s="80">
        <f>I6</f>
        <v>12641748.652890218</v>
      </c>
      <c r="D15" s="82">
        <f>C15/C$19</f>
        <v>0.63754703479966623</v>
      </c>
      <c r="E15" s="94">
        <f>1-(E16+E17+E18)</f>
        <v>0.72757959569365926</v>
      </c>
      <c r="F15" s="80">
        <f>E15*C$19</f>
        <v>14426980.084098326</v>
      </c>
      <c r="G15" s="80">
        <f>F15-C15</f>
        <v>1785231.4312081076</v>
      </c>
      <c r="H15" s="94">
        <f>F15/C15</f>
        <v>1.1412171274897132</v>
      </c>
      <c r="I15" s="95">
        <f>'Cost Allocation Sheet O1'!D73</f>
        <v>1.1671268758599544</v>
      </c>
      <c r="J15" s="71" t="s">
        <v>77</v>
      </c>
      <c r="K15" s="96" t="s">
        <v>92</v>
      </c>
    </row>
    <row r="16" spans="2:12">
      <c r="B16" s="77" t="s">
        <v>70</v>
      </c>
      <c r="C16" s="80">
        <f>I7</f>
        <v>4780976.8125982564</v>
      </c>
      <c r="D16" s="82">
        <f>C16/C$19</f>
        <v>0.2411136049300511</v>
      </c>
      <c r="E16" s="94">
        <v>0.14418811810364002</v>
      </c>
      <c r="F16" s="80">
        <f>E16*C$19</f>
        <v>2859067.4072733074</v>
      </c>
      <c r="G16" s="80">
        <f>F16-C16</f>
        <v>-1921909.405324949</v>
      </c>
      <c r="H16" s="94">
        <f>F16/C16</f>
        <v>0.59800905115026626</v>
      </c>
      <c r="I16" s="95">
        <f>'Cost Allocation Sheet O1'!E73</f>
        <v>0.3951816709745824</v>
      </c>
      <c r="J16" s="71" t="s">
        <v>78</v>
      </c>
      <c r="K16" s="82">
        <f>I16+((0.8-I16)*1/2)</f>
        <v>0.59759083548729119</v>
      </c>
    </row>
    <row r="17" spans="2:12">
      <c r="B17" s="77" t="s">
        <v>16</v>
      </c>
      <c r="C17" s="80">
        <f>I8</f>
        <v>2094669.2193057181</v>
      </c>
      <c r="D17" s="82">
        <f>C17/C$19</f>
        <v>0.10563808744521869</v>
      </c>
      <c r="E17" s="94">
        <v>0.12148084988219474</v>
      </c>
      <c r="F17" s="80">
        <f>E17*C$19</f>
        <v>2408811.0939654205</v>
      </c>
      <c r="G17" s="80">
        <f>F17-C17</f>
        <v>314141.87465970241</v>
      </c>
      <c r="H17" s="94">
        <f>F17/C17</f>
        <v>1.1499720680307821</v>
      </c>
      <c r="I17" s="95">
        <f>'Cost Allocation Sheet O1'!O73</f>
        <v>1.4993579205251439</v>
      </c>
      <c r="J17" s="71" t="s">
        <v>77</v>
      </c>
      <c r="K17" s="96">
        <v>1.1499999999999999</v>
      </c>
    </row>
    <row r="18" spans="2:12">
      <c r="B18" s="77" t="s">
        <v>71</v>
      </c>
      <c r="C18" s="80">
        <f>I9</f>
        <v>311336.31520580582</v>
      </c>
      <c r="D18" s="82">
        <f>C18/C$19</f>
        <v>1.5701272825064089E-2</v>
      </c>
      <c r="E18" s="94">
        <v>6.7514363205059469E-3</v>
      </c>
      <c r="F18" s="80">
        <f>E18*C$19</f>
        <v>133872.41466294217</v>
      </c>
      <c r="G18" s="80">
        <f>F18-C18</f>
        <v>-177463.90054286364</v>
      </c>
      <c r="H18" s="94">
        <f>F18/C18</f>
        <v>0.42999293087427698</v>
      </c>
      <c r="I18" s="95">
        <f>'Cost Allocation Sheet O1'!J73</f>
        <v>0.15916143523003418</v>
      </c>
      <c r="J18" s="71" t="s">
        <v>79</v>
      </c>
      <c r="K18" s="82">
        <f>I18+((0.7-I18)*1/2)</f>
        <v>0.42958071761501709</v>
      </c>
    </row>
    <row r="19" spans="2:12">
      <c r="B19" s="77"/>
      <c r="C19" s="80">
        <f>SUM(C15:C18)</f>
        <v>19828730.999999996</v>
      </c>
      <c r="D19" s="82">
        <f>SUM(D15:D18)</f>
        <v>1</v>
      </c>
      <c r="E19" s="94">
        <f>SUM(E15:E18)</f>
        <v>0.99999999999999989</v>
      </c>
      <c r="F19" s="80">
        <f>SUM(F15:F18)</f>
        <v>19828730.999999993</v>
      </c>
      <c r="G19" s="77"/>
      <c r="H19" s="97"/>
      <c r="I19" s="77"/>
      <c r="J19" s="98"/>
      <c r="K19" s="77"/>
      <c r="L19" s="87"/>
    </row>
  </sheetData>
  <mergeCells count="5">
    <mergeCell ref="B2:K2"/>
    <mergeCell ref="B4:K4"/>
    <mergeCell ref="B13:K13"/>
    <mergeCell ref="B11:K11"/>
    <mergeCell ref="B12:K12"/>
  </mergeCells>
  <phoneticPr fontId="3" type="noConversion"/>
  <pageMargins left="0.75" right="0.75" top="1" bottom="1" header="0.5" footer="0.5"/>
  <pageSetup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32"/>
  <sheetViews>
    <sheetView showGridLines="0" workbookViewId="0">
      <selection activeCell="G36" sqref="G36"/>
    </sheetView>
  </sheetViews>
  <sheetFormatPr defaultRowHeight="12.75"/>
  <cols>
    <col min="1" max="1" width="3.7109375" customWidth="1"/>
    <col min="2" max="2" width="16.42578125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1.28515625" bestFit="1" customWidth="1"/>
  </cols>
  <sheetData>
    <row r="2" spans="2:13" ht="15.75">
      <c r="B2" s="206" t="s">
        <v>163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2:13" ht="15.75">
      <c r="B3" s="206" t="s">
        <v>190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</row>
    <row r="5" spans="2:13">
      <c r="B5" s="217" t="s">
        <v>117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</row>
    <row r="6" spans="2:13">
      <c r="B6" s="221" t="s">
        <v>80</v>
      </c>
      <c r="C6" s="221" t="s">
        <v>81</v>
      </c>
      <c r="D6" s="222" t="s">
        <v>82</v>
      </c>
      <c r="E6" s="217" t="s">
        <v>83</v>
      </c>
      <c r="F6" s="217"/>
      <c r="G6" s="223" t="s">
        <v>93</v>
      </c>
      <c r="H6" s="224"/>
      <c r="I6" s="217" t="s">
        <v>91</v>
      </c>
      <c r="J6" s="217"/>
      <c r="K6" s="217" t="s">
        <v>84</v>
      </c>
      <c r="L6" s="217"/>
      <c r="M6" s="217"/>
    </row>
    <row r="7" spans="2:13" ht="38.25">
      <c r="B7" s="221"/>
      <c r="C7" s="221"/>
      <c r="D7" s="222"/>
      <c r="E7" s="68" t="s">
        <v>73</v>
      </c>
      <c r="F7" s="68" t="s">
        <v>72</v>
      </c>
      <c r="G7" s="69" t="s">
        <v>89</v>
      </c>
      <c r="H7" s="69" t="s">
        <v>90</v>
      </c>
      <c r="I7" s="69" t="s">
        <v>85</v>
      </c>
      <c r="J7" s="69" t="s">
        <v>86</v>
      </c>
      <c r="K7" s="69" t="s">
        <v>87</v>
      </c>
      <c r="L7" s="69" t="s">
        <v>88</v>
      </c>
      <c r="M7" s="69" t="s">
        <v>21</v>
      </c>
    </row>
    <row r="8" spans="2:13">
      <c r="B8" s="70" t="s">
        <v>69</v>
      </c>
      <c r="C8" s="71" t="s">
        <v>73</v>
      </c>
      <c r="D8" s="72">
        <v>8039</v>
      </c>
      <c r="E8" s="80">
        <v>106119297</v>
      </c>
      <c r="F8" s="80"/>
      <c r="G8" s="82">
        <v>0.13646721756898086</v>
      </c>
      <c r="H8" s="82">
        <f>1-G8</f>
        <v>0.86353278243101916</v>
      </c>
      <c r="I8" s="83">
        <f>K8/(D8*12)</f>
        <v>20.408942136252438</v>
      </c>
      <c r="J8" s="81">
        <f>L8/E8</f>
        <v>0.11739778349736266</v>
      </c>
      <c r="K8" s="80">
        <f>G8*M8</f>
        <v>1968809.83</v>
      </c>
      <c r="L8" s="80">
        <f>H8*M8</f>
        <v>12458170.254098326</v>
      </c>
      <c r="M8" s="76">
        <f>'2011 Cost Allocation Design'!F15</f>
        <v>14426980.084098326</v>
      </c>
    </row>
    <row r="9" spans="2:13">
      <c r="B9" s="70" t="s">
        <v>70</v>
      </c>
      <c r="C9" s="71" t="s">
        <v>72</v>
      </c>
      <c r="D9" s="72">
        <v>48</v>
      </c>
      <c r="E9" s="80"/>
      <c r="F9" s="80">
        <v>151952</v>
      </c>
      <c r="G9" s="82">
        <v>0.12009689562634947</v>
      </c>
      <c r="H9" s="82">
        <f>1-G9</f>
        <v>0.87990310437365049</v>
      </c>
      <c r="I9" s="83">
        <f>K9/(D9*12)</f>
        <v>596.12</v>
      </c>
      <c r="J9" s="81">
        <f>L9/F9</f>
        <v>16.555901121889196</v>
      </c>
      <c r="K9" s="80">
        <f>G9*M9</f>
        <v>343365.12</v>
      </c>
      <c r="L9" s="80">
        <f>H9*M9</f>
        <v>2515702.2872733073</v>
      </c>
      <c r="M9" s="76">
        <f>'2011 Cost Allocation Design'!F16</f>
        <v>2859067.4072733074</v>
      </c>
    </row>
    <row r="10" spans="2:13">
      <c r="B10" s="70" t="s">
        <v>16</v>
      </c>
      <c r="C10" s="71" t="s">
        <v>73</v>
      </c>
      <c r="D10" s="72">
        <v>3660</v>
      </c>
      <c r="E10" s="80">
        <v>12622297</v>
      </c>
      <c r="F10" s="80"/>
      <c r="G10" s="82">
        <v>0.43756357758419173</v>
      </c>
      <c r="H10" s="82">
        <f>1-G10</f>
        <v>0.56243642241580827</v>
      </c>
      <c r="I10" s="83">
        <f>K10/(D10*12)</f>
        <v>23.998360655737706</v>
      </c>
      <c r="J10" s="81">
        <f>L10/E10</f>
        <v>0.10733411628370181</v>
      </c>
      <c r="K10" s="80">
        <f>G10*M10</f>
        <v>1054008</v>
      </c>
      <c r="L10" s="80">
        <f>H10*M10</f>
        <v>1354803.0939654205</v>
      </c>
      <c r="M10" s="76">
        <f>'2011 Cost Allocation Design'!F17</f>
        <v>2408811.0939654205</v>
      </c>
    </row>
    <row r="11" spans="2:13">
      <c r="B11" s="70" t="s">
        <v>71</v>
      </c>
      <c r="C11" s="71" t="s">
        <v>73</v>
      </c>
      <c r="D11" s="72">
        <v>1052</v>
      </c>
      <c r="E11" s="80">
        <v>791996</v>
      </c>
      <c r="F11" s="80"/>
      <c r="G11" s="82">
        <v>0</v>
      </c>
      <c r="H11" s="82">
        <f>1-G11</f>
        <v>1</v>
      </c>
      <c r="I11" s="83">
        <f>K11/(D11*12)</f>
        <v>0</v>
      </c>
      <c r="J11" s="81">
        <f>L11/E11</f>
        <v>0.16903168028997895</v>
      </c>
      <c r="K11" s="80">
        <f>G11*M11</f>
        <v>0</v>
      </c>
      <c r="L11" s="80">
        <f>H11*M11</f>
        <v>133872.41466294217</v>
      </c>
      <c r="M11" s="76">
        <f>'2011 Cost Allocation Design'!F18</f>
        <v>133872.41466294217</v>
      </c>
    </row>
    <row r="12" spans="2:13">
      <c r="B12" s="77"/>
      <c r="C12" s="77"/>
      <c r="D12" s="77"/>
      <c r="E12" s="77"/>
      <c r="F12" s="77"/>
      <c r="G12" s="77"/>
      <c r="H12" s="77"/>
      <c r="I12" s="77"/>
      <c r="J12" s="77"/>
      <c r="K12" s="78">
        <f>SUM(K8:K11)</f>
        <v>3366182.95</v>
      </c>
      <c r="L12" s="78">
        <f>SUM(L8:L11)</f>
        <v>16462548.049999995</v>
      </c>
      <c r="M12" s="78">
        <f>SUM(M8:M11)</f>
        <v>19828730.999999993</v>
      </c>
    </row>
    <row r="14" spans="2:13">
      <c r="M14" s="79"/>
    </row>
    <row r="15" spans="2:13" ht="15.75">
      <c r="B15" s="167" t="s">
        <v>176</v>
      </c>
      <c r="C15" s="120"/>
      <c r="D15" s="120"/>
      <c r="E15" s="137"/>
    </row>
    <row r="16" spans="2:13" ht="12.75" customHeight="1">
      <c r="B16" s="147" t="s">
        <v>187</v>
      </c>
      <c r="C16" s="87"/>
      <c r="D16" s="87"/>
      <c r="E16" s="168">
        <v>1.7500000000000002E-2</v>
      </c>
    </row>
    <row r="17" spans="2:13" ht="12.75" customHeight="1">
      <c r="B17" s="147" t="s">
        <v>178</v>
      </c>
      <c r="C17" s="87"/>
      <c r="D17" s="87"/>
      <c r="E17" s="168">
        <v>1.7999999999999999E-2</v>
      </c>
    </row>
    <row r="18" spans="2:13" ht="12.75" customHeight="1">
      <c r="B18" s="147" t="s">
        <v>179</v>
      </c>
      <c r="C18" s="87"/>
      <c r="D18" s="87"/>
      <c r="E18" s="168">
        <v>6.0000000000000001E-3</v>
      </c>
    </row>
    <row r="19" spans="2:13" ht="12.75" customHeight="1">
      <c r="B19" s="147" t="s">
        <v>180</v>
      </c>
      <c r="C19" s="87"/>
      <c r="D19" s="87"/>
      <c r="E19" s="168">
        <v>4.0000000000000001E-3</v>
      </c>
    </row>
    <row r="20" spans="2:13" ht="12.75" customHeight="1">
      <c r="B20" s="148" t="s">
        <v>191</v>
      </c>
      <c r="C20" s="146"/>
      <c r="D20" s="146"/>
      <c r="E20" s="169">
        <f>E17-E18-E19</f>
        <v>7.9999999999999984E-3</v>
      </c>
    </row>
    <row r="21" spans="2:13" ht="12.75" customHeight="1">
      <c r="B21" s="118"/>
      <c r="E21" s="145"/>
    </row>
    <row r="22" spans="2:13" ht="15.75">
      <c r="B22" s="206" t="s">
        <v>189</v>
      </c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</row>
    <row r="23" spans="2:13" ht="15.75">
      <c r="B23" s="176"/>
      <c r="C23" s="176"/>
      <c r="E23" s="176"/>
      <c r="F23" s="176" t="s">
        <v>188</v>
      </c>
      <c r="G23" s="176"/>
      <c r="I23" s="184">
        <f>E20</f>
        <v>7.9999999999999984E-3</v>
      </c>
      <c r="J23" s="176"/>
      <c r="K23" s="176"/>
      <c r="L23" s="176"/>
      <c r="M23" s="176"/>
    </row>
    <row r="25" spans="2:13">
      <c r="B25" s="217" t="s">
        <v>177</v>
      </c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</row>
    <row r="26" spans="2:13">
      <c r="B26" s="221" t="s">
        <v>80</v>
      </c>
      <c r="C26" s="221" t="s">
        <v>81</v>
      </c>
      <c r="D26" s="222" t="s">
        <v>82</v>
      </c>
      <c r="E26" s="217" t="s">
        <v>83</v>
      </c>
      <c r="F26" s="217"/>
      <c r="G26" s="223" t="s">
        <v>93</v>
      </c>
      <c r="H26" s="224"/>
      <c r="I26" s="217" t="s">
        <v>91</v>
      </c>
      <c r="J26" s="217"/>
      <c r="K26" s="217" t="s">
        <v>84</v>
      </c>
      <c r="L26" s="217"/>
      <c r="M26" s="217"/>
    </row>
    <row r="27" spans="2:13" ht="38.25">
      <c r="B27" s="221"/>
      <c r="C27" s="221"/>
      <c r="D27" s="222"/>
      <c r="E27" s="143" t="s">
        <v>73</v>
      </c>
      <c r="F27" s="143" t="s">
        <v>72</v>
      </c>
      <c r="G27" s="144" t="s">
        <v>89</v>
      </c>
      <c r="H27" s="144" t="s">
        <v>90</v>
      </c>
      <c r="I27" s="144" t="s">
        <v>85</v>
      </c>
      <c r="J27" s="144" t="s">
        <v>86</v>
      </c>
      <c r="K27" s="144" t="s">
        <v>87</v>
      </c>
      <c r="L27" s="144" t="s">
        <v>88</v>
      </c>
      <c r="M27" s="144" t="s">
        <v>21</v>
      </c>
    </row>
    <row r="28" spans="2:13">
      <c r="B28" s="70" t="s">
        <v>69</v>
      </c>
      <c r="C28" s="71" t="s">
        <v>73</v>
      </c>
      <c r="D28" s="72">
        <v>8039</v>
      </c>
      <c r="E28" s="80">
        <v>106119297</v>
      </c>
      <c r="F28" s="80"/>
      <c r="G28" s="82">
        <f>K28/M28</f>
        <v>0.13646721756898084</v>
      </c>
      <c r="H28" s="82">
        <f>1-G28</f>
        <v>0.86353278243101916</v>
      </c>
      <c r="I28" s="83">
        <f>I8*(1+E$20)</f>
        <v>20.572213673342457</v>
      </c>
      <c r="J28" s="81">
        <f>J8*(1+E$20)</f>
        <v>0.11833696576534156</v>
      </c>
      <c r="K28" s="80">
        <f>D28*I28*12</f>
        <v>1984560.3086399999</v>
      </c>
      <c r="L28" s="80">
        <f>E28*J28</f>
        <v>12557835.616131114</v>
      </c>
      <c r="M28" s="76">
        <f>K28+L28</f>
        <v>14542395.924771113</v>
      </c>
    </row>
    <row r="29" spans="2:13">
      <c r="B29" s="70" t="s">
        <v>70</v>
      </c>
      <c r="C29" s="71" t="s">
        <v>72</v>
      </c>
      <c r="D29" s="72">
        <v>48</v>
      </c>
      <c r="E29" s="80"/>
      <c r="F29" s="80">
        <v>151952</v>
      </c>
      <c r="G29" s="82">
        <f t="shared" ref="G29:G31" si="0">K29/M29</f>
        <v>0.12009689562634948</v>
      </c>
      <c r="H29" s="82">
        <f>1-G29</f>
        <v>0.87990310437365049</v>
      </c>
      <c r="I29" s="83">
        <f>I9*(1+E$20)</f>
        <v>600.88896</v>
      </c>
      <c r="J29" s="81">
        <f>J9*(1+E$20)</f>
        <v>16.688348330864311</v>
      </c>
      <c r="K29" s="80">
        <f>D29*I29*12</f>
        <v>346112.04096000001</v>
      </c>
      <c r="L29" s="80">
        <f>F29*J29</f>
        <v>2535827.9055714938</v>
      </c>
      <c r="M29" s="76">
        <f t="shared" ref="M29:M31" si="1">K29+L29</f>
        <v>2881939.9465314937</v>
      </c>
    </row>
    <row r="30" spans="2:13">
      <c r="B30" s="70" t="s">
        <v>16</v>
      </c>
      <c r="C30" s="71" t="s">
        <v>73</v>
      </c>
      <c r="D30" s="72">
        <v>3660</v>
      </c>
      <c r="E30" s="80">
        <v>12622297</v>
      </c>
      <c r="F30" s="80"/>
      <c r="G30" s="82">
        <f t="shared" si="0"/>
        <v>0.43756357758419173</v>
      </c>
      <c r="H30" s="82">
        <f>1-G30</f>
        <v>0.56243642241580827</v>
      </c>
      <c r="I30" s="83">
        <f t="shared" ref="I30:I31" si="2">I10*(1+E$20)</f>
        <v>24.190347540983609</v>
      </c>
      <c r="J30" s="81">
        <f t="shared" ref="J30:J31" si="3">J10*(1+E$20)</f>
        <v>0.10819278921397142</v>
      </c>
      <c r="K30" s="80">
        <f t="shared" ref="K30:K31" si="4">D30*I30*12</f>
        <v>1062440.064</v>
      </c>
      <c r="L30" s="80">
        <f t="shared" ref="L30:L31" si="5">E30*J30</f>
        <v>1365641.5187171439</v>
      </c>
      <c r="M30" s="76">
        <f t="shared" si="1"/>
        <v>2428081.5827171439</v>
      </c>
    </row>
    <row r="31" spans="2:13">
      <c r="B31" s="70" t="s">
        <v>71</v>
      </c>
      <c r="C31" s="71" t="s">
        <v>73</v>
      </c>
      <c r="D31" s="72">
        <v>1052</v>
      </c>
      <c r="E31" s="80">
        <v>791996</v>
      </c>
      <c r="F31" s="80"/>
      <c r="G31" s="82">
        <f t="shared" si="0"/>
        <v>0</v>
      </c>
      <c r="H31" s="82">
        <f>1-G31</f>
        <v>1</v>
      </c>
      <c r="I31" s="83">
        <f t="shared" si="2"/>
        <v>0</v>
      </c>
      <c r="J31" s="81">
        <f t="shared" si="3"/>
        <v>0.17038393373229879</v>
      </c>
      <c r="K31" s="80">
        <f t="shared" si="4"/>
        <v>0</v>
      </c>
      <c r="L31" s="80">
        <f t="shared" si="5"/>
        <v>134943.39398024572</v>
      </c>
      <c r="M31" s="76">
        <f t="shared" si="1"/>
        <v>134943.39398024572</v>
      </c>
    </row>
    <row r="32" spans="2:13">
      <c r="B32" s="77"/>
      <c r="C32" s="77"/>
      <c r="D32" s="77"/>
      <c r="E32" s="77"/>
      <c r="F32" s="77"/>
      <c r="G32" s="77"/>
      <c r="H32" s="77"/>
      <c r="I32" s="77"/>
      <c r="J32" s="77"/>
      <c r="K32" s="78">
        <f>SUM(K28:K31)</f>
        <v>3393112.4135999996</v>
      </c>
      <c r="L32" s="78">
        <f>SUM(L28:L31)</f>
        <v>16594248.434399998</v>
      </c>
      <c r="M32" s="78">
        <f>SUM(M28:M31)</f>
        <v>19987360.847999997</v>
      </c>
    </row>
  </sheetData>
  <mergeCells count="19">
    <mergeCell ref="B22:M22"/>
    <mergeCell ref="B2:M2"/>
    <mergeCell ref="B5:M5"/>
    <mergeCell ref="B6:B7"/>
    <mergeCell ref="C6:C7"/>
    <mergeCell ref="D6:D7"/>
    <mergeCell ref="E6:F6"/>
    <mergeCell ref="I6:J6"/>
    <mergeCell ref="K6:M6"/>
    <mergeCell ref="G6:H6"/>
    <mergeCell ref="B3:M3"/>
    <mergeCell ref="B25:M25"/>
    <mergeCell ref="B26:B27"/>
    <mergeCell ref="C26:C27"/>
    <mergeCell ref="D26:D27"/>
    <mergeCell ref="E26:F26"/>
    <mergeCell ref="G26:H26"/>
    <mergeCell ref="I26:J26"/>
    <mergeCell ref="K26:M26"/>
  </mergeCells>
  <phoneticPr fontId="3" type="noConversion"/>
  <pageMargins left="0.75" right="0.75" top="1" bottom="1" header="0.5" footer="0.5"/>
  <pageSetup scale="96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30"/>
  <sheetViews>
    <sheetView showGridLines="0" workbookViewId="0">
      <selection activeCell="C25" sqref="C25"/>
    </sheetView>
  </sheetViews>
  <sheetFormatPr defaultRowHeight="12.75"/>
  <cols>
    <col min="1" max="1" width="2.42578125" customWidth="1"/>
    <col min="2" max="2" width="14.28515625" bestFit="1" customWidth="1"/>
    <col min="3" max="3" width="13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1" max="11" width="10.140625" bestFit="1" customWidth="1"/>
    <col min="12" max="12" width="9.5703125" customWidth="1"/>
  </cols>
  <sheetData>
    <row r="1" spans="2:11" ht="15.75">
      <c r="B1" s="206" t="s">
        <v>166</v>
      </c>
      <c r="C1" s="206"/>
      <c r="D1" s="206"/>
      <c r="E1" s="206"/>
      <c r="F1" s="206"/>
      <c r="G1" s="206"/>
      <c r="H1" s="206"/>
      <c r="I1" s="206"/>
      <c r="J1" s="206"/>
      <c r="K1" s="206"/>
    </row>
    <row r="2" spans="2:11" ht="6" customHeight="1" thickBot="1"/>
    <row r="3" spans="2:11">
      <c r="B3" s="226" t="s">
        <v>169</v>
      </c>
      <c r="C3" s="227"/>
      <c r="D3" s="227"/>
      <c r="E3" s="227"/>
      <c r="F3" s="227"/>
      <c r="G3" s="227"/>
      <c r="H3" s="227"/>
      <c r="I3" s="227"/>
      <c r="J3" s="227"/>
      <c r="K3" s="228"/>
    </row>
    <row r="4" spans="2:11" ht="51">
      <c r="B4" s="149"/>
      <c r="C4" s="89" t="s">
        <v>125</v>
      </c>
      <c r="D4" s="89" t="s">
        <v>126</v>
      </c>
      <c r="E4" s="89" t="s">
        <v>127</v>
      </c>
      <c r="F4" s="89" t="s">
        <v>128</v>
      </c>
      <c r="G4" s="89" t="s">
        <v>135</v>
      </c>
      <c r="H4" s="89" t="s">
        <v>136</v>
      </c>
      <c r="I4" s="90" t="s">
        <v>137</v>
      </c>
      <c r="J4" s="77"/>
      <c r="K4" s="150"/>
    </row>
    <row r="5" spans="2:11">
      <c r="B5" s="149" t="s">
        <v>69</v>
      </c>
      <c r="C5" s="80">
        <f>'Cost Allocation Sheet O1'!D38</f>
        <v>12066292.854692971</v>
      </c>
      <c r="D5" s="82">
        <f>C5/C$9</f>
        <v>0.63748159456285369</v>
      </c>
      <c r="E5" s="80">
        <f>'Cost Allocation Sheet O1'!D22</f>
        <v>217489.68270909949</v>
      </c>
      <c r="F5" s="82">
        <f>E5/E$9</f>
        <v>0.63397535310196096</v>
      </c>
      <c r="G5" s="80">
        <f>D5*G$9</f>
        <v>12876371.519516898</v>
      </c>
      <c r="H5" s="80">
        <f>F5*H$9</f>
        <v>234622.86662667993</v>
      </c>
      <c r="I5" s="76">
        <f>G5-H5</f>
        <v>12641748.652890218</v>
      </c>
      <c r="J5" s="77"/>
      <c r="K5" s="150"/>
    </row>
    <row r="6" spans="2:11">
      <c r="B6" s="149" t="s">
        <v>70</v>
      </c>
      <c r="C6" s="80">
        <f>'Cost Allocation Sheet O1'!E38</f>
        <v>4569289.9169370215</v>
      </c>
      <c r="D6" s="82">
        <f>C6/C$9</f>
        <v>0.2414029111796408</v>
      </c>
      <c r="E6" s="80">
        <f>'Cost Allocation Sheet O1'!E22</f>
        <v>88132.624542482896</v>
      </c>
      <c r="F6" s="82">
        <f>E6/E$9</f>
        <v>0.25690373478017609</v>
      </c>
      <c r="G6" s="80">
        <f>D6*G$9</f>
        <v>4876052.2605731739</v>
      </c>
      <c r="H6" s="80">
        <f>F6*H$9</f>
        <v>95075.44797491713</v>
      </c>
      <c r="I6" s="76">
        <f>G6-H6</f>
        <v>4780976.8125982564</v>
      </c>
      <c r="J6" s="77"/>
      <c r="K6" s="150"/>
    </row>
    <row r="7" spans="2:11">
      <c r="B7" s="149" t="s">
        <v>16</v>
      </c>
      <c r="C7" s="80">
        <f>'Cost Allocation Sheet O1'!O38</f>
        <v>1995674.5232473467</v>
      </c>
      <c r="D7" s="82">
        <f>C7/C$9</f>
        <v>0.1054346842587514</v>
      </c>
      <c r="E7" s="80">
        <f>'Cost Allocation Sheet O1'!O22</f>
        <v>32431.403221149769</v>
      </c>
      <c r="F7" s="82">
        <f>E7/E$9</f>
        <v>9.4536485835152048E-2</v>
      </c>
      <c r="G7" s="80">
        <f>D7*G$9</f>
        <v>2129655.4710565628</v>
      </c>
      <c r="H7" s="80">
        <f>F7*H$9</f>
        <v>34986.251750844742</v>
      </c>
      <c r="I7" s="76">
        <f>G7-H7</f>
        <v>2094669.2193057181</v>
      </c>
      <c r="J7" s="77"/>
      <c r="K7" s="150"/>
    </row>
    <row r="8" spans="2:11">
      <c r="B8" s="149" t="s">
        <v>71</v>
      </c>
      <c r="C8" s="80">
        <f>'Cost Allocation Sheet O1'!J38</f>
        <v>296807.38590345148</v>
      </c>
      <c r="D8" s="82">
        <f>C8/C$9</f>
        <v>1.5680809998754087E-2</v>
      </c>
      <c r="E8" s="80">
        <f>'Cost Allocation Sheet O1'!J22</f>
        <v>5003.2895272679543</v>
      </c>
      <c r="F8" s="82">
        <f>E8/E$9</f>
        <v>1.4584426282710899E-2</v>
      </c>
      <c r="G8" s="80">
        <f>D8*G$9</f>
        <v>316733.74885336403</v>
      </c>
      <c r="H8" s="80">
        <f>F8*H$9</f>
        <v>5397.4336475582149</v>
      </c>
      <c r="I8" s="76">
        <f>G8-H8</f>
        <v>311336.31520580582</v>
      </c>
      <c r="J8" s="77"/>
      <c r="K8" s="150"/>
    </row>
    <row r="9" spans="2:11" ht="13.5" thickBot="1">
      <c r="B9" s="151"/>
      <c r="C9" s="152">
        <f>SUM(C5:C8)</f>
        <v>18928064.680780791</v>
      </c>
      <c r="D9" s="153">
        <f>SUM(D5:D8)</f>
        <v>1</v>
      </c>
      <c r="E9" s="152">
        <f>SUM(E5:E8)</f>
        <v>343057.00000000012</v>
      </c>
      <c r="F9" s="153">
        <f>SUM(F5:F8)</f>
        <v>1</v>
      </c>
      <c r="G9" s="154">
        <v>20198813</v>
      </c>
      <c r="H9" s="154">
        <v>370082</v>
      </c>
      <c r="I9" s="152">
        <f>SUM(I5:I8)</f>
        <v>19828730.999999996</v>
      </c>
      <c r="J9" s="155"/>
      <c r="K9" s="156"/>
    </row>
    <row r="10" spans="2:11" ht="6" customHeight="1">
      <c r="B10" s="229"/>
      <c r="C10" s="229"/>
      <c r="D10" s="229"/>
      <c r="E10" s="229"/>
      <c r="F10" s="229"/>
      <c r="G10" s="229"/>
      <c r="H10" s="229"/>
      <c r="I10" s="229"/>
      <c r="J10" s="229"/>
      <c r="K10" s="229"/>
    </row>
    <row r="11" spans="2:11">
      <c r="B11" s="217" t="s">
        <v>182</v>
      </c>
      <c r="C11" s="217"/>
      <c r="D11" s="217"/>
      <c r="E11" s="217"/>
      <c r="F11" s="217"/>
      <c r="G11" s="217"/>
      <c r="H11" s="217"/>
      <c r="I11" s="217"/>
      <c r="J11" s="217"/>
      <c r="K11" s="217"/>
    </row>
    <row r="12" spans="2:11" ht="51">
      <c r="B12" s="77"/>
      <c r="C12" s="89" t="s">
        <v>171</v>
      </c>
      <c r="D12" s="89" t="s">
        <v>129</v>
      </c>
      <c r="E12" s="91" t="s">
        <v>172</v>
      </c>
      <c r="F12" s="89" t="s">
        <v>173</v>
      </c>
      <c r="G12" s="89" t="s">
        <v>131</v>
      </c>
      <c r="H12" s="91" t="s">
        <v>174</v>
      </c>
      <c r="I12" s="92" t="s">
        <v>175</v>
      </c>
      <c r="J12" s="93" t="s">
        <v>76</v>
      </c>
      <c r="K12" s="93" t="s">
        <v>144</v>
      </c>
    </row>
    <row r="13" spans="2:11">
      <c r="B13" s="77" t="s">
        <v>69</v>
      </c>
      <c r="C13" s="157">
        <f>'2011 Cost Allocation Design'!C15</f>
        <v>12641748.652890218</v>
      </c>
      <c r="D13" s="158">
        <f>'2011 Cost Allocation Design'!D15</f>
        <v>0.63754703479966623</v>
      </c>
      <c r="E13" s="158">
        <f>'2011 Cost Allocation Design'!E15</f>
        <v>0.72757959569365926</v>
      </c>
      <c r="F13" s="157">
        <f>'2011 Cost Allocation Design'!F15</f>
        <v>14426980.084098326</v>
      </c>
      <c r="G13" s="157">
        <f>'2011 Cost Allocation Design'!G15</f>
        <v>1785231.4312081076</v>
      </c>
      <c r="H13" s="158">
        <f>'2011 Cost Allocation Design'!H15</f>
        <v>1.1412171274897132</v>
      </c>
      <c r="I13" s="158">
        <f>'2011 Cost Allocation Design'!I15</f>
        <v>1.1671268758599544</v>
      </c>
      <c r="J13" s="157" t="str">
        <f>'2011 Cost Allocation Design'!J15</f>
        <v>85-115%</v>
      </c>
      <c r="K13" s="157" t="str">
        <f>'2011 Cost Allocation Design'!K15</f>
        <v>Beneficary</v>
      </c>
    </row>
    <row r="14" spans="2:11">
      <c r="B14" s="77" t="s">
        <v>70</v>
      </c>
      <c r="C14" s="157">
        <f>'2011 Cost Allocation Design'!C16</f>
        <v>4780976.8125982564</v>
      </c>
      <c r="D14" s="158">
        <f>'2011 Cost Allocation Design'!D16</f>
        <v>0.2411136049300511</v>
      </c>
      <c r="E14" s="158">
        <f>'2011 Cost Allocation Design'!E16</f>
        <v>0.14418811810364002</v>
      </c>
      <c r="F14" s="157">
        <f>'2011 Cost Allocation Design'!F16</f>
        <v>2859067.4072733074</v>
      </c>
      <c r="G14" s="157">
        <f>'2011 Cost Allocation Design'!G16</f>
        <v>-1921909.405324949</v>
      </c>
      <c r="H14" s="158">
        <f>'2011 Cost Allocation Design'!H16</f>
        <v>0.59800905115026626</v>
      </c>
      <c r="I14" s="158">
        <f>'2011 Cost Allocation Design'!I16</f>
        <v>0.3951816709745824</v>
      </c>
      <c r="J14" s="157" t="str">
        <f>'2011 Cost Allocation Design'!J16</f>
        <v>80-180%</v>
      </c>
      <c r="K14" s="158">
        <f>'2011 Cost Allocation Design'!K16</f>
        <v>0.59759083548729119</v>
      </c>
    </row>
    <row r="15" spans="2:11">
      <c r="B15" s="77" t="s">
        <v>16</v>
      </c>
      <c r="C15" s="157">
        <f>'2011 Cost Allocation Design'!C17</f>
        <v>2094669.2193057181</v>
      </c>
      <c r="D15" s="158">
        <f>'2011 Cost Allocation Design'!D17</f>
        <v>0.10563808744521869</v>
      </c>
      <c r="E15" s="158">
        <f>'2011 Cost Allocation Design'!E17</f>
        <v>0.12148084988219474</v>
      </c>
      <c r="F15" s="157">
        <f>'2011 Cost Allocation Design'!F17</f>
        <v>2408811.0939654205</v>
      </c>
      <c r="G15" s="157">
        <f>'2011 Cost Allocation Design'!G17</f>
        <v>314141.87465970241</v>
      </c>
      <c r="H15" s="158">
        <f>'2011 Cost Allocation Design'!H17</f>
        <v>1.1499720680307821</v>
      </c>
      <c r="I15" s="158">
        <f>'2011 Cost Allocation Design'!I17</f>
        <v>1.4993579205251439</v>
      </c>
      <c r="J15" s="157" t="str">
        <f>'2011 Cost Allocation Design'!J17</f>
        <v>85-115%</v>
      </c>
      <c r="K15" s="158">
        <f>'2011 Cost Allocation Design'!K17</f>
        <v>1.1499999999999999</v>
      </c>
    </row>
    <row r="16" spans="2:11">
      <c r="B16" s="77" t="s">
        <v>71</v>
      </c>
      <c r="C16" s="157">
        <f>'2011 Cost Allocation Design'!C18</f>
        <v>311336.31520580582</v>
      </c>
      <c r="D16" s="158">
        <f>'2011 Cost Allocation Design'!D18</f>
        <v>1.5701272825064089E-2</v>
      </c>
      <c r="E16" s="158">
        <f>'2011 Cost Allocation Design'!E18</f>
        <v>6.7514363205059469E-3</v>
      </c>
      <c r="F16" s="157">
        <f>'2011 Cost Allocation Design'!F18</f>
        <v>133872.41466294217</v>
      </c>
      <c r="G16" s="157">
        <f>'2011 Cost Allocation Design'!G18</f>
        <v>-177463.90054286364</v>
      </c>
      <c r="H16" s="158">
        <f>'2011 Cost Allocation Design'!H18</f>
        <v>0.42999293087427698</v>
      </c>
      <c r="I16" s="158">
        <f>'2011 Cost Allocation Design'!I18</f>
        <v>0.15916143523003418</v>
      </c>
      <c r="J16" s="157" t="str">
        <f>'2011 Cost Allocation Design'!J18</f>
        <v>70-120%</v>
      </c>
      <c r="K16" s="158">
        <f>'2011 Cost Allocation Design'!K18</f>
        <v>0.42958071761501709</v>
      </c>
    </row>
    <row r="17" spans="2:12" ht="13.5" thickBot="1">
      <c r="B17" s="77"/>
      <c r="C17" s="163">
        <f>SUM(C13:C16)</f>
        <v>19828730.999999996</v>
      </c>
      <c r="D17" s="153">
        <f>SUM(D13:D16)</f>
        <v>1</v>
      </c>
      <c r="E17" s="77"/>
      <c r="F17" s="163">
        <f>SUM(F13:F16)</f>
        <v>19828730.999999993</v>
      </c>
      <c r="G17" s="77"/>
      <c r="H17" s="77"/>
      <c r="I17" s="77"/>
      <c r="J17" s="77"/>
      <c r="K17" s="77"/>
    </row>
    <row r="18" spans="2:12" ht="6" customHeight="1" thickBot="1">
      <c r="B18" s="160"/>
      <c r="C18" s="160"/>
      <c r="D18" s="160"/>
      <c r="E18" s="160"/>
      <c r="F18" s="160"/>
      <c r="G18" s="160"/>
      <c r="H18" s="160"/>
      <c r="I18" s="160"/>
      <c r="J18" s="160"/>
      <c r="K18" s="160"/>
    </row>
    <row r="19" spans="2:12">
      <c r="B19" s="226" t="s">
        <v>181</v>
      </c>
      <c r="C19" s="227"/>
      <c r="D19" s="227"/>
      <c r="E19" s="227"/>
      <c r="F19" s="227"/>
      <c r="G19" s="227"/>
      <c r="H19" s="227"/>
      <c r="I19" s="227"/>
      <c r="J19" s="227"/>
      <c r="K19" s="228"/>
      <c r="L19" s="88"/>
    </row>
    <row r="20" spans="2:12" ht="51">
      <c r="B20" s="149"/>
      <c r="C20" s="89" t="s">
        <v>183</v>
      </c>
      <c r="D20" s="89" t="s">
        <v>129</v>
      </c>
      <c r="E20" s="91" t="s">
        <v>75</v>
      </c>
      <c r="F20" s="89" t="s">
        <v>130</v>
      </c>
      <c r="G20" s="89" t="s">
        <v>131</v>
      </c>
      <c r="H20" s="91" t="s">
        <v>74</v>
      </c>
      <c r="I20" s="92" t="s">
        <v>132</v>
      </c>
      <c r="J20" s="93" t="s">
        <v>76</v>
      </c>
      <c r="K20" s="159" t="s">
        <v>144</v>
      </c>
    </row>
    <row r="21" spans="2:12">
      <c r="B21" s="149" t="s">
        <v>69</v>
      </c>
      <c r="C21" s="80">
        <f>C13/C17*C25</f>
        <v>12742882.642113341</v>
      </c>
      <c r="D21" s="82">
        <f>C21/C$25</f>
        <v>0.63754703479966623</v>
      </c>
      <c r="E21" s="94">
        <f>1-(E22+E23+E24)</f>
        <v>0.7161137378063398</v>
      </c>
      <c r="F21" s="80">
        <f>E21*C$25</f>
        <v>14313223.685745372</v>
      </c>
      <c r="G21" s="80">
        <f>F21-C21</f>
        <v>1570341.0436320305</v>
      </c>
      <c r="H21" s="94">
        <f>F21/C21</f>
        <v>1.1232327949440801</v>
      </c>
      <c r="I21" s="95">
        <f>'Cost Allocation Sheet O1'!D73</f>
        <v>1.1671268758599544</v>
      </c>
      <c r="J21" s="71" t="s">
        <v>77</v>
      </c>
      <c r="K21" s="161" t="s">
        <v>150</v>
      </c>
    </row>
    <row r="22" spans="2:12">
      <c r="B22" s="149" t="s">
        <v>70</v>
      </c>
      <c r="C22" s="80">
        <f>C14/C17*C25</f>
        <v>4819224.6270990428</v>
      </c>
      <c r="D22" s="82">
        <f>C22/C$25</f>
        <v>0.2411136049300511</v>
      </c>
      <c r="E22" s="94">
        <v>0.15648272959960338</v>
      </c>
      <c r="F22" s="80">
        <f>E22*C$25</f>
        <v>3127676.7829872831</v>
      </c>
      <c r="G22" s="80">
        <f>F22-C22</f>
        <v>-1691547.8441117597</v>
      </c>
      <c r="H22" s="94">
        <f>F22/C22</f>
        <v>0.64900000000000091</v>
      </c>
      <c r="I22" s="95">
        <f>'Cost Allocation Sheet O1'!E73</f>
        <v>0.3951816709745824</v>
      </c>
      <c r="J22" s="71" t="s">
        <v>78</v>
      </c>
      <c r="K22" s="162">
        <f>'2011 Cost Allocation Design'!H16+(0.8-'2011 Cost Allocation Design'!H16)*0.25</f>
        <v>0.6485067883626997</v>
      </c>
    </row>
    <row r="23" spans="2:12">
      <c r="B23" s="149" t="s">
        <v>16</v>
      </c>
      <c r="C23" s="80">
        <f>C15/C17*C25</f>
        <v>2111426.5730601642</v>
      </c>
      <c r="D23" s="82">
        <f>C23/C$25</f>
        <v>0.1056380874452187</v>
      </c>
      <c r="E23" s="94">
        <v>0.1196</v>
      </c>
      <c r="F23" s="80">
        <f>E23*C$25</f>
        <v>2390488.3574207998</v>
      </c>
      <c r="G23" s="80">
        <f>F23-C23</f>
        <v>279061.78436063556</v>
      </c>
      <c r="H23" s="94">
        <f>F23/C23</f>
        <v>1.1321674113233222</v>
      </c>
      <c r="I23" s="95">
        <f>'Cost Allocation Sheet O1'!O73</f>
        <v>1.4993579205251439</v>
      </c>
      <c r="J23" s="71" t="s">
        <v>77</v>
      </c>
      <c r="K23" s="161" t="s">
        <v>150</v>
      </c>
    </row>
    <row r="24" spans="2:12">
      <c r="B24" s="149" t="s">
        <v>71</v>
      </c>
      <c r="C24" s="80">
        <f>C16/C17*C25</f>
        <v>313827.00572745228</v>
      </c>
      <c r="D24" s="82">
        <f>C24/C$25</f>
        <v>1.5701272825064089E-2</v>
      </c>
      <c r="E24" s="94">
        <v>7.8035325940568525E-3</v>
      </c>
      <c r="F24" s="80">
        <f>E24*C$25</f>
        <v>155972.02184654379</v>
      </c>
      <c r="G24" s="80">
        <f>F24-C24</f>
        <v>-157854.98388090849</v>
      </c>
      <c r="H24" s="94">
        <f>F24/C24</f>
        <v>0.49700000000000005</v>
      </c>
      <c r="I24" s="95">
        <f>'Cost Allocation Sheet O1'!J73</f>
        <v>0.15916143523003418</v>
      </c>
      <c r="J24" s="71" t="s">
        <v>79</v>
      </c>
      <c r="K24" s="162">
        <f>'2011 Cost Allocation Design'!H18+(0.7-'2011 Cost Allocation Design'!H18)*0.25</f>
        <v>0.49749469815570774</v>
      </c>
    </row>
    <row r="25" spans="2:12" ht="13.5" thickBot="1">
      <c r="B25" s="151"/>
      <c r="C25" s="163">
        <f>'Allocated Revenues'!M32</f>
        <v>19987360.847999997</v>
      </c>
      <c r="D25" s="153">
        <f>SUM(D21:D24)</f>
        <v>1.0000000000000002</v>
      </c>
      <c r="E25" s="164">
        <f>SUM(E21:E24)</f>
        <v>1</v>
      </c>
      <c r="F25" s="163">
        <f>SUM(F21:F24)</f>
        <v>19987360.847999997</v>
      </c>
      <c r="G25" s="155"/>
      <c r="H25" s="165"/>
      <c r="I25" s="155"/>
      <c r="J25" s="166"/>
      <c r="K25" s="156"/>
      <c r="L25" s="87"/>
    </row>
    <row r="26" spans="2:12" ht="6" customHeight="1"/>
    <row r="27" spans="2:12">
      <c r="B27" t="s">
        <v>142</v>
      </c>
      <c r="C27" s="225" t="s">
        <v>148</v>
      </c>
      <c r="D27" s="225"/>
      <c r="E27" s="225"/>
      <c r="F27" s="225"/>
      <c r="G27" s="225"/>
      <c r="H27" s="225"/>
      <c r="I27" s="225"/>
      <c r="J27" s="225"/>
      <c r="K27" s="225"/>
    </row>
    <row r="28" spans="2:12">
      <c r="B28" t="s">
        <v>143</v>
      </c>
      <c r="C28" s="225" t="s">
        <v>149</v>
      </c>
      <c r="D28" s="225"/>
      <c r="E28" s="225"/>
      <c r="F28" s="225"/>
      <c r="G28" s="225"/>
      <c r="H28" s="225"/>
      <c r="I28" s="225"/>
      <c r="J28" s="225"/>
      <c r="K28" s="225"/>
    </row>
    <row r="29" spans="2:12">
      <c r="B29" t="s">
        <v>145</v>
      </c>
      <c r="C29" s="225" t="s">
        <v>151</v>
      </c>
      <c r="D29" s="225"/>
      <c r="E29" s="225"/>
      <c r="F29" s="225"/>
      <c r="G29" s="225"/>
      <c r="H29" s="225"/>
      <c r="I29" s="225"/>
      <c r="J29" s="225"/>
      <c r="K29" s="225"/>
    </row>
    <row r="30" spans="2:12" ht="6" customHeight="1"/>
  </sheetData>
  <mergeCells count="8">
    <mergeCell ref="B1:K1"/>
    <mergeCell ref="C29:K29"/>
    <mergeCell ref="B3:K3"/>
    <mergeCell ref="B10:K10"/>
    <mergeCell ref="B19:K19"/>
    <mergeCell ref="C27:K27"/>
    <mergeCell ref="C28:K28"/>
    <mergeCell ref="B11:K11"/>
  </mergeCells>
  <pageMargins left="0.75" right="0.75" top="1" bottom="1" header="0.5" footer="0.5"/>
  <pageSetup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21"/>
  <sheetViews>
    <sheetView showGridLines="0" workbookViewId="0">
      <selection activeCell="H28" sqref="H28"/>
    </sheetView>
  </sheetViews>
  <sheetFormatPr defaultRowHeight="12.75"/>
  <cols>
    <col min="1" max="1" width="3.42578125" customWidth="1"/>
    <col min="2" max="2" width="15.28515625" bestFit="1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2.28515625" bestFit="1" customWidth="1"/>
  </cols>
  <sheetData>
    <row r="2" spans="2:13" ht="15.75">
      <c r="B2" s="206" t="s">
        <v>184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4" spans="2:13">
      <c r="B4" s="217" t="s">
        <v>152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</row>
    <row r="5" spans="2:13">
      <c r="B5" s="221" t="s">
        <v>80</v>
      </c>
      <c r="C5" s="221" t="s">
        <v>81</v>
      </c>
      <c r="D5" s="222" t="s">
        <v>82</v>
      </c>
      <c r="E5" s="217" t="s">
        <v>83</v>
      </c>
      <c r="F5" s="217"/>
      <c r="G5" s="217" t="s">
        <v>93</v>
      </c>
      <c r="H5" s="217"/>
      <c r="I5" s="217" t="s">
        <v>91</v>
      </c>
      <c r="J5" s="217"/>
      <c r="K5" s="217" t="s">
        <v>84</v>
      </c>
      <c r="L5" s="217"/>
      <c r="M5" s="217"/>
    </row>
    <row r="6" spans="2:13" ht="38.25">
      <c r="B6" s="221"/>
      <c r="C6" s="221"/>
      <c r="D6" s="222"/>
      <c r="E6" s="116" t="s">
        <v>73</v>
      </c>
      <c r="F6" s="116" t="s">
        <v>72</v>
      </c>
      <c r="G6" s="117" t="s">
        <v>89</v>
      </c>
      <c r="H6" s="117" t="s">
        <v>90</v>
      </c>
      <c r="I6" s="117" t="s">
        <v>85</v>
      </c>
      <c r="J6" s="117" t="s">
        <v>86</v>
      </c>
      <c r="K6" s="117" t="s">
        <v>87</v>
      </c>
      <c r="L6" s="117" t="s">
        <v>88</v>
      </c>
      <c r="M6" s="117" t="s">
        <v>21</v>
      </c>
    </row>
    <row r="7" spans="2:13">
      <c r="B7" s="70" t="s">
        <v>69</v>
      </c>
      <c r="C7" s="71" t="s">
        <v>73</v>
      </c>
      <c r="D7" s="72">
        <f>'Allocated Revenues'!D8</f>
        <v>8039</v>
      </c>
      <c r="E7" s="80">
        <f>'Allocated Revenues'!E8</f>
        <v>106119297</v>
      </c>
      <c r="F7" s="80"/>
      <c r="G7" s="82">
        <f>'Allocated Revenues'!G8</f>
        <v>0.13646721756898086</v>
      </c>
      <c r="H7" s="82">
        <f>1-G7</f>
        <v>0.86353278243101916</v>
      </c>
      <c r="I7" s="83">
        <f>K7/(D7*12)</f>
        <v>20.248018107933241</v>
      </c>
      <c r="J7" s="81">
        <f>L7/E7</f>
        <v>0.11647210473802204</v>
      </c>
      <c r="K7" s="80">
        <f>G7*M7</f>
        <v>1953285.8108361037</v>
      </c>
      <c r="L7" s="80">
        <f>H7*M7</f>
        <v>12359937.874909269</v>
      </c>
      <c r="M7" s="76">
        <f>'2012 Cost Allocation Design'!F21</f>
        <v>14313223.685745372</v>
      </c>
    </row>
    <row r="8" spans="2:13">
      <c r="B8" s="70" t="s">
        <v>70</v>
      </c>
      <c r="C8" s="71" t="s">
        <v>72</v>
      </c>
      <c r="D8" s="72">
        <f>'Allocated Revenues'!D9</f>
        <v>48</v>
      </c>
      <c r="E8" s="80"/>
      <c r="F8" s="80">
        <f>'Allocated Revenues'!F9</f>
        <v>151952</v>
      </c>
      <c r="G8" s="82">
        <f>'Allocated Revenues'!G9</f>
        <v>0.12009689562634947</v>
      </c>
      <c r="H8" s="82">
        <f>1-G8</f>
        <v>0.87990310437365049</v>
      </c>
      <c r="I8" s="83">
        <f>K8/(D8*12)</f>
        <v>652.12547249892395</v>
      </c>
      <c r="J8" s="81">
        <f>L8/F8</f>
        <v>18.111327990601655</v>
      </c>
      <c r="K8" s="80">
        <f>G8*M8</f>
        <v>375624.2721593802</v>
      </c>
      <c r="L8" s="80">
        <f>H8*M8</f>
        <v>2752052.5108279027</v>
      </c>
      <c r="M8" s="76">
        <f>'2012 Cost Allocation Design'!F22</f>
        <v>3127676.7829872831</v>
      </c>
    </row>
    <row r="9" spans="2:13">
      <c r="B9" s="77"/>
      <c r="C9" s="77"/>
      <c r="D9" s="77"/>
      <c r="E9" s="77"/>
      <c r="F9" s="77"/>
      <c r="G9" s="77"/>
      <c r="H9" s="77"/>
      <c r="I9" s="77"/>
      <c r="J9" s="77"/>
      <c r="K9" s="78">
        <f>SUM(K7:K8)</f>
        <v>2328910.0829954841</v>
      </c>
      <c r="L9" s="78">
        <f>SUM(L7:L8)</f>
        <v>15111990.385737171</v>
      </c>
      <c r="M9" s="78">
        <f>SUM(M7:M8)</f>
        <v>17440900.468732655</v>
      </c>
    </row>
    <row r="10" spans="2:13">
      <c r="B10" s="218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20"/>
    </row>
    <row r="11" spans="2:13">
      <c r="B11" s="217" t="s">
        <v>116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</row>
    <row r="12" spans="2:13" ht="12.75" customHeight="1">
      <c r="B12" s="217" t="s">
        <v>118</v>
      </c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</row>
    <row r="13" spans="2:13">
      <c r="B13" s="223" t="s">
        <v>153</v>
      </c>
      <c r="C13" s="231"/>
      <c r="D13" s="231"/>
      <c r="E13" s="231"/>
      <c r="F13" s="231"/>
      <c r="G13" s="231"/>
      <c r="H13" s="231"/>
      <c r="I13" s="231"/>
      <c r="J13" s="231"/>
      <c r="K13" s="231"/>
      <c r="L13" s="224"/>
      <c r="M13" s="141">
        <f>'Allocated Revenues'!E16</f>
        <v>1.7500000000000002E-2</v>
      </c>
    </row>
    <row r="14" spans="2:13">
      <c r="B14" s="221" t="s">
        <v>80</v>
      </c>
      <c r="C14" s="221" t="s">
        <v>81</v>
      </c>
      <c r="D14" s="222" t="s">
        <v>82</v>
      </c>
      <c r="E14" s="217" t="s">
        <v>83</v>
      </c>
      <c r="F14" s="217"/>
      <c r="G14" s="217" t="s">
        <v>93</v>
      </c>
      <c r="H14" s="217"/>
      <c r="I14" s="217" t="s">
        <v>91</v>
      </c>
      <c r="J14" s="217"/>
      <c r="K14" s="217" t="s">
        <v>84</v>
      </c>
      <c r="L14" s="217"/>
      <c r="M14" s="217"/>
    </row>
    <row r="15" spans="2:13" ht="38.25">
      <c r="B15" s="221"/>
      <c r="C15" s="221"/>
      <c r="D15" s="222"/>
      <c r="E15" s="116" t="s">
        <v>73</v>
      </c>
      <c r="F15" s="116" t="s">
        <v>72</v>
      </c>
      <c r="G15" s="117" t="s">
        <v>89</v>
      </c>
      <c r="H15" s="117" t="s">
        <v>90</v>
      </c>
      <c r="I15" s="117" t="s">
        <v>85</v>
      </c>
      <c r="J15" s="117" t="s">
        <v>86</v>
      </c>
      <c r="K15" s="117" t="s">
        <v>87</v>
      </c>
      <c r="L15" s="117" t="s">
        <v>88</v>
      </c>
      <c r="M15" s="117" t="s">
        <v>21</v>
      </c>
    </row>
    <row r="16" spans="2:13">
      <c r="B16" s="70" t="s">
        <v>69</v>
      </c>
      <c r="C16" s="71" t="s">
        <v>73</v>
      </c>
      <c r="D16" s="72">
        <f>D7</f>
        <v>8039</v>
      </c>
      <c r="E16" s="80">
        <f>E7</f>
        <v>106119297</v>
      </c>
      <c r="F16" s="80"/>
      <c r="G16" s="82">
        <f>K16/M16</f>
        <v>0.39277997906951551</v>
      </c>
      <c r="H16" s="82">
        <f>L16/M16</f>
        <v>0.60722002093048444</v>
      </c>
      <c r="I16" s="83">
        <f>'Tariff Sheet'!G7*(1+'Allocated Revenues'!E16)</f>
        <v>21.286100000000005</v>
      </c>
      <c r="J16" s="81">
        <f>'Tariff Sheet'!G8*(1+'2012 RRRP Rate Design'!M13)</f>
        <v>2.99145E-2</v>
      </c>
      <c r="K16" s="80">
        <f>D16*I16*12</f>
        <v>2053427.4948000005</v>
      </c>
      <c r="L16" s="80">
        <f>J16*E16</f>
        <v>3174505.7101065</v>
      </c>
      <c r="M16" s="76">
        <f>K16+L16</f>
        <v>5227933.2049065009</v>
      </c>
    </row>
    <row r="17" spans="2:13">
      <c r="B17" s="104" t="s">
        <v>70</v>
      </c>
      <c r="C17" s="105" t="s">
        <v>72</v>
      </c>
      <c r="D17" s="106">
        <f>D8</f>
        <v>48</v>
      </c>
      <c r="E17" s="107"/>
      <c r="F17" s="107">
        <f>F8</f>
        <v>151952</v>
      </c>
      <c r="G17" s="108">
        <f>K17/M17</f>
        <v>0.46760416897632656</v>
      </c>
      <c r="H17" s="108">
        <f>L17/M17</f>
        <v>0.53239583102367338</v>
      </c>
      <c r="I17" s="109">
        <f>'Tariff Sheet'!G11*(1+'Allocated Revenues'!E16)</f>
        <v>606.5521</v>
      </c>
      <c r="J17" s="110">
        <f>'Tariff Sheet'!G12*(1+'2012 RRRP Rate Design'!M13)</f>
        <v>2.6178240000000002</v>
      </c>
      <c r="K17" s="107">
        <f>D17*I17*12</f>
        <v>349374.00959999999</v>
      </c>
      <c r="L17" s="107">
        <f>J17*F17</f>
        <v>397783.59244800004</v>
      </c>
      <c r="M17" s="111">
        <f>K17+L17</f>
        <v>747157.60204800009</v>
      </c>
    </row>
    <row r="18" spans="2:13">
      <c r="B18" s="70" t="s">
        <v>146</v>
      </c>
      <c r="C18" s="71"/>
      <c r="D18" s="72"/>
      <c r="E18" s="80"/>
      <c r="F18" s="80"/>
      <c r="G18" s="82">
        <f>K18/M18</f>
        <v>0.4595618368317706</v>
      </c>
      <c r="H18" s="82">
        <f>L18/M18</f>
        <v>0.54043816316822946</v>
      </c>
      <c r="I18" s="83">
        <v>596.12</v>
      </c>
      <c r="J18" s="81">
        <f>L18/F17</f>
        <v>2.6573686562072241</v>
      </c>
      <c r="K18" s="80">
        <f>D17*I18*12</f>
        <v>343365.12</v>
      </c>
      <c r="L18" s="80">
        <f>M17-K18</f>
        <v>403792.48204800009</v>
      </c>
      <c r="M18" s="76">
        <f>K18+L18</f>
        <v>747157.60204800009</v>
      </c>
    </row>
    <row r="19" spans="2:13">
      <c r="B19" s="77"/>
      <c r="C19" s="77"/>
      <c r="D19" s="77"/>
      <c r="E19" s="77"/>
      <c r="F19" s="77"/>
      <c r="G19" s="77"/>
      <c r="H19" s="77"/>
      <c r="I19" s="77"/>
      <c r="J19" s="77"/>
      <c r="K19" s="78">
        <f>K16+K18</f>
        <v>2396792.6148000006</v>
      </c>
      <c r="L19" s="78">
        <f>L16+L18</f>
        <v>3578298.1921545002</v>
      </c>
      <c r="M19" s="78">
        <f>M16+M18</f>
        <v>5975090.8069545012</v>
      </c>
    </row>
    <row r="20" spans="2:13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2:13">
      <c r="B21" s="230" t="s">
        <v>154</v>
      </c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84">
        <f>M9-M19</f>
        <v>11465809.661778154</v>
      </c>
    </row>
  </sheetData>
  <mergeCells count="21">
    <mergeCell ref="B2:M2"/>
    <mergeCell ref="B4:M4"/>
    <mergeCell ref="B5:B6"/>
    <mergeCell ref="C5:C6"/>
    <mergeCell ref="D5:D6"/>
    <mergeCell ref="E5:F5"/>
    <mergeCell ref="G5:H5"/>
    <mergeCell ref="I5:J5"/>
    <mergeCell ref="K5:M5"/>
    <mergeCell ref="K14:M14"/>
    <mergeCell ref="B21:L21"/>
    <mergeCell ref="B10:M10"/>
    <mergeCell ref="B11:M11"/>
    <mergeCell ref="B12:M12"/>
    <mergeCell ref="B13:L13"/>
    <mergeCell ref="B14:B15"/>
    <mergeCell ref="C14:C15"/>
    <mergeCell ref="D14:D15"/>
    <mergeCell ref="E14:F14"/>
    <mergeCell ref="G14:H14"/>
    <mergeCell ref="I14:J14"/>
  </mergeCells>
  <pageMargins left="0.75" right="0.75" top="1" bottom="1" header="0.5" footer="0.5"/>
  <pageSetup scale="95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20"/>
  <sheetViews>
    <sheetView showGridLines="0" workbookViewId="0">
      <selection activeCell="L7" sqref="L7"/>
    </sheetView>
  </sheetViews>
  <sheetFormatPr defaultRowHeight="12.75"/>
  <cols>
    <col min="1" max="1" width="4.140625" customWidth="1"/>
    <col min="2" max="2" width="15.28515625" customWidth="1"/>
    <col min="3" max="3" width="6.42578125" customWidth="1"/>
    <col min="4" max="4" width="10.140625" customWidth="1"/>
    <col min="5" max="5" width="12.28515625" bestFit="1" customWidth="1"/>
    <col min="6" max="6" width="9.7109375" customWidth="1"/>
    <col min="7" max="8" width="10.140625" bestFit="1" customWidth="1"/>
    <col min="9" max="9" width="9.42578125" bestFit="1" customWidth="1"/>
    <col min="10" max="10" width="8.85546875" bestFit="1" customWidth="1"/>
    <col min="11" max="13" width="10.28515625" bestFit="1" customWidth="1"/>
  </cols>
  <sheetData>
    <row r="2" spans="2:13" ht="15.75">
      <c r="B2" s="206" t="s">
        <v>167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4" spans="2:13">
      <c r="B4" s="217" t="s">
        <v>152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</row>
    <row r="5" spans="2:13">
      <c r="B5" s="221" t="s">
        <v>80</v>
      </c>
      <c r="C5" s="221" t="s">
        <v>81</v>
      </c>
      <c r="D5" s="222" t="s">
        <v>82</v>
      </c>
      <c r="E5" s="217" t="s">
        <v>83</v>
      </c>
      <c r="F5" s="217"/>
      <c r="G5" s="223" t="s">
        <v>93</v>
      </c>
      <c r="H5" s="224"/>
      <c r="I5" s="217" t="s">
        <v>91</v>
      </c>
      <c r="J5" s="217"/>
      <c r="K5" s="217" t="s">
        <v>84</v>
      </c>
      <c r="L5" s="217"/>
      <c r="M5" s="217"/>
    </row>
    <row r="6" spans="2:13" ht="38.25">
      <c r="B6" s="221"/>
      <c r="C6" s="221"/>
      <c r="D6" s="222"/>
      <c r="E6" s="116" t="s">
        <v>73</v>
      </c>
      <c r="F6" s="116" t="s">
        <v>72</v>
      </c>
      <c r="G6" s="117" t="s">
        <v>89</v>
      </c>
      <c r="H6" s="117" t="s">
        <v>90</v>
      </c>
      <c r="I6" s="117" t="s">
        <v>85</v>
      </c>
      <c r="J6" s="117" t="s">
        <v>86</v>
      </c>
      <c r="K6" s="117" t="s">
        <v>87</v>
      </c>
      <c r="L6" s="117" t="s">
        <v>88</v>
      </c>
      <c r="M6" s="117" t="s">
        <v>21</v>
      </c>
    </row>
    <row r="7" spans="2:13">
      <c r="B7" s="70" t="s">
        <v>16</v>
      </c>
      <c r="C7" s="71" t="s">
        <v>73</v>
      </c>
      <c r="D7" s="72">
        <f>'Allocated Revenues'!D10</f>
        <v>3660</v>
      </c>
      <c r="E7" s="80">
        <f>'Allocated Revenues'!E30</f>
        <v>12622297</v>
      </c>
      <c r="F7" s="80"/>
      <c r="G7" s="82">
        <v>0.47499999999999998</v>
      </c>
      <c r="H7" s="82">
        <f>1-G7</f>
        <v>0.52500000000000002</v>
      </c>
      <c r="I7" s="170">
        <f>K7/(D7*12)</f>
        <v>25.853414612360648</v>
      </c>
      <c r="J7" s="172">
        <f>L7/E7</f>
        <v>9.9427733925601655E-2</v>
      </c>
      <c r="K7" s="171">
        <f>G7*M7</f>
        <v>1135481.9697748797</v>
      </c>
      <c r="L7" s="171">
        <f>H7*M7</f>
        <v>1255006.38764592</v>
      </c>
      <c r="M7" s="171">
        <f>'2012 Cost Allocation Design'!F23</f>
        <v>2390488.3574207998</v>
      </c>
    </row>
    <row r="8" spans="2:13">
      <c r="B8" s="104" t="s">
        <v>71</v>
      </c>
      <c r="C8" s="105" t="s">
        <v>73</v>
      </c>
      <c r="D8" s="106">
        <f>'Allocated Revenues'!D11</f>
        <v>1052</v>
      </c>
      <c r="E8" s="107">
        <f>'Allocated Revenues'!E11</f>
        <v>791996</v>
      </c>
      <c r="F8" s="107"/>
      <c r="G8" s="108">
        <f>'Allocated Revenues'!G31</f>
        <v>0</v>
      </c>
      <c r="H8" s="108">
        <f>'Allocated Revenues'!H31</f>
        <v>1</v>
      </c>
      <c r="I8" s="170">
        <f>'Allocated Revenues'!I31</f>
        <v>0</v>
      </c>
      <c r="J8" s="172">
        <f>L8/E8</f>
        <v>0.19693536564142217</v>
      </c>
      <c r="K8" s="171">
        <f>G8*M8</f>
        <v>0</v>
      </c>
      <c r="L8" s="171">
        <f>H8*M8</f>
        <v>155972.02184654379</v>
      </c>
      <c r="M8" s="171">
        <f>'2012 Cost Allocation Design'!F24</f>
        <v>155972.02184654379</v>
      </c>
    </row>
    <row r="9" spans="2:13">
      <c r="B9" s="70" t="s">
        <v>71</v>
      </c>
      <c r="C9" s="115"/>
      <c r="D9" s="72"/>
      <c r="E9" s="80"/>
      <c r="F9" s="80"/>
      <c r="G9" s="82">
        <f>K9/M9</f>
        <v>7.8321689847804563E-2</v>
      </c>
      <c r="H9" s="82">
        <f>L9/M9</f>
        <v>0.92167831015219548</v>
      </c>
      <c r="I9" s="112">
        <f>'Tariff Sheet'!G19*(1+'Allocated Revenues'!E20)</f>
        <v>0.96767999999999998</v>
      </c>
      <c r="J9" s="81">
        <f>L9/E8</f>
        <v>0.18151105501359072</v>
      </c>
      <c r="K9" s="80">
        <f>(I9*D8*12)</f>
        <v>12215.992320000001</v>
      </c>
      <c r="L9" s="80">
        <f>M8-K9</f>
        <v>143756.0295265438</v>
      </c>
      <c r="M9" s="76">
        <f>K9+L9</f>
        <v>155972.02184654379</v>
      </c>
    </row>
    <row r="10" spans="2:13">
      <c r="B10" s="77"/>
      <c r="C10" s="77"/>
      <c r="D10" s="77"/>
      <c r="E10" s="77"/>
      <c r="F10" s="77"/>
      <c r="G10" s="77"/>
      <c r="H10" s="77"/>
      <c r="I10" s="77"/>
      <c r="J10" s="77"/>
      <c r="K10" s="78">
        <f>K7+K9</f>
        <v>1147697.9620948797</v>
      </c>
      <c r="L10" s="78">
        <f>L7+L9</f>
        <v>1398762.4171724638</v>
      </c>
      <c r="M10" s="78">
        <f>M7+M9</f>
        <v>2546460.3792673438</v>
      </c>
    </row>
    <row r="12" spans="2:13">
      <c r="M12" s="79"/>
    </row>
    <row r="19" spans="6:6">
      <c r="F19" s="85"/>
    </row>
    <row r="20" spans="6:6">
      <c r="F20" s="86"/>
    </row>
  </sheetData>
  <mergeCells count="9">
    <mergeCell ref="B2:M2"/>
    <mergeCell ref="B4:M4"/>
    <mergeCell ref="B5:B6"/>
    <mergeCell ref="C5:C6"/>
    <mergeCell ref="D5:D6"/>
    <mergeCell ref="E5:F5"/>
    <mergeCell ref="G5:H5"/>
    <mergeCell ref="I5:J5"/>
    <mergeCell ref="K5:M5"/>
  </mergeCells>
  <pageMargins left="0.75" right="0.75" top="1" bottom="1" header="0.5" footer="0.5"/>
  <pageSetup scale="97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Sheet</vt:lpstr>
      <vt:lpstr>Tariff Sheet</vt:lpstr>
      <vt:lpstr>Forecast Data</vt:lpstr>
      <vt:lpstr>Cost Allocation Sheet O1</vt:lpstr>
      <vt:lpstr>2011 Cost Allocation Design</vt:lpstr>
      <vt:lpstr>Allocated Revenues</vt:lpstr>
      <vt:lpstr>2012 Cost Allocation Design</vt:lpstr>
      <vt:lpstr>2012 RRRP Rate Design</vt:lpstr>
      <vt:lpstr>2012 Non-RRRP Rate Design</vt:lpstr>
      <vt:lpstr>Reconciliation</vt:lpstr>
    </vt:vector>
  </TitlesOfParts>
  <Company>FortisOntario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bradburyd</cp:lastModifiedBy>
  <cp:lastPrinted>2011-08-22T19:24:15Z</cp:lastPrinted>
  <dcterms:created xsi:type="dcterms:W3CDTF">2010-05-25T18:02:24Z</dcterms:created>
  <dcterms:modified xsi:type="dcterms:W3CDTF">2011-09-13T14:25:35Z</dcterms:modified>
</cp:coreProperties>
</file>