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suincca.sharepoint.com/sites/elenchus297/Shared Documents/General/11 - OPEB PO 5 Response - Letter re Inquiries/00 - Files for submission/"/>
    </mc:Choice>
  </mc:AlternateContent>
  <xr:revisionPtr revIDLastSave="736" documentId="8_{A1CC24F4-43EC-40D9-B113-9D5E4F824D3A}" xr6:coauthVersionLast="47" xr6:coauthVersionMax="47" xr10:uidLastSave="{06327FF3-4CD1-4C32-B233-83A41BA1928C}"/>
  <bookViews>
    <workbookView xWindow="-25320" yWindow="-120" windowWidth="25440" windowHeight="15270" xr2:uid="{C1248FCA-532E-49C3-9E39-0D6A2B75693C}"/>
  </bookViews>
  <sheets>
    <sheet name="Rec Proposal to Projec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2" l="1"/>
  <c r="U5" i="2"/>
  <c r="U4" i="2"/>
  <c r="U15" i="2"/>
  <c r="R17" i="2"/>
  <c r="T17" i="2" s="1"/>
  <c r="S17" i="2" s="1"/>
  <c r="Q16" i="2"/>
  <c r="R19" i="2"/>
  <c r="T19" i="2" s="1"/>
  <c r="S19" i="2" s="1"/>
  <c r="R18" i="2"/>
  <c r="T18" i="2" s="1"/>
  <c r="S18" i="2" s="1"/>
  <c r="R16" i="2"/>
  <c r="T16" i="2" s="1"/>
  <c r="R9" i="2"/>
  <c r="T9" i="2" s="1"/>
  <c r="R8" i="2"/>
  <c r="T8" i="2" s="1"/>
  <c r="R7" i="2"/>
  <c r="T7" i="2" s="1"/>
  <c r="R6" i="2"/>
  <c r="T6" i="2" s="1"/>
  <c r="U6" i="2" s="1"/>
  <c r="Q7" i="2" s="1"/>
  <c r="G7" i="2"/>
  <c r="G17" i="2"/>
  <c r="F20" i="2"/>
  <c r="F19" i="2"/>
  <c r="F18" i="2"/>
  <c r="F17" i="2"/>
  <c r="F16" i="2"/>
  <c r="F10" i="2"/>
  <c r="F9" i="2"/>
  <c r="F8" i="2"/>
  <c r="F7" i="2"/>
  <c r="F6" i="2"/>
  <c r="G15" i="2"/>
  <c r="F5" i="2"/>
  <c r="I5" i="2" s="1"/>
  <c r="C6" i="2" s="1"/>
  <c r="F15" i="2"/>
  <c r="I15" i="2" s="1"/>
  <c r="C16" i="2" s="1"/>
  <c r="L15" i="2" l="1"/>
  <c r="O15" i="2" s="1"/>
  <c r="K16" i="2" s="1"/>
  <c r="O16" i="2" s="1"/>
  <c r="K17" i="2" s="1"/>
  <c r="O17" i="2" s="1"/>
  <c r="K18" i="2" s="1"/>
  <c r="O18" i="2" s="1"/>
  <c r="K19" i="2" s="1"/>
  <c r="O19" i="2" s="1"/>
  <c r="K20" i="2" s="1"/>
  <c r="O20" i="2" s="1"/>
  <c r="U16" i="2"/>
  <c r="Q17" i="2" s="1"/>
  <c r="U17" i="2" s="1"/>
  <c r="S16" i="2"/>
  <c r="U7" i="2"/>
  <c r="Q8" i="2" s="1"/>
  <c r="L5" i="2"/>
  <c r="M15" i="2"/>
  <c r="I16" i="2"/>
  <c r="C17" i="2" s="1"/>
  <c r="I17" i="2" s="1"/>
  <c r="C18" i="2" s="1"/>
  <c r="I18" i="2" s="1"/>
  <c r="C19" i="2" s="1"/>
  <c r="I19" i="2" s="1"/>
  <c r="C20" i="2" s="1"/>
  <c r="I20" i="2" s="1"/>
  <c r="C21" i="2" s="1"/>
  <c r="I6" i="2"/>
  <c r="C7" i="2" s="1"/>
  <c r="I7" i="2" s="1"/>
  <c r="C8" i="2" s="1"/>
  <c r="I8" i="2" s="1"/>
  <c r="C9" i="2" s="1"/>
  <c r="I9" i="2" s="1"/>
  <c r="C10" i="2" s="1"/>
  <c r="I10" i="2" s="1"/>
  <c r="C11" i="2" s="1"/>
  <c r="U8" i="2" l="1"/>
  <c r="Q9" i="2" s="1"/>
  <c r="Q18" i="2"/>
  <c r="U18" i="2" s="1"/>
  <c r="N5" i="2"/>
  <c r="O5" i="2" s="1"/>
  <c r="K6" i="2" s="1"/>
  <c r="O6" i="2" s="1"/>
  <c r="K7" i="2" s="1"/>
  <c r="O7" i="2" s="1"/>
  <c r="K8" i="2" s="1"/>
  <c r="O8" i="2" s="1"/>
  <c r="K9" i="2" s="1"/>
  <c r="O9" i="2" s="1"/>
  <c r="K10" i="2" s="1"/>
  <c r="O10" i="2" s="1"/>
  <c r="O22" i="2" s="1"/>
  <c r="Q19" i="2" l="1"/>
  <c r="U9" i="2"/>
  <c r="Q10" i="2" s="1"/>
  <c r="U10" i="2" s="1"/>
  <c r="U19" i="2" l="1"/>
  <c r="Q20" i="2" s="1"/>
  <c r="U20" i="2" s="1"/>
  <c r="U22" i="2" s="1"/>
</calcChain>
</file>

<file path=xl/sharedStrings.xml><?xml version="1.0" encoding="utf-8"?>
<sst xmlns="http://schemas.openxmlformats.org/spreadsheetml/2006/main" count="37" uniqueCount="17">
  <si>
    <t>GSHi</t>
  </si>
  <si>
    <t>GSHPi</t>
  </si>
  <si>
    <t>Accrual activity</t>
  </si>
  <si>
    <t>Actuarial gain/loss</t>
  </si>
  <si>
    <t>Benefits paid</t>
  </si>
  <si>
    <t>Current Service</t>
  </si>
  <si>
    <t>Interest</t>
  </si>
  <si>
    <t>Entity</t>
  </si>
  <si>
    <t>Opening balance</t>
  </si>
  <si>
    <t>Closing balance</t>
  </si>
  <si>
    <t>Transition amount DVA</t>
  </si>
  <si>
    <t>Actuarial gain/loss DVA</t>
  </si>
  <si>
    <t>Adjustment %</t>
  </si>
  <si>
    <t>Adjustment Amount</t>
  </si>
  <si>
    <t>Addition</t>
  </si>
  <si>
    <t>GSHi Principal Amount Proposed</t>
  </si>
  <si>
    <t>2025 Opening agrees to RSM projections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</si>
</sst>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165" fontId="0" fillId="0" borderId="0" xfId="2" applyNumberFormat="1" applyFont="1" applyBorder="1"/>
    <xf numFmtId="0" fontId="0" fillId="0" borderId="0" xfId="0" applyAlignment="1">
      <alignment horizontal="right"/>
    </xf>
    <xf numFmtId="165" fontId="2" fillId="0" borderId="2" xfId="0" applyNumberFormat="1" applyFont="1" applyBorder="1"/>
    <xf numFmtId="15" fontId="0" fillId="0" borderId="0" xfId="0" applyNumberFormat="1"/>
    <xf numFmtId="165" fontId="0" fillId="2" borderId="0" xfId="2" applyNumberFormat="1" applyFont="1" applyFill="1" applyBorder="1"/>
    <xf numFmtId="165" fontId="0" fillId="0" borderId="0" xfId="2" applyNumberFormat="1" applyFont="1" applyFill="1" applyBorder="1"/>
    <xf numFmtId="10" fontId="0" fillId="0" borderId="0" xfId="3" applyNumberFormat="1" applyFont="1" applyBorder="1"/>
    <xf numFmtId="165" fontId="0" fillId="0" borderId="3" xfId="2" applyNumberFormat="1" applyFont="1" applyBorder="1"/>
    <xf numFmtId="164" fontId="0" fillId="0" borderId="0" xfId="1" applyNumberFormat="1" applyFont="1" applyAlignment="1">
      <alignment horizontal="center"/>
    </xf>
    <xf numFmtId="165" fontId="0" fillId="0" borderId="1" xfId="2" applyNumberFormat="1" applyFont="1" applyBorder="1"/>
    <xf numFmtId="165" fontId="0" fillId="3" borderId="0" xfId="2" applyNumberFormat="1" applyFon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1" applyNumberFormat="1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164" fontId="0" fillId="3" borderId="0" xfId="1" applyNumberFormat="1" applyFont="1" applyFill="1" applyAlignment="1">
      <alignment horizontal="right" wrapText="1"/>
    </xf>
    <xf numFmtId="164" fontId="0" fillId="0" borderId="0" xfId="1" applyNumberFormat="1" applyFont="1" applyAlignment="1">
      <alignment horizontal="right" wrapText="1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76DB-1406-4525-9F86-DAF3E93343BF}">
  <dimension ref="A2:U25"/>
  <sheetViews>
    <sheetView tabSelected="1" zoomScaleNormal="100" workbookViewId="0"/>
  </sheetViews>
  <sheetFormatPr defaultRowHeight="15" x14ac:dyDescent="0.25"/>
  <cols>
    <col min="1" max="1" width="17.42578125" bestFit="1" customWidth="1"/>
    <col min="2" max="2" width="7.85546875" customWidth="1"/>
    <col min="3" max="3" width="11.28515625" customWidth="1"/>
    <col min="4" max="5" width="7.5703125" bestFit="1" customWidth="1"/>
    <col min="6" max="6" width="7.7109375" bestFit="1" customWidth="1"/>
    <col min="7" max="7" width="9" bestFit="1" customWidth="1"/>
    <col min="8" max="8" width="10.5703125" bestFit="1" customWidth="1"/>
    <col min="9" max="9" width="10.140625" bestFit="1" customWidth="1"/>
    <col min="10" max="10" width="1.42578125" style="14" customWidth="1"/>
    <col min="11" max="12" width="10.140625" bestFit="1" customWidth="1"/>
    <col min="13" max="13" width="14.42578125" hidden="1" customWidth="1"/>
    <col min="14" max="14" width="11.42578125" bestFit="1" customWidth="1"/>
    <col min="15" max="15" width="10.140625" bestFit="1" customWidth="1"/>
    <col min="16" max="16" width="1.42578125" style="14" customWidth="1"/>
    <col min="17" max="18" width="10.5703125" bestFit="1" customWidth="1"/>
    <col min="19" max="19" width="14.5703125" hidden="1" customWidth="1"/>
    <col min="20" max="20" width="11.42578125" bestFit="1" customWidth="1"/>
    <col min="21" max="21" width="10.5703125" customWidth="1"/>
  </cols>
  <sheetData>
    <row r="2" spans="1:21" x14ac:dyDescent="0.25">
      <c r="J2" s="13"/>
      <c r="K2" s="21" t="s">
        <v>10</v>
      </c>
      <c r="L2" s="21"/>
      <c r="M2" s="21"/>
      <c r="N2" s="21"/>
      <c r="O2" s="21"/>
      <c r="P2" s="13"/>
      <c r="Q2" s="21" t="s">
        <v>11</v>
      </c>
      <c r="R2" s="21"/>
      <c r="S2" s="21"/>
      <c r="T2" s="21"/>
      <c r="U2" s="21"/>
    </row>
    <row r="3" spans="1:21" ht="30" x14ac:dyDescent="0.25">
      <c r="B3" s="3" t="s">
        <v>7</v>
      </c>
      <c r="C3" s="17" t="s">
        <v>8</v>
      </c>
      <c r="D3" s="17" t="s">
        <v>5</v>
      </c>
      <c r="E3" s="17" t="s">
        <v>6</v>
      </c>
      <c r="F3" s="17" t="s">
        <v>2</v>
      </c>
      <c r="G3" s="17" t="s">
        <v>4</v>
      </c>
      <c r="H3" s="17" t="s">
        <v>3</v>
      </c>
      <c r="I3" s="17" t="s">
        <v>9</v>
      </c>
      <c r="J3" s="18"/>
      <c r="K3" s="19" t="s">
        <v>8</v>
      </c>
      <c r="L3" s="19" t="s">
        <v>14</v>
      </c>
      <c r="M3" s="19" t="s">
        <v>12</v>
      </c>
      <c r="N3" s="19" t="s">
        <v>13</v>
      </c>
      <c r="O3" s="19" t="s">
        <v>9</v>
      </c>
      <c r="P3" s="18"/>
      <c r="Q3" s="19" t="s">
        <v>8</v>
      </c>
      <c r="R3" s="20" t="s">
        <v>14</v>
      </c>
      <c r="S3" s="20" t="s">
        <v>12</v>
      </c>
      <c r="T3" s="19" t="s">
        <v>13</v>
      </c>
      <c r="U3" s="19" t="s">
        <v>9</v>
      </c>
    </row>
    <row r="4" spans="1:21" x14ac:dyDescent="0.25">
      <c r="U4" s="2">
        <f t="shared" ref="U4:U10" si="0">Q4+R4+T4</f>
        <v>0</v>
      </c>
    </row>
    <row r="5" spans="1:21" x14ac:dyDescent="0.25">
      <c r="A5" s="5">
        <v>43830</v>
      </c>
      <c r="B5" t="s">
        <v>0</v>
      </c>
      <c r="C5" s="2">
        <v>13958484</v>
      </c>
      <c r="D5" s="6">
        <v>206028</v>
      </c>
      <c r="E5" s="6">
        <v>531842</v>
      </c>
      <c r="F5" s="2">
        <f>SUM(D5:E5)</f>
        <v>737870</v>
      </c>
      <c r="G5" s="2">
        <v>-643026</v>
      </c>
      <c r="H5" s="2">
        <v>2055990</v>
      </c>
      <c r="I5" s="2">
        <f>C5+SUM(F5:H5)</f>
        <v>16109318</v>
      </c>
      <c r="K5" s="2">
        <v>0</v>
      </c>
      <c r="L5" s="2">
        <f>I5</f>
        <v>16109318</v>
      </c>
      <c r="M5" s="8">
        <v>4.6600000000000003E-2</v>
      </c>
      <c r="N5" s="2">
        <f>L5*-M5</f>
        <v>-750694.21880000003</v>
      </c>
      <c r="O5" s="2">
        <f>K5+L5+N5</f>
        <v>15358623.781199999</v>
      </c>
      <c r="Q5" s="2">
        <v>0</v>
      </c>
      <c r="R5" s="2"/>
      <c r="S5" s="2"/>
      <c r="T5" s="2"/>
      <c r="U5" s="2">
        <f t="shared" si="0"/>
        <v>0</v>
      </c>
    </row>
    <row r="6" spans="1:21" x14ac:dyDescent="0.25">
      <c r="A6" s="5">
        <v>44196</v>
      </c>
      <c r="B6" t="s">
        <v>0</v>
      </c>
      <c r="C6" s="2">
        <f>I5</f>
        <v>16109318</v>
      </c>
      <c r="D6" s="6">
        <v>102497</v>
      </c>
      <c r="E6" s="6">
        <v>491708</v>
      </c>
      <c r="F6" s="2">
        <f>SUM(D6:E6)</f>
        <v>594205</v>
      </c>
      <c r="G6" s="2">
        <v>-495543</v>
      </c>
      <c r="H6" s="2">
        <v>1265536</v>
      </c>
      <c r="I6" s="2">
        <f>C6+SUM(F6:H6)</f>
        <v>17473516</v>
      </c>
      <c r="J6" s="15"/>
      <c r="K6" s="2">
        <f>O5</f>
        <v>15358623.781199999</v>
      </c>
      <c r="L6" s="12"/>
      <c r="M6" s="12"/>
      <c r="N6" s="12"/>
      <c r="O6" s="2">
        <f t="shared" ref="O6:O10" si="1">K6+L6+N6</f>
        <v>15358623.781199999</v>
      </c>
      <c r="P6" s="15"/>
      <c r="Q6" s="2">
        <v>0</v>
      </c>
      <c r="R6" s="2">
        <f>H6</f>
        <v>1265536</v>
      </c>
      <c r="S6" s="8">
        <v>4.6600000000000003E-2</v>
      </c>
      <c r="T6" s="2">
        <f>-S6*R6</f>
        <v>-58973.977600000006</v>
      </c>
      <c r="U6" s="2">
        <f t="shared" si="0"/>
        <v>1206562.0223999999</v>
      </c>
    </row>
    <row r="7" spans="1:21" x14ac:dyDescent="0.25">
      <c r="A7" s="5">
        <v>44561</v>
      </c>
      <c r="B7" t="s">
        <v>0</v>
      </c>
      <c r="C7" s="2">
        <f>I6</f>
        <v>17473516</v>
      </c>
      <c r="D7" s="6">
        <v>93694</v>
      </c>
      <c r="E7" s="6">
        <v>447880</v>
      </c>
      <c r="F7" s="2">
        <f t="shared" ref="F7:F10" si="2">SUM(D7:E7)</f>
        <v>541574</v>
      </c>
      <c r="G7" s="2">
        <f>-494752-1</f>
        <v>-494753</v>
      </c>
      <c r="H7" s="2">
        <v>-993633</v>
      </c>
      <c r="I7" s="2">
        <f t="shared" ref="I7:I10" si="3">C7+SUM(F7:H7)</f>
        <v>16526704</v>
      </c>
      <c r="J7" s="15"/>
      <c r="K7" s="2">
        <f t="shared" ref="K7:K10" si="4">O6</f>
        <v>15358623.781199999</v>
      </c>
      <c r="L7" s="12"/>
      <c r="M7" s="12"/>
      <c r="N7" s="12"/>
      <c r="O7" s="2">
        <f t="shared" si="1"/>
        <v>15358623.781199999</v>
      </c>
      <c r="P7" s="15"/>
      <c r="Q7" s="2">
        <f>U6</f>
        <v>1206562.0223999999</v>
      </c>
      <c r="R7" s="2">
        <f>H7</f>
        <v>-993633</v>
      </c>
      <c r="S7" s="8">
        <v>4.6600000000000003E-2</v>
      </c>
      <c r="T7" s="2">
        <f t="shared" ref="T7:T9" si="5">-S7*R7</f>
        <v>46303.2978</v>
      </c>
      <c r="U7" s="2">
        <f t="shared" si="0"/>
        <v>259232.3201999999</v>
      </c>
    </row>
    <row r="8" spans="1:21" x14ac:dyDescent="0.25">
      <c r="A8" s="5">
        <v>44926</v>
      </c>
      <c r="B8" t="s">
        <v>0</v>
      </c>
      <c r="C8" s="2">
        <f t="shared" ref="C8:C10" si="6">I7</f>
        <v>16526704</v>
      </c>
      <c r="D8" s="6">
        <v>75786</v>
      </c>
      <c r="E8" s="6">
        <v>488184</v>
      </c>
      <c r="F8" s="2">
        <f t="shared" si="2"/>
        <v>563970</v>
      </c>
      <c r="G8" s="2">
        <v>-507801</v>
      </c>
      <c r="H8" s="2">
        <v>-5284414</v>
      </c>
      <c r="I8" s="2">
        <f t="shared" si="3"/>
        <v>11298459</v>
      </c>
      <c r="J8" s="15"/>
      <c r="K8" s="2">
        <f t="shared" si="4"/>
        <v>15358623.781199999</v>
      </c>
      <c r="L8" s="12"/>
      <c r="M8" s="12"/>
      <c r="N8" s="12"/>
      <c r="O8" s="2">
        <f t="shared" si="1"/>
        <v>15358623.781199999</v>
      </c>
      <c r="P8" s="15"/>
      <c r="Q8" s="2">
        <f>U7</f>
        <v>259232.3201999999</v>
      </c>
      <c r="R8" s="2">
        <f>H8</f>
        <v>-5284414</v>
      </c>
      <c r="S8" s="8">
        <v>4.6600000000000003E-2</v>
      </c>
      <c r="T8" s="2">
        <f t="shared" si="5"/>
        <v>246253.6924</v>
      </c>
      <c r="U8" s="2">
        <f t="shared" si="0"/>
        <v>-4778927.9874</v>
      </c>
    </row>
    <row r="9" spans="1:21" x14ac:dyDescent="0.25">
      <c r="A9" s="5">
        <v>45291</v>
      </c>
      <c r="B9" t="s">
        <v>0</v>
      </c>
      <c r="C9" s="2">
        <f t="shared" si="6"/>
        <v>11298459</v>
      </c>
      <c r="D9" s="6">
        <v>43802</v>
      </c>
      <c r="E9" s="6">
        <v>555953</v>
      </c>
      <c r="F9" s="2">
        <f t="shared" si="2"/>
        <v>599755</v>
      </c>
      <c r="G9" s="2">
        <v>-586926</v>
      </c>
      <c r="H9" s="2">
        <v>558068</v>
      </c>
      <c r="I9" s="2">
        <f t="shared" si="3"/>
        <v>11869356</v>
      </c>
      <c r="J9" s="15"/>
      <c r="K9" s="2">
        <f t="shared" si="4"/>
        <v>15358623.781199999</v>
      </c>
      <c r="L9" s="12"/>
      <c r="M9" s="12"/>
      <c r="N9" s="12"/>
      <c r="O9" s="2">
        <f t="shared" si="1"/>
        <v>15358623.781199999</v>
      </c>
      <c r="P9" s="15"/>
      <c r="Q9" s="2">
        <f>U8</f>
        <v>-4778927.9874</v>
      </c>
      <c r="R9" s="2">
        <f>H9</f>
        <v>558068</v>
      </c>
      <c r="S9" s="8">
        <v>4.6600000000000003E-2</v>
      </c>
      <c r="T9" s="2">
        <f t="shared" si="5"/>
        <v>-26005.968800000002</v>
      </c>
      <c r="U9" s="2">
        <f t="shared" si="0"/>
        <v>-4246865.9561999999</v>
      </c>
    </row>
    <row r="10" spans="1:21" x14ac:dyDescent="0.25">
      <c r="A10" s="5">
        <v>45657</v>
      </c>
      <c r="B10" t="s">
        <v>0</v>
      </c>
      <c r="C10" s="2">
        <f t="shared" si="6"/>
        <v>11869356</v>
      </c>
      <c r="D10" s="6">
        <v>51306</v>
      </c>
      <c r="E10" s="6">
        <v>537874</v>
      </c>
      <c r="F10" s="2">
        <f t="shared" si="2"/>
        <v>589180</v>
      </c>
      <c r="G10" s="2">
        <v>-592562</v>
      </c>
      <c r="H10" s="2">
        <v>-18750</v>
      </c>
      <c r="I10" s="7">
        <f t="shared" si="3"/>
        <v>11847224</v>
      </c>
      <c r="J10" s="15"/>
      <c r="K10" s="2">
        <f t="shared" si="4"/>
        <v>15358623.781199999</v>
      </c>
      <c r="L10" s="12"/>
      <c r="M10" s="12"/>
      <c r="N10" s="12"/>
      <c r="O10" s="11">
        <f t="shared" si="1"/>
        <v>15358623.781199999</v>
      </c>
      <c r="P10" s="15"/>
      <c r="Q10" s="2">
        <f>U9</f>
        <v>-4246865.9561999999</v>
      </c>
      <c r="R10" s="2"/>
      <c r="S10" s="2"/>
      <c r="T10" s="2"/>
      <c r="U10" s="11">
        <f t="shared" si="0"/>
        <v>-4246865.9561999999</v>
      </c>
    </row>
    <row r="11" spans="1:21" x14ac:dyDescent="0.25">
      <c r="A11" s="5">
        <v>46022</v>
      </c>
      <c r="B11" t="s">
        <v>0</v>
      </c>
      <c r="C11" s="11">
        <f>I10</f>
        <v>11847224</v>
      </c>
      <c r="E11" s="2"/>
      <c r="F11" s="2"/>
      <c r="G11" s="2"/>
      <c r="H11" s="2"/>
      <c r="I11" s="2"/>
      <c r="J11" s="15"/>
      <c r="K11" s="2"/>
      <c r="L11" s="2"/>
      <c r="M11" s="2"/>
      <c r="N11" s="2"/>
      <c r="O11" s="2"/>
      <c r="P11" s="15"/>
      <c r="Q11" s="2"/>
      <c r="R11" s="2"/>
      <c r="S11" s="2"/>
      <c r="T11" s="2"/>
      <c r="U11" s="2"/>
    </row>
    <row r="12" spans="1:21" x14ac:dyDescent="0.25">
      <c r="C12" s="10" t="s">
        <v>16</v>
      </c>
      <c r="D12" s="1"/>
      <c r="E12" s="1"/>
      <c r="F12" s="1"/>
      <c r="G12" s="1"/>
      <c r="H12" s="1"/>
      <c r="I12" s="1"/>
      <c r="J12" s="15"/>
      <c r="K12" s="2"/>
      <c r="L12" s="2"/>
      <c r="M12" s="2"/>
      <c r="N12" s="2"/>
      <c r="O12" s="2"/>
      <c r="P12" s="15"/>
      <c r="Q12" s="2"/>
      <c r="R12" s="2"/>
      <c r="S12" s="2"/>
      <c r="T12" s="2"/>
      <c r="U12" s="2"/>
    </row>
    <row r="13" spans="1:21" x14ac:dyDescent="0.25">
      <c r="C13" s="1"/>
      <c r="D13" s="1"/>
      <c r="E13" s="1"/>
      <c r="F13" s="1"/>
      <c r="G13" s="1"/>
      <c r="H13" s="1"/>
      <c r="I13" s="1"/>
      <c r="J13" s="15"/>
      <c r="K13" s="2"/>
      <c r="L13" s="2"/>
      <c r="M13" s="2"/>
      <c r="N13" s="2"/>
      <c r="O13" s="2"/>
      <c r="P13" s="15"/>
      <c r="Q13" s="2"/>
      <c r="R13" s="2"/>
      <c r="S13" s="2"/>
      <c r="T13" s="2"/>
      <c r="U13" s="2"/>
    </row>
    <row r="14" spans="1:21" x14ac:dyDescent="0.25">
      <c r="C14" s="1"/>
      <c r="D14" s="1"/>
      <c r="E14" s="1"/>
      <c r="F14" s="1"/>
      <c r="G14" s="1"/>
      <c r="H14" s="1"/>
      <c r="I14" s="1"/>
      <c r="J14" s="15"/>
      <c r="K14" s="2"/>
      <c r="L14" s="2"/>
      <c r="M14" s="2"/>
      <c r="N14" s="2"/>
      <c r="O14" s="2"/>
      <c r="P14" s="15"/>
      <c r="Q14" s="2"/>
      <c r="R14" s="2"/>
      <c r="S14" s="2"/>
      <c r="T14" s="2"/>
      <c r="U14" s="2"/>
    </row>
    <row r="15" spans="1:21" x14ac:dyDescent="0.25">
      <c r="A15" s="5">
        <v>43830</v>
      </c>
      <c r="B15" t="s">
        <v>1</v>
      </c>
      <c r="C15" s="2">
        <v>3138999</v>
      </c>
      <c r="D15" s="6">
        <v>128106</v>
      </c>
      <c r="E15" s="6">
        <v>120930</v>
      </c>
      <c r="F15" s="2">
        <f>SUM(D15:E15)</f>
        <v>249036</v>
      </c>
      <c r="G15" s="2">
        <f>-76441+1</f>
        <v>-76440</v>
      </c>
      <c r="H15" s="2">
        <v>368994</v>
      </c>
      <c r="I15" s="2">
        <f>C15+SUM(F15:H15)</f>
        <v>3680589</v>
      </c>
      <c r="J15" s="15"/>
      <c r="K15" s="2">
        <v>0</v>
      </c>
      <c r="L15" s="2">
        <f>I15</f>
        <v>3680589</v>
      </c>
      <c r="M15" s="8">
        <f>-N15/I15</f>
        <v>0.1667730355114358</v>
      </c>
      <c r="N15" s="2">
        <v>-613823</v>
      </c>
      <c r="O15" s="2">
        <f>L15+N15</f>
        <v>3066766</v>
      </c>
      <c r="P15" s="15"/>
      <c r="Q15" s="2">
        <v>0</v>
      </c>
      <c r="R15" s="2"/>
      <c r="S15" s="2"/>
      <c r="T15" s="2"/>
      <c r="U15" s="2">
        <f>Q15+R15+T15</f>
        <v>0</v>
      </c>
    </row>
    <row r="16" spans="1:21" x14ac:dyDescent="0.25">
      <c r="A16" s="5">
        <v>44196</v>
      </c>
      <c r="B16" t="s">
        <v>1</v>
      </c>
      <c r="C16" s="2">
        <f>I15</f>
        <v>3680589</v>
      </c>
      <c r="D16" s="6">
        <v>106981</v>
      </c>
      <c r="E16" s="6">
        <v>113333</v>
      </c>
      <c r="F16" s="2">
        <f t="shared" ref="F16:F20" si="7">SUM(D16:E16)</f>
        <v>220314</v>
      </c>
      <c r="G16" s="2">
        <v>-49353</v>
      </c>
      <c r="H16" s="2">
        <v>380629</v>
      </c>
      <c r="I16" s="2">
        <f>C16+SUM(F16:H16)</f>
        <v>4232179</v>
      </c>
      <c r="J16" s="15"/>
      <c r="K16" s="2">
        <f>O15</f>
        <v>3066766</v>
      </c>
      <c r="L16" s="12"/>
      <c r="M16" s="12"/>
      <c r="N16" s="12"/>
      <c r="O16" s="2">
        <f t="shared" ref="O16:O20" si="8">K16+L16+N16</f>
        <v>3066766</v>
      </c>
      <c r="P16" s="15"/>
      <c r="Q16" s="2">
        <f>U15</f>
        <v>0</v>
      </c>
      <c r="R16" s="2">
        <f>H16</f>
        <v>380629</v>
      </c>
      <c r="S16" s="8">
        <f>-T16/R16</f>
        <v>0.29448400000000002</v>
      </c>
      <c r="T16" s="2">
        <f>-26%*R16+(R16-(R16*26%))*-4.66%</f>
        <v>-112089.15043600001</v>
      </c>
      <c r="U16" s="2">
        <f>Q16+R16+T16</f>
        <v>268539.84956399997</v>
      </c>
    </row>
    <row r="17" spans="1:21" x14ac:dyDescent="0.25">
      <c r="A17" s="5">
        <v>44561</v>
      </c>
      <c r="B17" t="s">
        <v>1</v>
      </c>
      <c r="C17" s="2">
        <f t="shared" ref="C17:C20" si="9">I16</f>
        <v>4232179</v>
      </c>
      <c r="D17" s="6">
        <v>108187</v>
      </c>
      <c r="E17" s="6">
        <v>109371</v>
      </c>
      <c r="F17" s="2">
        <f t="shared" si="7"/>
        <v>217558</v>
      </c>
      <c r="G17" s="2">
        <f>-51212+1</f>
        <v>-51211</v>
      </c>
      <c r="H17" s="2">
        <v>-310192</v>
      </c>
      <c r="I17" s="2">
        <f t="shared" ref="I17:I20" si="10">C17+SUM(F17:H17)</f>
        <v>4088334</v>
      </c>
      <c r="J17" s="15"/>
      <c r="K17" s="2">
        <f t="shared" ref="K17:K20" si="11">O16</f>
        <v>3066766</v>
      </c>
      <c r="L17" s="12"/>
      <c r="M17" s="12"/>
      <c r="N17" s="12"/>
      <c r="O17" s="2">
        <f t="shared" si="8"/>
        <v>3066766</v>
      </c>
      <c r="P17" s="15"/>
      <c r="Q17" s="2">
        <f t="shared" ref="Q17:Q20" si="12">U16</f>
        <v>268539.84956399997</v>
      </c>
      <c r="R17" s="2">
        <f>H17</f>
        <v>-310192</v>
      </c>
      <c r="S17" s="8">
        <f t="shared" ref="S17:S19" si="13">-T17/R17</f>
        <v>0.29448399999999997</v>
      </c>
      <c r="T17" s="2">
        <f>-26%*R17+(R17-(R17*26%))*-4.66%</f>
        <v>91346.580927999996</v>
      </c>
      <c r="U17" s="2">
        <f t="shared" ref="U17:U19" si="14">Q17+R17+T17</f>
        <v>49694.43049199997</v>
      </c>
    </row>
    <row r="18" spans="1:21" x14ac:dyDescent="0.25">
      <c r="A18" s="5">
        <v>44926</v>
      </c>
      <c r="B18" t="s">
        <v>1</v>
      </c>
      <c r="C18" s="2">
        <f t="shared" si="9"/>
        <v>4088334</v>
      </c>
      <c r="D18" s="6">
        <v>90479</v>
      </c>
      <c r="E18" s="6">
        <v>121856</v>
      </c>
      <c r="F18" s="2">
        <f t="shared" si="7"/>
        <v>212335</v>
      </c>
      <c r="G18" s="2">
        <v>-52933</v>
      </c>
      <c r="H18" s="2">
        <v>-1373426</v>
      </c>
      <c r="I18" s="2">
        <f t="shared" si="10"/>
        <v>2874310</v>
      </c>
      <c r="K18" s="2">
        <f t="shared" si="11"/>
        <v>3066766</v>
      </c>
      <c r="L18" s="12"/>
      <c r="M18" s="12"/>
      <c r="N18" s="12"/>
      <c r="O18" s="2">
        <f t="shared" si="8"/>
        <v>3066766</v>
      </c>
      <c r="Q18" s="2">
        <f t="shared" si="12"/>
        <v>49694.43049199997</v>
      </c>
      <c r="R18" s="2">
        <f t="shared" ref="R18:R19" si="15">H18</f>
        <v>-1373426</v>
      </c>
      <c r="S18" s="8">
        <f t="shared" si="13"/>
        <v>0.27541599999999999</v>
      </c>
      <c r="T18" s="2">
        <f>-24%*R18+(R18-(R18*24%))*-4.66%</f>
        <v>378263.49521600001</v>
      </c>
      <c r="U18" s="2">
        <f t="shared" si="14"/>
        <v>-945468.07429200003</v>
      </c>
    </row>
    <row r="19" spans="1:21" x14ac:dyDescent="0.25">
      <c r="A19" s="5">
        <v>45291</v>
      </c>
      <c r="B19" t="s">
        <v>1</v>
      </c>
      <c r="C19" s="2">
        <f t="shared" si="9"/>
        <v>2874310</v>
      </c>
      <c r="D19" s="6">
        <v>41832</v>
      </c>
      <c r="E19" s="6">
        <v>143370</v>
      </c>
      <c r="F19" s="2">
        <f t="shared" si="7"/>
        <v>185202</v>
      </c>
      <c r="G19" s="2">
        <v>-71590</v>
      </c>
      <c r="H19" s="2">
        <v>185212</v>
      </c>
      <c r="I19" s="2">
        <f t="shared" si="10"/>
        <v>3173134</v>
      </c>
      <c r="K19" s="2">
        <f t="shared" si="11"/>
        <v>3066766</v>
      </c>
      <c r="L19" s="12"/>
      <c r="M19" s="12"/>
      <c r="N19" s="12"/>
      <c r="O19" s="2">
        <f t="shared" si="8"/>
        <v>3066766</v>
      </c>
      <c r="Q19" s="2">
        <f t="shared" si="12"/>
        <v>-945468.07429200003</v>
      </c>
      <c r="R19" s="2">
        <f t="shared" si="15"/>
        <v>185212</v>
      </c>
      <c r="S19" s="8">
        <f t="shared" si="13"/>
        <v>0.27541599999999999</v>
      </c>
      <c r="T19" s="2">
        <f>-24%*R19+(R19-(R19*24%))*-4.66%</f>
        <v>-51010.348191999998</v>
      </c>
      <c r="U19" s="2">
        <f t="shared" si="14"/>
        <v>-811266.42248399998</v>
      </c>
    </row>
    <row r="20" spans="1:21" x14ac:dyDescent="0.25">
      <c r="A20" s="5">
        <v>45657</v>
      </c>
      <c r="B20" t="s">
        <v>1</v>
      </c>
      <c r="C20" s="2">
        <f t="shared" si="9"/>
        <v>3173134</v>
      </c>
      <c r="D20" s="6">
        <v>47828</v>
      </c>
      <c r="E20" s="6">
        <v>145333</v>
      </c>
      <c r="F20" s="2">
        <f t="shared" si="7"/>
        <v>193161</v>
      </c>
      <c r="G20" s="2">
        <v>-93569</v>
      </c>
      <c r="H20" s="2">
        <v>-2961</v>
      </c>
      <c r="I20" s="7">
        <f t="shared" si="10"/>
        <v>3269765</v>
      </c>
      <c r="K20" s="2">
        <f t="shared" si="11"/>
        <v>3066766</v>
      </c>
      <c r="L20" s="12"/>
      <c r="M20" s="12"/>
      <c r="N20" s="12"/>
      <c r="O20" s="11">
        <f t="shared" si="8"/>
        <v>3066766</v>
      </c>
      <c r="Q20" s="2">
        <f t="shared" si="12"/>
        <v>-811266.42248399998</v>
      </c>
      <c r="R20" s="2"/>
      <c r="S20" s="8"/>
      <c r="T20" s="2"/>
      <c r="U20" s="11">
        <f>Q20+R20+T20</f>
        <v>-811266.42248399998</v>
      </c>
    </row>
    <row r="21" spans="1:21" x14ac:dyDescent="0.25">
      <c r="A21" s="5">
        <v>46022</v>
      </c>
      <c r="B21" t="s">
        <v>1</v>
      </c>
      <c r="C21" s="11">
        <f>I20</f>
        <v>3269765</v>
      </c>
      <c r="K21" s="2"/>
      <c r="L21" s="2"/>
      <c r="M21" s="2"/>
      <c r="N21" s="2"/>
      <c r="Q21" s="2"/>
      <c r="R21" s="2"/>
      <c r="S21" s="2"/>
      <c r="T21" s="2"/>
    </row>
    <row r="22" spans="1:21" ht="15.75" thickBot="1" x14ac:dyDescent="0.3">
      <c r="C22" s="10" t="s">
        <v>16</v>
      </c>
      <c r="O22" s="9">
        <f>O10+O20</f>
        <v>18425389.781199999</v>
      </c>
      <c r="U22" s="9">
        <f>U20+U10</f>
        <v>-5058132.3786840001</v>
      </c>
    </row>
    <row r="24" spans="1:21" ht="15.75" thickBot="1" x14ac:dyDescent="0.3">
      <c r="U24" s="4">
        <f>SUM(U22,O22)</f>
        <v>13367257.402516</v>
      </c>
    </row>
    <row r="25" spans="1:21" ht="15.75" thickTop="1" x14ac:dyDescent="0.25">
      <c r="U25" s="16" t="s">
        <v>15</v>
      </c>
    </row>
  </sheetData>
  <mergeCells count="2">
    <mergeCell ref="Q2:U2"/>
    <mergeCell ref="K2:O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81BFCCD0A114C8DE4AE67E8CBB23E" ma:contentTypeVersion="4" ma:contentTypeDescription="Create a new document." ma:contentTypeScope="" ma:versionID="caace723fbf87ec59350d6a94b057e5c">
  <xsd:schema xmlns:xsd="http://www.w3.org/2001/XMLSchema" xmlns:xs="http://www.w3.org/2001/XMLSchema" xmlns:p="http://schemas.microsoft.com/office/2006/metadata/properties" xmlns:ns2="d265fba4-040f-4092-900a-6e75cd43b7dc" targetNamespace="http://schemas.microsoft.com/office/2006/metadata/properties" ma:root="true" ma:fieldsID="e0a89f3f14aca4a9f563ef2637393af8" ns2:_="">
    <xsd:import namespace="d265fba4-040f-4092-900a-6e75cd43b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5fba4-040f-4092-900a-6e75cd43b7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82B70A-FE6F-4400-BBC3-499D72A75F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C28024-3465-4EBC-91C4-9EC1A74949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7DCCB-A95D-45B1-8207-1322F63EF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65fba4-040f-4092-900a-6e75cd43b7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 Proposal to Projections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Chisholm, David</dc:creator>
  <cp:lastModifiedBy>Chisholm, David</cp:lastModifiedBy>
  <dcterms:created xsi:type="dcterms:W3CDTF">2025-10-07T12:55:38Z</dcterms:created>
  <dcterms:modified xsi:type="dcterms:W3CDTF">2025-10-15T16:42:11Z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0x01010016481BFCCD0A114C8DE4AE67E8CBB23E</vt:lpwstr>
  </property>
</Properties>
</file>