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AndrewM\Business\3 - Utilis Consulting\9 - Consulting Work\9995 - FNEI\1 - Transmission COS Application\9 - Interrogatories\3 - FInal\Batch 1\"/>
    </mc:Choice>
  </mc:AlternateContent>
  <xr:revisionPtr revIDLastSave="0" documentId="13_ncr:1_{F5D4B9F1-327C-4A29-B470-0A4F094AE85A}" xr6:coauthVersionLast="47" xr6:coauthVersionMax="47" xr10:uidLastSave="{00000000-0000-0000-0000-000000000000}"/>
  <bookViews>
    <workbookView xWindow="-110" yWindow="-110" windowWidth="38620" windowHeight="21100" activeTab="1" xr2:uid="{00000000-000D-0000-FFFF-FFFF00000000}"/>
  </bookViews>
  <sheets>
    <sheet name="Revenue Allocation" sheetId="2" r:id="rId1"/>
    <sheet name="Bill Impac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H6" i="3"/>
  <c r="G6" i="3"/>
  <c r="C9" i="3"/>
  <c r="C7" i="3"/>
  <c r="I94" i="3"/>
  <c r="J94" i="3" s="1"/>
  <c r="J93" i="3"/>
  <c r="J92" i="3"/>
  <c r="H90" i="3"/>
  <c r="C90" i="3"/>
  <c r="E90" i="3" s="1"/>
  <c r="H89" i="3"/>
  <c r="C89" i="3"/>
  <c r="E89" i="3" s="1"/>
  <c r="H88" i="3"/>
  <c r="C88" i="3"/>
  <c r="E88" i="3" s="1"/>
  <c r="H87" i="3"/>
  <c r="C87" i="3"/>
  <c r="E87" i="3" s="1"/>
  <c r="H86" i="3"/>
  <c r="C86" i="3"/>
  <c r="E86" i="3" s="1"/>
  <c r="H85" i="3"/>
  <c r="C85" i="3"/>
  <c r="E85" i="3" s="1"/>
  <c r="H84" i="3"/>
  <c r="C84" i="3"/>
  <c r="E84" i="3" s="1"/>
  <c r="H82" i="3"/>
  <c r="E82" i="3"/>
  <c r="H81" i="3"/>
  <c r="E81" i="3"/>
  <c r="H79" i="3"/>
  <c r="C79" i="3"/>
  <c r="E79" i="3" s="1"/>
  <c r="H78" i="3"/>
  <c r="C78" i="3"/>
  <c r="E78" i="3" s="1"/>
  <c r="H77" i="3"/>
  <c r="C77" i="3"/>
  <c r="E77" i="3" s="1"/>
  <c r="H76" i="3"/>
  <c r="C76" i="3"/>
  <c r="E76" i="3" s="1"/>
  <c r="H75" i="3"/>
  <c r="C75" i="3"/>
  <c r="E75" i="3" s="1"/>
  <c r="H74" i="3"/>
  <c r="C74" i="3"/>
  <c r="E74" i="3" s="1"/>
  <c r="H73" i="3"/>
  <c r="C73" i="3"/>
  <c r="E73" i="3" s="1"/>
  <c r="M71" i="3"/>
  <c r="N71" i="3" s="1"/>
  <c r="H71" i="3"/>
  <c r="C71" i="3"/>
  <c r="E71" i="3" s="1"/>
  <c r="M70" i="3"/>
  <c r="N70" i="3" s="1"/>
  <c r="H70" i="3"/>
  <c r="C70" i="3"/>
  <c r="E70" i="3" s="1"/>
  <c r="H69" i="3"/>
  <c r="C69" i="3"/>
  <c r="E69" i="3" s="1"/>
  <c r="M68" i="3"/>
  <c r="H68" i="3"/>
  <c r="C68" i="3"/>
  <c r="E68" i="3" s="1"/>
  <c r="H67" i="3"/>
  <c r="C67" i="3"/>
  <c r="E67" i="3" s="1"/>
  <c r="H66" i="3"/>
  <c r="C66" i="3"/>
  <c r="E66" i="3" s="1"/>
  <c r="E72" i="3" s="1"/>
  <c r="E80" i="3" s="1"/>
  <c r="J43" i="3"/>
  <c r="M31" i="3"/>
  <c r="N31" i="3" s="1"/>
  <c r="M30" i="3"/>
  <c r="N30" i="3" s="1"/>
  <c r="M28" i="3"/>
  <c r="M27" i="3"/>
  <c r="D11" i="3"/>
  <c r="D15" i="3" s="1"/>
  <c r="D9" i="3"/>
  <c r="D10" i="3" s="1"/>
  <c r="A1" i="3"/>
  <c r="J30" i="2"/>
  <c r="I30" i="2"/>
  <c r="H30" i="2"/>
  <c r="K30" i="2" s="1"/>
  <c r="D30" i="2"/>
  <c r="C30" i="2"/>
  <c r="B30" i="2"/>
  <c r="E30" i="2" s="1"/>
  <c r="F30" i="2" s="1"/>
  <c r="K23" i="2"/>
  <c r="E23" i="2"/>
  <c r="F23" i="2" s="1"/>
  <c r="J17" i="2"/>
  <c r="I17" i="2"/>
  <c r="H17" i="2"/>
  <c r="K16" i="2"/>
  <c r="B16" i="2"/>
  <c r="K15" i="2"/>
  <c r="B15" i="2"/>
  <c r="K14" i="2"/>
  <c r="B14" i="2"/>
  <c r="K13" i="2"/>
  <c r="B13" i="2"/>
  <c r="K12" i="2"/>
  <c r="B12" i="2"/>
  <c r="K11" i="2"/>
  <c r="D11" i="2"/>
  <c r="C11" i="2"/>
  <c r="B11" i="2"/>
  <c r="K10" i="2"/>
  <c r="K9" i="2"/>
  <c r="D9" i="2"/>
  <c r="C9" i="2"/>
  <c r="B9" i="2"/>
  <c r="K8" i="2"/>
  <c r="K17" i="2" s="1"/>
  <c r="D8" i="2"/>
  <c r="C8" i="2"/>
  <c r="B8" i="2"/>
  <c r="A1" i="2"/>
  <c r="M29" i="3" l="1"/>
  <c r="M32" i="3" s="1"/>
  <c r="N27" i="3"/>
  <c r="E83" i="3"/>
  <c r="E91" i="3" s="1"/>
  <c r="M67" i="3"/>
  <c r="H72" i="3"/>
  <c r="I66" i="3"/>
  <c r="J66" i="3" s="1"/>
  <c r="I67" i="3"/>
  <c r="J67" i="3" s="1"/>
  <c r="I68" i="3"/>
  <c r="I69" i="3"/>
  <c r="I70" i="3"/>
  <c r="I71" i="3"/>
  <c r="J71" i="3" s="1"/>
  <c r="I73" i="3"/>
  <c r="J73" i="3" s="1"/>
  <c r="I74" i="3"/>
  <c r="J74" i="3" s="1"/>
  <c r="I75" i="3"/>
  <c r="J75" i="3" s="1"/>
  <c r="I76" i="3"/>
  <c r="I77" i="3"/>
  <c r="J77" i="3" s="1"/>
  <c r="I78" i="3"/>
  <c r="I79" i="3"/>
  <c r="I81" i="3"/>
  <c r="J81" i="3" s="1"/>
  <c r="I82" i="3"/>
  <c r="J82" i="3" s="1"/>
  <c r="I84" i="3"/>
  <c r="I85" i="3"/>
  <c r="J85" i="3" s="1"/>
  <c r="I86" i="3"/>
  <c r="J86" i="3" s="1"/>
  <c r="I87" i="3"/>
  <c r="J87" i="3" s="1"/>
  <c r="I88" i="3"/>
  <c r="J88" i="3" s="1"/>
  <c r="I89" i="3"/>
  <c r="J89" i="3" s="1"/>
  <c r="I90" i="3"/>
  <c r="J90" i="3" s="1"/>
  <c r="E8" i="2"/>
  <c r="C10" i="2"/>
  <c r="D10" i="2"/>
  <c r="E9" i="2"/>
  <c r="F10" i="2"/>
  <c r="E11" i="2"/>
  <c r="E12" i="2"/>
  <c r="E13" i="2"/>
  <c r="E14" i="2"/>
  <c r="E15" i="2"/>
  <c r="E16" i="2"/>
  <c r="H44" i="2"/>
  <c r="H43" i="2"/>
  <c r="H42" i="2"/>
  <c r="H41" i="2"/>
  <c r="H40" i="2"/>
  <c r="H39" i="2"/>
  <c r="H38" i="2"/>
  <c r="H37" i="2"/>
  <c r="H36" i="2"/>
  <c r="H45" i="2" s="1"/>
  <c r="H34" i="2"/>
  <c r="I39" i="2"/>
  <c r="I38" i="2"/>
  <c r="I37" i="2"/>
  <c r="I36" i="2"/>
  <c r="I45" i="2" s="1"/>
  <c r="I34" i="2"/>
  <c r="J39" i="2"/>
  <c r="J38" i="2"/>
  <c r="J37" i="2"/>
  <c r="J36" i="2"/>
  <c r="J45" i="2" s="1"/>
  <c r="J34" i="2"/>
  <c r="I91" i="3" l="1"/>
  <c r="J91" i="3" s="1"/>
  <c r="J84" i="3"/>
  <c r="H80" i="3"/>
  <c r="I72" i="3"/>
  <c r="J72" i="3" s="1"/>
  <c r="M69" i="3"/>
  <c r="M72" i="3" s="1"/>
  <c r="N67" i="3"/>
  <c r="D17" i="2"/>
  <c r="C17" i="2"/>
  <c r="E17" i="2"/>
  <c r="D7" i="3" s="1"/>
  <c r="D8" i="3" s="1"/>
  <c r="B10" i="2"/>
  <c r="H83" i="3" l="1"/>
  <c r="I80" i="3"/>
  <c r="J80" i="3" s="1"/>
  <c r="B17" i="2"/>
  <c r="F17" i="2"/>
  <c r="C44" i="2"/>
  <c r="C43" i="2"/>
  <c r="C42" i="2"/>
  <c r="C41" i="2"/>
  <c r="C40" i="2"/>
  <c r="C34" i="2"/>
  <c r="H7" i="3" s="1"/>
  <c r="H8" i="3" s="1"/>
  <c r="H9" i="3" s="1"/>
  <c r="C36" i="2"/>
  <c r="C37" i="2"/>
  <c r="C39" i="2"/>
  <c r="C38" i="2"/>
  <c r="D44" i="2"/>
  <c r="D43" i="2"/>
  <c r="D42" i="2"/>
  <c r="D41" i="2"/>
  <c r="D40" i="2"/>
  <c r="D34" i="2"/>
  <c r="I7" i="3" s="1"/>
  <c r="I8" i="3" s="1"/>
  <c r="I9" i="3" s="1"/>
  <c r="D36" i="2"/>
  <c r="D37" i="2"/>
  <c r="D39" i="2"/>
  <c r="D38" i="2"/>
  <c r="H91" i="3" l="1"/>
  <c r="I83" i="3"/>
  <c r="J83" i="3" s="1"/>
  <c r="D45" i="2"/>
  <c r="C45" i="2"/>
  <c r="B34" i="2"/>
  <c r="G7" i="3" s="1"/>
  <c r="G8" i="3" s="1"/>
  <c r="G9" i="3" s="1"/>
  <c r="I11" i="3" s="1"/>
  <c r="B36" i="2"/>
  <c r="B37" i="2"/>
  <c r="B39" i="2"/>
  <c r="B40" i="2"/>
  <c r="B41" i="2"/>
  <c r="B42" i="2"/>
  <c r="B43" i="2"/>
  <c r="B44" i="2"/>
  <c r="B38" i="2"/>
  <c r="N28" i="3" l="1"/>
  <c r="N29" i="3" s="1"/>
  <c r="N68" i="3"/>
  <c r="N69" i="3" s="1"/>
  <c r="B45" i="2"/>
  <c r="N72" i="3" l="1"/>
  <c r="O72" i="3" s="1"/>
  <c r="P72" i="3" s="1"/>
  <c r="O69" i="3"/>
  <c r="P69" i="3" s="1"/>
  <c r="N32" i="3"/>
  <c r="O32" i="3" s="1"/>
  <c r="P32" i="3" s="1"/>
  <c r="O29" i="3"/>
  <c r="P29" i="3" s="1"/>
</calcChain>
</file>

<file path=xl/sharedStrings.xml><?xml version="1.0" encoding="utf-8"?>
<sst xmlns="http://schemas.openxmlformats.org/spreadsheetml/2006/main" count="265" uniqueCount="118">
  <si>
    <t>Utilis Consulting Inc.</t>
  </si>
  <si>
    <t>Revenue Requirement Allocation by Rate Pool - Data based on OEB Decision and Order January 22, 2025</t>
  </si>
  <si>
    <t>Updated for FNEI Data</t>
  </si>
  <si>
    <t>Original</t>
  </si>
  <si>
    <t>Transmitter</t>
  </si>
  <si>
    <t>Revenue Requirement</t>
  </si>
  <si>
    <t>Network</t>
  </si>
  <si>
    <t>Line Connection</t>
  </si>
  <si>
    <t>Transformation Connection</t>
  </si>
  <si>
    <t>Total</t>
  </si>
  <si>
    <t>Line
Connection</t>
  </si>
  <si>
    <t>Transformation
Connection</t>
  </si>
  <si>
    <r>
      <t xml:space="preserve">Note 1: CNPI Revenue Requirement and Charge Determinants per OEB Decision and Order EB-2015-0354 dated January 14,2016.
</t>
    </r>
    <r>
      <rPr>
        <b/>
        <sz val="11"/>
        <color theme="1"/>
        <rFont val="Aptos Narrow"/>
        <family val="2"/>
        <scheme val="minor"/>
      </rPr>
      <t>Note 2: FNEI Revenue Requirement and Charge Determinants per OEB Revenue Requirement and Charge Determinant Order EB-2016-0231 dated January 18, 2018.</t>
    </r>
    <r>
      <rPr>
        <sz val="11"/>
        <color theme="1"/>
        <rFont val="Aptos Narrow"/>
        <family val="2"/>
        <scheme val="minor"/>
      </rPr>
      <t xml:space="preserve">
Note 3: Hydro One Revenue Requirement and Charge Determinants per OEB Decision and Order EB-2024-0217 dated October 24, 2024.
Note 4: HOSSM Revenue Requirement and Charge Determinants per OEB Decision and Order EB-2024-0218 dated October 24, 2024.
Note 5: B2M LP Revenue Requirement per OEB Decision and Order EB-2023-0129 dated September 7, 2023.
Note 6: NRLP Revenue Requirement per OEB Decision and Order EB-2023-0128 dated September 7, 2023. 
Note 7: UCT 2 Revenue Requirement per OEB Decision and Order EB-2024-0254, dated October 24, 2024
Note 8: WPLP Revenue Requirement and Charge Determinants per OEB Decision and Order EB-2023-0168 dated November 30, 2023.
</t>
    </r>
    <r>
      <rPr>
        <b/>
        <sz val="11"/>
        <color theme="1"/>
        <rFont val="Aptos Narrow"/>
        <family val="2"/>
        <scheme val="minor"/>
      </rPr>
      <t>Note 9: The revenue requirements of CNPI, FNEI, and HOSSM are allocated to the three transmission rate pools on the same basis as is used for Hydro One.</t>
    </r>
    <r>
      <rPr>
        <sz val="11"/>
        <color theme="1"/>
        <rFont val="Aptos Narrow"/>
        <family val="2"/>
        <scheme val="minor"/>
      </rPr>
      <t xml:space="preserve"> The revenue requirements of B2MLP, NRLP, UCT 2, and WPLP are allocated entirely to the Network rate pool. The total revenue requirements for each of the three transmission rate pools are then divided by the total charge determinants for each rate pool to establish the UTRs to two decimal places. The IESO uses the revenue collected from the UTRs to settle on a monthly basis with all rate-regulated transmitters using the revenue allocation factors. 
Note 10: The allocation factors for each transmitter other than Hydro One are calculated by dividing each transmitter’s revenue requirement assigned to each transmission rate pool by the total transmitters revenue requirement for each rate pool. The allocation factors are rounded to five decimal places for each transmitter. The sum of these individual transmitter allocation factors is then deducted from 1.0 to determine the allocation factor for Hydro One</t>
    </r>
  </si>
  <si>
    <t>Hydro One (effective January 1, 2025)</t>
  </si>
  <si>
    <t>HOSSM (effective January 1, 2025)</t>
  </si>
  <si>
    <t>FNEI</t>
  </si>
  <si>
    <t>FNEI (effective January 1, 2025)</t>
  </si>
  <si>
    <t>CNPI (effective January 1, 2025)</t>
  </si>
  <si>
    <t>WPLP (effective January 1, 2024)</t>
  </si>
  <si>
    <t>-</t>
  </si>
  <si>
    <t>B2MLP (effective January 1, 2024)</t>
  </si>
  <si>
    <t>NRLP (effective January 1, 2024)</t>
  </si>
  <si>
    <t>UCT 2 (effective January 1, 2025)</t>
  </si>
  <si>
    <t>CLLP</t>
  </si>
  <si>
    <t>CLLP (effective January 1, 2025)</t>
  </si>
  <si>
    <t>All Transmitters</t>
  </si>
  <si>
    <r>
      <t xml:space="preserve">Total Annual Charge Determinants </t>
    </r>
    <r>
      <rPr>
        <b/>
        <sz val="11"/>
        <color theme="4"/>
        <rFont val="Aptos Narrow"/>
        <family val="2"/>
        <scheme val="minor"/>
      </rPr>
      <t>(MW)</t>
    </r>
  </si>
  <si>
    <t>Hydro One</t>
  </si>
  <si>
    <t>HOSSM</t>
  </si>
  <si>
    <t>CNPI</t>
  </si>
  <si>
    <t>WPLP</t>
  </si>
  <si>
    <t>B2MLP</t>
  </si>
  <si>
    <t>NRLP</t>
  </si>
  <si>
    <t>UCT 2</t>
  </si>
  <si>
    <t>2024 Revenue Requirement Allocation by Rate Pool</t>
  </si>
  <si>
    <t>Uniform Rates and Revenue Allocators</t>
  </si>
  <si>
    <r>
      <t xml:space="preserve">Uniform Transmission Rates </t>
    </r>
    <r>
      <rPr>
        <b/>
        <sz val="11"/>
        <color theme="4"/>
        <rFont val="Aptos Narrow"/>
        <family val="2"/>
        <scheme val="minor"/>
      </rPr>
      <t>($/kW/Month)</t>
    </r>
  </si>
  <si>
    <t>EWTLP</t>
  </si>
  <si>
    <t>Bill Impacts</t>
  </si>
  <si>
    <t>Line</t>
  </si>
  <si>
    <t>Component</t>
  </si>
  <si>
    <t>2025 UTR</t>
  </si>
  <si>
    <t>2025 UTR incl. 2026 FNEI RR</t>
  </si>
  <si>
    <t>Current Rate</t>
  </si>
  <si>
    <t xml:space="preserve">Total UTR Revenue Requirement </t>
  </si>
  <si>
    <t>Proposed Rate</t>
  </si>
  <si>
    <t>% Increase (decrease) in Revenue Requirement</t>
  </si>
  <si>
    <t>Difference ($)</t>
  </si>
  <si>
    <t>Load Forecast (MW)</t>
  </si>
  <si>
    <t>Difference (%)</t>
  </si>
  <si>
    <t>% Impact of load forecast decrease (increase)</t>
  </si>
  <si>
    <t>Assumed Allocation</t>
  </si>
  <si>
    <t>4 = 2+3</t>
  </si>
  <si>
    <t>Net impact on average transission rates</t>
  </si>
  <si>
    <t>Weighted Average Increase in UTRs</t>
  </si>
  <si>
    <t>Transmission rates as a % of transmission-connected customer's Total Bill</t>
  </si>
  <si>
    <t>6 = 4*5</t>
  </si>
  <si>
    <t>Estimated average transmission-connected customer's total bill</t>
  </si>
  <si>
    <t>Transmission rates as a % of distribution-connected customer's Total Bill</t>
  </si>
  <si>
    <t>8 = 4*7</t>
  </si>
  <si>
    <t>Estimated average distribution-connected customer's bill impact</t>
  </si>
  <si>
    <t>Rate Class</t>
  </si>
  <si>
    <t>UR</t>
  </si>
  <si>
    <t>Monthly Consumption (kWh)</t>
  </si>
  <si>
    <t>Peak (kW)</t>
  </si>
  <si>
    <t>Loss factor</t>
  </si>
  <si>
    <t>Charge determinant</t>
  </si>
  <si>
    <t>kWh</t>
  </si>
  <si>
    <t>Current OEB-Approved</t>
  </si>
  <si>
    <t>Proposed</t>
  </si>
  <si>
    <t>Impact</t>
  </si>
  <si>
    <t>Rate ($)</t>
  </si>
  <si>
    <t>Volume</t>
  </si>
  <si>
    <t>Charge ($)</t>
  </si>
  <si>
    <t>$ Change</t>
  </si>
  <si>
    <t>% Change</t>
  </si>
  <si>
    <t>Service Charge</t>
  </si>
  <si>
    <t>Current</t>
  </si>
  <si>
    <t>Change ($)</t>
  </si>
  <si>
    <t>Change (%)</t>
  </si>
  <si>
    <t>Distribution Volumetric Charge</t>
  </si>
  <si>
    <t>N/A</t>
  </si>
  <si>
    <t>Distribution</t>
  </si>
  <si>
    <t>RRRP Adjustment</t>
  </si>
  <si>
    <t>RTSRs</t>
  </si>
  <si>
    <t>DRP Adjustment</t>
  </si>
  <si>
    <t>Total Delivery</t>
  </si>
  <si>
    <t>Fixed Rate Riders</t>
  </si>
  <si>
    <t>Regulatory Charges</t>
  </si>
  <si>
    <t>Volumetric Rate Riders</t>
  </si>
  <si>
    <t>Cost of Power</t>
  </si>
  <si>
    <t>Sub-Total A (excluding pass through)</t>
  </si>
  <si>
    <t>Total Bill Before Taxes</t>
  </si>
  <si>
    <t>Line Losses on Cost of Power</t>
  </si>
  <si>
    <t>Total Deferral/Variance Account Rate Riders</t>
  </si>
  <si>
    <t>CBR Class B Rate Riders</t>
  </si>
  <si>
    <t>GA Rate Riders</t>
  </si>
  <si>
    <t>Note: The bill impacts are from HONI's latest rate case (Dec 2024). I've updated the RTSRs for the Jan 21/2025 decision and then compared that to the proposed UTRs.</t>
  </si>
  <si>
    <t>Smart Meter Entity Charge (if applicable)</t>
  </si>
  <si>
    <t xml:space="preserve">Additional Fixed Rate Riders </t>
  </si>
  <si>
    <t xml:space="preserve">Additional Volumetric Rate Riders </t>
  </si>
  <si>
    <t>Sub-Total B - Distribution (includes Sub-Total A)</t>
  </si>
  <si>
    <t>Retail Transmission Rate – Network Service Rate</t>
  </si>
  <si>
    <t>Retail Transmission Rate – Line and Transformation Connection Service Rate</t>
  </si>
  <si>
    <t>Sub-Total C - Delivery (including Sub-Total B)</t>
  </si>
  <si>
    <t>Wholesale Market Service Rate (WMS) – not ot including CBR</t>
  </si>
  <si>
    <t>Capacity Based Recovery (CBR) – Applicable for Class B Customers</t>
  </si>
  <si>
    <t>Rural Rate Protection Charge</t>
  </si>
  <si>
    <t>Standard Supply Service – Administration Charge (if applicable)</t>
  </si>
  <si>
    <t>TOU-Off Peak</t>
  </si>
  <si>
    <t>TOU-Mid Peak</t>
  </si>
  <si>
    <t>TOU-On Peak</t>
  </si>
  <si>
    <t>Total Bill on TOU (before Taxes)</t>
  </si>
  <si>
    <t>HST</t>
  </si>
  <si>
    <t>Ontario Electricity Rebate (OER)</t>
  </si>
  <si>
    <t>Total Bill on TOU</t>
  </si>
  <si>
    <t>* Distribution rate protection applies to R1 and R2 customers</t>
  </si>
  <si>
    <t>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</si>
</sst>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164" formatCode="_(&quot;$&quot;* #,##0.00_);_(&quot;$&quot;* \(#,##0.00\);_(&quot;$&quot;* &quot;-&quot;??_);_(@_)"/>
    <numFmt numFmtId="165" formatCode="_(* #,##0.00_);_(* \(#,##0.00\);_(* &quot;-&quot;??_);_(@_)"/>
    <numFmt numFmtId="166" formatCode="_-&quot;$&quot;* #,##0_-;\-&quot;$&quot;* #,##0_-;_-&quot;$&quot;* &quot;-&quot;??_-;_-@_-"/>
    <numFmt numFmtId="167" formatCode="_-* #,##0_-;\-* #,##0_-;_-* &quot;-&quot;??_-;_-@_-"/>
    <numFmt numFmtId="168" formatCode="#,##0.00000"/>
    <numFmt numFmtId="169" formatCode="0.00000"/>
    <numFmt numFmtId="170" formatCode="0.0%"/>
    <numFmt numFmtId="171" formatCode="#,##0.000_);\(#,##0.000\)"/>
    <numFmt numFmtId="172" formatCode="_(&quot;$&quot;* #,##0.0000_);_(&quot;$&quot;* \(#,##0.0000\);_(&quot;$&quot;* &quot;-&quot;??_);_(@_)"/>
    <numFmt numFmtId="173" formatCode="0.0000"/>
    <numFmt numFmtId="174" formatCode="_(&quot;$&quot;* #,##0.000_);_(&quot;$&quot;* \(#,##0.000\);_(&quot;$&quot;* &quot;-&quot;??_);_(@_)"/>
  </numFmts>
  <fonts count="12" x14ac:knownFonts="1">
    <font>
      <sz val="11"/>
      <color theme="1"/>
      <name val="Aptos Narrow"/>
      <family val="2"/>
      <scheme val="minor"/>
    </font>
    <font>
      <sz val="11"/>
      <color theme="1"/>
      <name val="Aptos Narrow"/>
      <family val="2"/>
      <scheme val="minor"/>
    </font>
    <font>
      <b/>
      <sz val="24"/>
      <color theme="0"/>
      <name val="Arial Nova"/>
      <family val="2"/>
    </font>
    <font>
      <b/>
      <i/>
      <sz val="24"/>
      <color theme="0"/>
      <name val="Arial Nova"/>
      <family val="2"/>
    </font>
    <font>
      <sz val="11"/>
      <color theme="0"/>
      <name val="Aptos Narrow"/>
      <family val="2"/>
      <scheme val="minor"/>
    </font>
    <font>
      <i/>
      <sz val="16"/>
      <color theme="0"/>
      <name val="Aptos Narrow"/>
      <family val="2"/>
      <scheme val="minor"/>
    </font>
    <font>
      <i/>
      <sz val="16"/>
      <color theme="0"/>
      <name val="Arial Nova"/>
      <family val="2"/>
    </font>
    <font>
      <b/>
      <sz val="11"/>
      <color theme="1"/>
      <name val="Aptos Narrow"/>
      <family val="2"/>
      <scheme val="minor"/>
    </font>
    <font>
      <b/>
      <i/>
      <sz val="11"/>
      <color theme="1"/>
      <name val="Aptos Narrow"/>
      <family val="2"/>
      <scheme val="minor"/>
    </font>
    <font>
      <b/>
      <sz val="11"/>
      <color theme="4"/>
      <name val="Aptos Narrow"/>
      <family val="2"/>
      <scheme val="minor"/>
    </font>
    <font>
      <b/>
      <sz val="10"/>
      <name val="Arial"/>
      <family val="2"/>
    </font>
    <font>
      <sz val="10"/>
      <name val="Arial"/>
      <family val="2"/>
    </font>
  </fonts>
  <fills count="11">
    <fill>
      <patternFill patternType="none"/>
    </fill>
    <fill>
      <patternFill patternType="gray125"/>
    </fill>
    <fill>
      <patternFill patternType="solid">
        <fgColor theme="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0" fontId="11" fillId="0" borderId="0"/>
    <xf numFmtId="44" fontId="11" fillId="0" borderId="0" applyFont="0" applyFill="0" applyBorder="0" applyAlignment="0" applyProtection="0"/>
  </cellStyleXfs>
  <cellXfs count="205">
    <xf numFmtId="0" fontId="0" fillId="0" borderId="0" xfId="0"/>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0" borderId="0" xfId="0" applyFont="1"/>
    <xf numFmtId="0" fontId="8" fillId="3" borderId="0" xfId="0" applyFont="1" applyFill="1"/>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0" fillId="0" borderId="4" xfId="0" applyBorder="1"/>
    <xf numFmtId="166" fontId="0" fillId="4" borderId="2" xfId="2" applyNumberFormat="1" applyFont="1" applyFill="1" applyBorder="1" applyAlignment="1"/>
    <xf numFmtId="166" fontId="7" fillId="0" borderId="2" xfId="2" applyNumberFormat="1" applyFont="1" applyBorder="1" applyAlignment="1"/>
    <xf numFmtId="166" fontId="0" fillId="0" borderId="4" xfId="2" applyNumberFormat="1" applyFont="1" applyBorder="1" applyAlignment="1"/>
    <xf numFmtId="166" fontId="7" fillId="0" borderId="4" xfId="2" applyNumberFormat="1" applyFont="1" applyBorder="1" applyAlignment="1"/>
    <xf numFmtId="0" fontId="0" fillId="0" borderId="2" xfId="0" applyBorder="1"/>
    <xf numFmtId="166" fontId="7" fillId="0" borderId="5" xfId="2" applyNumberFormat="1" applyFont="1" applyBorder="1" applyAlignment="1"/>
    <xf numFmtId="166" fontId="0" fillId="0" borderId="2" xfId="2" applyNumberFormat="1" applyFont="1" applyBorder="1" applyAlignment="1"/>
    <xf numFmtId="166" fontId="0" fillId="0" borderId="0" xfId="0" applyNumberFormat="1"/>
    <xf numFmtId="0" fontId="0" fillId="3" borderId="2" xfId="0" applyFill="1" applyBorder="1"/>
    <xf numFmtId="166" fontId="0" fillId="3" borderId="2" xfId="2" applyNumberFormat="1" applyFont="1" applyFill="1" applyBorder="1" applyAlignment="1"/>
    <xf numFmtId="166" fontId="0" fillId="3" borderId="6" xfId="2" applyNumberFormat="1" applyFont="1" applyFill="1" applyBorder="1" applyAlignment="1"/>
    <xf numFmtId="9" fontId="0" fillId="0" borderId="0" xfId="3" applyFont="1" applyAlignment="1">
      <alignment horizontal="center" vertical="center"/>
    </xf>
    <xf numFmtId="0" fontId="0" fillId="3" borderId="8" xfId="0" applyFill="1" applyBorder="1"/>
    <xf numFmtId="166" fontId="0" fillId="3" borderId="9" xfId="2" applyNumberFormat="1" applyFont="1" applyFill="1" applyBorder="1" applyAlignment="1"/>
    <xf numFmtId="166" fontId="7" fillId="3" borderId="10" xfId="2" applyNumberFormat="1" applyFont="1" applyFill="1" applyBorder="1" applyAlignment="1"/>
    <xf numFmtId="0" fontId="0" fillId="0" borderId="5" xfId="0" applyBorder="1"/>
    <xf numFmtId="166" fontId="0" fillId="0" borderId="5" xfId="2" applyNumberFormat="1" applyFont="1" applyBorder="1" applyAlignment="1"/>
    <xf numFmtId="0" fontId="7" fillId="0" borderId="2" xfId="0" applyFont="1" applyBorder="1"/>
    <xf numFmtId="10" fontId="7" fillId="0" borderId="11" xfId="3" applyNumberFormat="1" applyFont="1" applyFill="1" applyBorder="1" applyAlignment="1"/>
    <xf numFmtId="0" fontId="7" fillId="5" borderId="2" xfId="0" applyFont="1" applyFill="1" applyBorder="1"/>
    <xf numFmtId="166" fontId="7" fillId="5" borderId="2" xfId="2" applyNumberFormat="1" applyFont="1" applyFill="1" applyBorder="1" applyAlignment="1"/>
    <xf numFmtId="10" fontId="0" fillId="0" borderId="0" xfId="3" applyNumberFormat="1" applyFont="1" applyAlignment="1"/>
    <xf numFmtId="0" fontId="7" fillId="6" borderId="5" xfId="0" applyFont="1" applyFill="1" applyBorder="1" applyAlignment="1">
      <alignment horizontal="center" vertical="center" wrapText="1"/>
    </xf>
    <xf numFmtId="3" fontId="0" fillId="4" borderId="2" xfId="1" applyNumberFormat="1" applyFont="1" applyFill="1" applyBorder="1" applyAlignment="1">
      <alignment horizontal="center" vertical="center"/>
    </xf>
    <xf numFmtId="167" fontId="0" fillId="6" borderId="11" xfId="1" applyNumberFormat="1" applyFont="1" applyFill="1" applyBorder="1" applyAlignment="1"/>
    <xf numFmtId="3" fontId="0" fillId="3" borderId="2" xfId="1" applyNumberFormat="1" applyFont="1" applyFill="1" applyBorder="1" applyAlignment="1">
      <alignment horizontal="center" vertical="center"/>
    </xf>
    <xf numFmtId="3" fontId="7" fillId="0" borderId="2" xfId="1" applyNumberFormat="1" applyFont="1" applyBorder="1" applyAlignment="1">
      <alignment horizontal="center" vertical="center"/>
    </xf>
    <xf numFmtId="167" fontId="7" fillId="6" borderId="4" xfId="1" applyNumberFormat="1" applyFont="1" applyFill="1" applyBorder="1" applyAlignment="1"/>
    <xf numFmtId="10" fontId="0" fillId="0" borderId="0" xfId="3" applyNumberFormat="1" applyFont="1" applyAlignment="1">
      <alignment horizontal="center" vertical="center"/>
    </xf>
    <xf numFmtId="0" fontId="7" fillId="0" borderId="3" xfId="0" applyFont="1" applyBorder="1" applyAlignment="1">
      <alignment horizontal="left" vertical="center" wrapText="1"/>
    </xf>
    <xf numFmtId="2" fontId="7" fillId="0" borderId="2" xfId="0" applyNumberFormat="1" applyFont="1" applyBorder="1" applyAlignment="1">
      <alignment horizontal="center" vertical="center" wrapText="1"/>
    </xf>
    <xf numFmtId="0" fontId="7" fillId="6" borderId="11" xfId="0" applyFont="1" applyFill="1" applyBorder="1" applyAlignment="1">
      <alignment horizontal="center" vertical="center" wrapText="1"/>
    </xf>
    <xf numFmtId="0" fontId="7" fillId="0" borderId="2" xfId="0" applyFont="1" applyBorder="1" applyAlignment="1">
      <alignment horizontal="left" vertical="center" wrapText="1"/>
    </xf>
    <xf numFmtId="168" fontId="0" fillId="0" borderId="2" xfId="1" applyNumberFormat="1" applyFont="1" applyBorder="1" applyAlignment="1">
      <alignment horizontal="center" vertical="center"/>
    </xf>
    <xf numFmtId="168" fontId="0" fillId="3" borderId="2" xfId="1" applyNumberFormat="1" applyFont="1" applyFill="1" applyBorder="1" applyAlignment="1">
      <alignment horizontal="center" vertical="center"/>
    </xf>
    <xf numFmtId="168" fontId="0" fillId="0" borderId="0" xfId="0" applyNumberFormat="1"/>
    <xf numFmtId="9" fontId="0" fillId="0" borderId="0" xfId="3" applyFont="1" applyAlignment="1"/>
    <xf numFmtId="169" fontId="7" fillId="0" borderId="2" xfId="1" applyNumberFormat="1" applyFont="1" applyBorder="1" applyAlignment="1">
      <alignment horizontal="center" vertical="center"/>
    </xf>
    <xf numFmtId="166" fontId="7" fillId="6" borderId="4" xfId="2" applyNumberFormat="1" applyFont="1" applyFill="1" applyBorder="1" applyAlignment="1"/>
    <xf numFmtId="166" fontId="7" fillId="7" borderId="7" xfId="2" applyNumberFormat="1" applyFont="1" applyFill="1" applyBorder="1" applyAlignment="1"/>
    <xf numFmtId="2" fontId="0" fillId="0" borderId="2" xfId="0" applyNumberFormat="1" applyBorder="1" applyAlignment="1">
      <alignment horizontal="center" vertical="center"/>
    </xf>
    <xf numFmtId="0" fontId="7" fillId="0" borderId="2" xfId="0" applyFont="1" applyBorder="1" applyAlignment="1">
      <alignment horizontal="left"/>
    </xf>
    <xf numFmtId="0" fontId="0" fillId="0" borderId="2" xfId="0" applyBorder="1" applyAlignment="1">
      <alignment horizontal="left"/>
    </xf>
    <xf numFmtId="10" fontId="0" fillId="0" borderId="2" xfId="3" applyNumberFormat="1" applyFont="1" applyBorder="1" applyAlignment="1"/>
    <xf numFmtId="3" fontId="0" fillId="0" borderId="2" xfId="0" applyNumberFormat="1" applyBorder="1" applyAlignment="1">
      <alignment horizontal="right"/>
    </xf>
    <xf numFmtId="10" fontId="0" fillId="0" borderId="2" xfId="3" applyNumberFormat="1" applyFont="1" applyBorder="1" applyAlignment="1">
      <alignment horizontal="center" vertical="center"/>
    </xf>
    <xf numFmtId="9" fontId="0" fillId="0" borderId="2" xfId="3" applyFont="1" applyBorder="1" applyAlignment="1">
      <alignment horizontal="center" vertical="center"/>
    </xf>
    <xf numFmtId="10" fontId="0" fillId="0" borderId="2" xfId="0" applyNumberFormat="1" applyBorder="1"/>
    <xf numFmtId="10" fontId="7" fillId="0" borderId="2" xfId="3" applyNumberFormat="1" applyFont="1" applyBorder="1" applyAlignment="1">
      <alignment horizontal="center" vertical="center"/>
    </xf>
    <xf numFmtId="9" fontId="0" fillId="0" borderId="2" xfId="0" applyNumberFormat="1" applyBorder="1"/>
    <xf numFmtId="170" fontId="0" fillId="0" borderId="2" xfId="3" applyNumberFormat="1" applyFont="1" applyBorder="1" applyAlignment="1"/>
    <xf numFmtId="0" fontId="10" fillId="8" borderId="2" xfId="0" applyFont="1" applyFill="1" applyBorder="1" applyAlignment="1">
      <alignment horizontal="center"/>
    </xf>
    <xf numFmtId="164" fontId="10" fillId="8" borderId="2" xfId="2" applyFont="1" applyFill="1" applyBorder="1" applyAlignment="1">
      <alignment horizontal="center"/>
    </xf>
    <xf numFmtId="0" fontId="0" fillId="0" borderId="0" xfId="0" applyAlignment="1">
      <alignment horizontal="center"/>
    </xf>
    <xf numFmtId="164" fontId="0" fillId="0" borderId="0" xfId="2" applyFont="1" applyAlignment="1">
      <alignment horizontal="right"/>
    </xf>
    <xf numFmtId="164" fontId="0" fillId="0" borderId="0" xfId="2" applyFont="1" applyAlignment="1">
      <alignment horizontal="center"/>
    </xf>
    <xf numFmtId="0" fontId="0" fillId="8" borderId="2" xfId="0" applyFill="1" applyBorder="1"/>
    <xf numFmtId="37" fontId="0" fillId="8" borderId="2" xfId="2" applyNumberFormat="1" applyFont="1" applyFill="1" applyBorder="1" applyAlignment="1">
      <alignment horizontal="center"/>
    </xf>
    <xf numFmtId="39" fontId="0" fillId="8" borderId="2" xfId="2" applyNumberFormat="1" applyFont="1" applyFill="1" applyBorder="1" applyAlignment="1">
      <alignment horizontal="center"/>
    </xf>
    <xf numFmtId="171" fontId="0" fillId="8" borderId="2" xfId="2" applyNumberFormat="1" applyFont="1" applyFill="1" applyBorder="1" applyAlignment="1">
      <alignment horizontal="center"/>
    </xf>
    <xf numFmtId="164" fontId="0" fillId="8" borderId="2" xfId="2" applyFont="1" applyFill="1" applyBorder="1" applyAlignment="1">
      <alignment horizontal="center"/>
    </xf>
    <xf numFmtId="44" fontId="0" fillId="0" borderId="0" xfId="0" applyNumberFormat="1"/>
    <xf numFmtId="164" fontId="10" fillId="0" borderId="5" xfId="2" applyFont="1" applyBorder="1" applyAlignment="1">
      <alignment horizontal="center" vertical="center" wrapText="1"/>
    </xf>
    <xf numFmtId="0" fontId="10" fillId="0" borderId="2" xfId="0" applyFont="1" applyBorder="1" applyAlignment="1">
      <alignment horizontal="center" vertical="center" wrapText="1"/>
    </xf>
    <xf numFmtId="164" fontId="10" fillId="0" borderId="2" xfId="2" applyFont="1" applyBorder="1" applyAlignment="1">
      <alignment horizontal="center" vertical="center" wrapText="1"/>
    </xf>
    <xf numFmtId="0" fontId="0" fillId="9" borderId="14" xfId="0" applyFill="1" applyBorder="1"/>
    <xf numFmtId="164" fontId="0" fillId="9" borderId="5" xfId="2" applyFont="1" applyFill="1" applyBorder="1" applyAlignment="1">
      <alignment horizontal="center"/>
    </xf>
    <xf numFmtId="3" fontId="0" fillId="9" borderId="15" xfId="0" applyNumberFormat="1" applyFill="1" applyBorder="1" applyAlignment="1">
      <alignment horizontal="center"/>
    </xf>
    <xf numFmtId="164" fontId="0" fillId="9" borderId="11" xfId="2" applyFont="1" applyFill="1" applyBorder="1" applyAlignment="1">
      <alignment horizontal="right"/>
    </xf>
    <xf numFmtId="1" fontId="0" fillId="9" borderId="11" xfId="0" applyNumberFormat="1" applyFill="1" applyBorder="1" applyAlignment="1">
      <alignment horizontal="center"/>
    </xf>
    <xf numFmtId="164" fontId="0" fillId="9" borderId="11" xfId="2" applyFont="1" applyFill="1" applyBorder="1" applyAlignment="1">
      <alignment horizontal="center"/>
    </xf>
    <xf numFmtId="10" fontId="0" fillId="9" borderId="11" xfId="4" applyNumberFormat="1" applyFont="1" applyFill="1" applyBorder="1" applyAlignment="1">
      <alignment horizontal="center"/>
    </xf>
    <xf numFmtId="172" fontId="0" fillId="9" borderId="11" xfId="2" applyNumberFormat="1" applyFont="1" applyFill="1" applyBorder="1" applyAlignment="1">
      <alignment horizontal="center"/>
    </xf>
    <xf numFmtId="2" fontId="0" fillId="0" borderId="2" xfId="2" applyNumberFormat="1" applyFont="1" applyBorder="1" applyAlignment="1"/>
    <xf numFmtId="2" fontId="0" fillId="0" borderId="2" xfId="0" applyNumberFormat="1" applyBorder="1"/>
    <xf numFmtId="2" fontId="7" fillId="0" borderId="2" xfId="0" applyNumberFormat="1" applyFont="1" applyBorder="1"/>
    <xf numFmtId="10" fontId="7" fillId="0" borderId="2" xfId="3" applyNumberFormat="1" applyFont="1" applyBorder="1" applyAlignment="1"/>
    <xf numFmtId="0" fontId="0" fillId="9" borderId="14" xfId="0" applyFill="1" applyBorder="1" applyAlignment="1">
      <alignment wrapText="1"/>
    </xf>
    <xf numFmtId="0" fontId="10" fillId="9" borderId="2" xfId="0" applyFont="1" applyFill="1" applyBorder="1"/>
    <xf numFmtId="164" fontId="10" fillId="9" borderId="2" xfId="2" applyFont="1" applyFill="1" applyBorder="1" applyAlignment="1">
      <alignment horizontal="center"/>
    </xf>
    <xf numFmtId="3" fontId="10" fillId="9" borderId="2" xfId="0" applyNumberFormat="1" applyFont="1" applyFill="1" applyBorder="1" applyAlignment="1">
      <alignment horizontal="center"/>
    </xf>
    <xf numFmtId="164" fontId="10" fillId="9" borderId="2" xfId="2" applyFont="1" applyFill="1" applyBorder="1" applyAlignment="1">
      <alignment horizontal="right"/>
    </xf>
    <xf numFmtId="173" fontId="10" fillId="9" borderId="2" xfId="0" applyNumberFormat="1" applyFont="1" applyFill="1" applyBorder="1" applyAlignment="1">
      <alignment horizontal="center"/>
    </xf>
    <xf numFmtId="10" fontId="10" fillId="9" borderId="2" xfId="4" applyNumberFormat="1" applyFont="1" applyFill="1" applyBorder="1" applyAlignment="1">
      <alignment horizontal="center"/>
    </xf>
    <xf numFmtId="0" fontId="11" fillId="9" borderId="14" xfId="5" applyFill="1" applyBorder="1" applyAlignment="1">
      <alignment vertical="top" wrapText="1"/>
    </xf>
    <xf numFmtId="172" fontId="0" fillId="0" borderId="5" xfId="2" applyNumberFormat="1" applyFont="1" applyBorder="1" applyAlignment="1">
      <alignment horizontal="center"/>
    </xf>
    <xf numFmtId="1" fontId="0" fillId="9" borderId="15" xfId="0" applyNumberFormat="1" applyFill="1" applyBorder="1" applyAlignment="1">
      <alignment horizontal="center"/>
    </xf>
    <xf numFmtId="164" fontId="0" fillId="9" borderId="11" xfId="2" applyFont="1" applyFill="1" applyBorder="1" applyAlignment="1">
      <alignment horizontal="center" wrapText="1"/>
    </xf>
    <xf numFmtId="1" fontId="0" fillId="9" borderId="15" xfId="0" applyNumberFormat="1" applyFill="1" applyBorder="1" applyAlignment="1">
      <alignment horizontal="center" wrapText="1"/>
    </xf>
    <xf numFmtId="0" fontId="11" fillId="9" borderId="14" xfId="5" applyFill="1" applyBorder="1" applyAlignment="1">
      <alignment vertical="top"/>
    </xf>
    <xf numFmtId="0" fontId="10" fillId="9" borderId="2" xfId="5" applyFont="1" applyFill="1" applyBorder="1" applyAlignment="1" applyProtection="1">
      <alignment vertical="top" wrapText="1"/>
      <protection locked="0"/>
    </xf>
    <xf numFmtId="164" fontId="10" fillId="9" borderId="2" xfId="2" applyFont="1" applyFill="1" applyBorder="1" applyAlignment="1">
      <alignment horizontal="center" wrapText="1"/>
    </xf>
    <xf numFmtId="0" fontId="10" fillId="9" borderId="2" xfId="0" applyFont="1" applyFill="1" applyBorder="1" applyAlignment="1">
      <alignment horizontal="center" wrapText="1"/>
    </xf>
    <xf numFmtId="164" fontId="10" fillId="0" borderId="2" xfId="2" applyFont="1" applyBorder="1" applyAlignment="1">
      <alignment horizontal="right"/>
    </xf>
    <xf numFmtId="0" fontId="11" fillId="9" borderId="11" xfId="5" applyFill="1" applyBorder="1" applyAlignment="1">
      <alignment vertical="center"/>
    </xf>
    <xf numFmtId="3" fontId="0" fillId="9" borderId="11" xfId="0" applyNumberFormat="1" applyFill="1" applyBorder="1" applyAlignment="1">
      <alignment horizontal="center"/>
    </xf>
    <xf numFmtId="0" fontId="11" fillId="9" borderId="11" xfId="5" applyFill="1" applyBorder="1" applyAlignment="1">
      <alignment vertical="center" wrapText="1"/>
    </xf>
    <xf numFmtId="3" fontId="0" fillId="9" borderId="11" xfId="0" applyNumberFormat="1" applyFill="1" applyBorder="1" applyAlignment="1">
      <alignment horizontal="center" wrapText="1"/>
    </xf>
    <xf numFmtId="0" fontId="11" fillId="9" borderId="11" xfId="5" applyFill="1" applyBorder="1" applyAlignment="1" applyProtection="1">
      <alignment vertical="top" wrapText="1"/>
      <protection locked="0"/>
    </xf>
    <xf numFmtId="172" fontId="0" fillId="9" borderId="14" xfId="2" applyNumberFormat="1" applyFont="1" applyFill="1" applyBorder="1" applyAlignment="1">
      <alignment horizontal="center"/>
    </xf>
    <xf numFmtId="3" fontId="0" fillId="9" borderId="5" xfId="0" applyNumberFormat="1" applyFill="1" applyBorder="1" applyAlignment="1">
      <alignment horizontal="center" wrapText="1"/>
    </xf>
    <xf numFmtId="164" fontId="0" fillId="9" borderId="15" xfId="2" applyFont="1" applyFill="1" applyBorder="1" applyAlignment="1">
      <alignment horizontal="right"/>
    </xf>
    <xf numFmtId="0" fontId="11" fillId="9" borderId="11" xfId="5" applyFill="1" applyBorder="1" applyAlignment="1" applyProtection="1">
      <alignment vertical="top"/>
      <protection locked="0"/>
    </xf>
    <xf numFmtId="164" fontId="0" fillId="9" borderId="14" xfId="2" applyFont="1" applyFill="1" applyBorder="1" applyAlignment="1">
      <alignment horizontal="center"/>
    </xf>
    <xf numFmtId="0" fontId="11" fillId="9" borderId="11" xfId="0" applyFont="1" applyFill="1" applyBorder="1"/>
    <xf numFmtId="174" fontId="0" fillId="9" borderId="14" xfId="2" applyNumberFormat="1" applyFont="1" applyFill="1" applyBorder="1" applyAlignment="1">
      <alignment horizontal="center"/>
    </xf>
    <xf numFmtId="3" fontId="11" fillId="9" borderId="11" xfId="0" applyNumberFormat="1" applyFont="1" applyFill="1" applyBorder="1" applyAlignment="1">
      <alignment horizontal="center"/>
    </xf>
    <xf numFmtId="3" fontId="11" fillId="9" borderId="4" xfId="0" applyNumberFormat="1" applyFont="1" applyFill="1" applyBorder="1" applyAlignment="1">
      <alignment horizontal="center"/>
    </xf>
    <xf numFmtId="4" fontId="10" fillId="9" borderId="4" xfId="0" applyNumberFormat="1" applyFont="1" applyFill="1" applyBorder="1" applyAlignment="1">
      <alignment horizontal="center"/>
    </xf>
    <xf numFmtId="4" fontId="10" fillId="9" borderId="2" xfId="0" applyNumberFormat="1" applyFont="1" applyFill="1" applyBorder="1" applyAlignment="1">
      <alignment horizontal="center"/>
    </xf>
    <xf numFmtId="0" fontId="0" fillId="9" borderId="11" xfId="0" applyFill="1" applyBorder="1" applyAlignment="1">
      <alignment horizontal="left" indent="1"/>
    </xf>
    <xf numFmtId="170" fontId="0" fillId="9" borderId="11" xfId="3" applyNumberFormat="1" applyFont="1" applyFill="1" applyBorder="1" applyAlignment="1">
      <alignment horizontal="center"/>
    </xf>
    <xf numFmtId="10" fontId="11" fillId="9" borderId="11" xfId="4" applyNumberFormat="1" applyFont="1" applyFill="1" applyBorder="1" applyAlignment="1">
      <alignment horizontal="center"/>
    </xf>
    <xf numFmtId="0" fontId="10" fillId="10" borderId="2" xfId="0" applyFont="1" applyFill="1" applyBorder="1"/>
    <xf numFmtId="164" fontId="10" fillId="10" borderId="2" xfId="2" applyFont="1" applyFill="1" applyBorder="1" applyAlignment="1">
      <alignment horizontal="center"/>
    </xf>
    <xf numFmtId="4" fontId="10" fillId="10" borderId="2" xfId="0" applyNumberFormat="1" applyFont="1" applyFill="1" applyBorder="1" applyAlignment="1">
      <alignment horizontal="center"/>
    </xf>
    <xf numFmtId="164" fontId="10" fillId="10" borderId="2" xfId="2" applyFont="1" applyFill="1" applyBorder="1" applyAlignment="1">
      <alignment horizontal="right"/>
    </xf>
    <xf numFmtId="10" fontId="10" fillId="10" borderId="2" xfId="4" applyNumberFormat="1" applyFont="1" applyFill="1" applyBorder="1" applyAlignment="1">
      <alignment horizontal="center"/>
    </xf>
    <xf numFmtId="0" fontId="0" fillId="0" borderId="16" xfId="0" applyBorder="1"/>
    <xf numFmtId="173" fontId="0" fillId="0" borderId="0" xfId="0" applyNumberFormat="1" applyAlignment="1">
      <alignment horizontal="center"/>
    </xf>
    <xf numFmtId="10" fontId="0" fillId="0" borderId="0" xfId="4" applyNumberFormat="1" applyFont="1" applyFill="1" applyAlignment="1">
      <alignment horizontal="center"/>
    </xf>
    <xf numFmtId="0" fontId="10" fillId="8" borderId="2" xfId="5" applyFont="1" applyFill="1" applyBorder="1" applyAlignment="1">
      <alignment horizontal="center"/>
    </xf>
    <xf numFmtId="44" fontId="10" fillId="8" borderId="2" xfId="6" applyFont="1" applyFill="1" applyBorder="1" applyAlignment="1">
      <alignment horizontal="center"/>
    </xf>
    <xf numFmtId="0" fontId="11" fillId="0" borderId="0" xfId="5"/>
    <xf numFmtId="44" fontId="11" fillId="0" borderId="0" xfId="6" applyFont="1" applyAlignment="1">
      <alignment horizontal="right"/>
    </xf>
    <xf numFmtId="44" fontId="11" fillId="0" borderId="0" xfId="6" applyFont="1" applyAlignment="1">
      <alignment horizontal="center"/>
    </xf>
    <xf numFmtId="0" fontId="11" fillId="8" borderId="2" xfId="5" applyFill="1" applyBorder="1"/>
    <xf numFmtId="37" fontId="11" fillId="8" borderId="2" xfId="6" applyNumberFormat="1" applyFont="1" applyFill="1" applyBorder="1" applyAlignment="1">
      <alignment horizontal="center"/>
    </xf>
    <xf numFmtId="39" fontId="11" fillId="8" borderId="2" xfId="6" applyNumberFormat="1" applyFont="1" applyFill="1" applyBorder="1" applyAlignment="1">
      <alignment horizontal="center"/>
    </xf>
    <xf numFmtId="171" fontId="11" fillId="8" borderId="2" xfId="6" applyNumberFormat="1" applyFont="1" applyFill="1" applyBorder="1" applyAlignment="1">
      <alignment horizontal="center"/>
    </xf>
    <xf numFmtId="44" fontId="11" fillId="8" borderId="2" xfId="6" applyFont="1" applyFill="1" applyBorder="1" applyAlignment="1">
      <alignment horizontal="center"/>
    </xf>
    <xf numFmtId="44" fontId="10" fillId="0" borderId="5" xfId="6" applyFont="1" applyBorder="1" applyAlignment="1">
      <alignment horizontal="center" vertical="center" wrapText="1"/>
    </xf>
    <xf numFmtId="0" fontId="10" fillId="0" borderId="2" xfId="5" applyFont="1" applyBorder="1" applyAlignment="1">
      <alignment horizontal="center" vertical="center" wrapText="1"/>
    </xf>
    <xf numFmtId="44" fontId="10" fillId="0" borderId="2" xfId="6" applyFont="1" applyBorder="1" applyAlignment="1">
      <alignment horizontal="center" vertical="center" wrapText="1"/>
    </xf>
    <xf numFmtId="0" fontId="11" fillId="9" borderId="14" xfId="5" applyFill="1" applyBorder="1"/>
    <xf numFmtId="44" fontId="11" fillId="9" borderId="5" xfId="6" applyFont="1" applyFill="1" applyBorder="1" applyAlignment="1">
      <alignment horizontal="center"/>
    </xf>
    <xf numFmtId="3" fontId="11" fillId="9" borderId="15" xfId="5" applyNumberFormat="1" applyFill="1" applyBorder="1" applyAlignment="1">
      <alignment horizontal="center"/>
    </xf>
    <xf numFmtId="44" fontId="11" fillId="9" borderId="11" xfId="6" applyFont="1" applyFill="1" applyBorder="1" applyAlignment="1">
      <alignment horizontal="right"/>
    </xf>
    <xf numFmtId="1" fontId="11" fillId="9" borderId="11" xfId="5" applyNumberFormat="1" applyFill="1" applyBorder="1" applyAlignment="1">
      <alignment horizontal="center"/>
    </xf>
    <xf numFmtId="44" fontId="11" fillId="9" borderId="11" xfId="6" applyFont="1" applyFill="1" applyBorder="1" applyAlignment="1">
      <alignment horizontal="center"/>
    </xf>
    <xf numFmtId="172" fontId="11" fillId="9" borderId="11" xfId="6" applyNumberFormat="1" applyFont="1" applyFill="1" applyBorder="1" applyAlignment="1">
      <alignment horizontal="center"/>
    </xf>
    <xf numFmtId="0" fontId="11" fillId="9" borderId="14" xfId="5" applyFill="1" applyBorder="1" applyAlignment="1">
      <alignment wrapText="1"/>
    </xf>
    <xf numFmtId="0" fontId="10" fillId="9" borderId="2" xfId="5" applyFont="1" applyFill="1" applyBorder="1"/>
    <xf numFmtId="44" fontId="10" fillId="9" borderId="4" xfId="6" applyFont="1" applyFill="1" applyBorder="1" applyAlignment="1">
      <alignment horizontal="center"/>
    </xf>
    <xf numFmtId="3" fontId="10" fillId="9" borderId="2" xfId="5" applyNumberFormat="1" applyFont="1" applyFill="1" applyBorder="1" applyAlignment="1">
      <alignment horizontal="center"/>
    </xf>
    <xf numFmtId="44" fontId="10" fillId="9" borderId="2" xfId="6" applyFont="1" applyFill="1" applyBorder="1" applyAlignment="1">
      <alignment horizontal="right"/>
    </xf>
    <xf numFmtId="44" fontId="10" fillId="9" borderId="2" xfId="6" applyFont="1" applyFill="1" applyBorder="1" applyAlignment="1">
      <alignment horizontal="center"/>
    </xf>
    <xf numFmtId="173" fontId="10" fillId="9" borderId="2" xfId="5" applyNumberFormat="1" applyFont="1" applyFill="1" applyBorder="1" applyAlignment="1">
      <alignment horizontal="center"/>
    </xf>
    <xf numFmtId="10" fontId="11" fillId="9" borderId="2" xfId="4" applyNumberFormat="1" applyFont="1" applyFill="1" applyBorder="1" applyAlignment="1">
      <alignment horizontal="center"/>
    </xf>
    <xf numFmtId="1" fontId="11" fillId="9" borderId="15" xfId="5" applyNumberFormat="1" applyFill="1" applyBorder="1" applyAlignment="1">
      <alignment horizontal="center"/>
    </xf>
    <xf numFmtId="172" fontId="11" fillId="0" borderId="5" xfId="6" applyNumberFormat="1" applyFont="1" applyBorder="1" applyAlignment="1">
      <alignment horizontal="center"/>
    </xf>
    <xf numFmtId="1" fontId="11" fillId="9" borderId="15" xfId="5" applyNumberFormat="1" applyFill="1" applyBorder="1" applyAlignment="1">
      <alignment horizontal="center" wrapText="1"/>
    </xf>
    <xf numFmtId="44" fontId="11" fillId="9" borderId="11" xfId="6" applyFont="1" applyFill="1" applyBorder="1" applyAlignment="1">
      <alignment horizontal="center" wrapText="1"/>
    </xf>
    <xf numFmtId="44" fontId="10" fillId="9" borderId="2" xfId="6" applyFont="1" applyFill="1" applyBorder="1" applyAlignment="1">
      <alignment horizontal="center" wrapText="1"/>
    </xf>
    <xf numFmtId="0" fontId="10" fillId="9" borderId="2" xfId="5" applyFont="1" applyFill="1" applyBorder="1" applyAlignment="1">
      <alignment horizontal="center" wrapText="1"/>
    </xf>
    <xf numFmtId="44" fontId="10" fillId="0" borderId="2" xfId="6" applyFont="1" applyBorder="1" applyAlignment="1">
      <alignment horizontal="right"/>
    </xf>
    <xf numFmtId="3" fontId="11" fillId="9" borderId="11" xfId="5" applyNumberFormat="1" applyFill="1" applyBorder="1" applyAlignment="1">
      <alignment horizontal="center"/>
    </xf>
    <xf numFmtId="3" fontId="11" fillId="9" borderId="11" xfId="5" applyNumberFormat="1" applyFill="1" applyBorder="1" applyAlignment="1">
      <alignment horizontal="center" wrapText="1"/>
    </xf>
    <xf numFmtId="3" fontId="11" fillId="9" borderId="5" xfId="5" applyNumberFormat="1" applyFill="1" applyBorder="1" applyAlignment="1">
      <alignment horizontal="center" wrapText="1"/>
    </xf>
    <xf numFmtId="172" fontId="11" fillId="9" borderId="14" xfId="6" applyNumberFormat="1" applyFont="1" applyFill="1" applyBorder="1" applyAlignment="1">
      <alignment horizontal="center"/>
    </xf>
    <xf numFmtId="44" fontId="11" fillId="9" borderId="14" xfId="6" applyFont="1" applyFill="1" applyBorder="1" applyAlignment="1">
      <alignment horizontal="center"/>
    </xf>
    <xf numFmtId="0" fontId="11" fillId="9" borderId="11" xfId="5" applyFill="1" applyBorder="1"/>
    <xf numFmtId="174" fontId="11" fillId="9" borderId="14" xfId="6" applyNumberFormat="1" applyFont="1" applyFill="1" applyBorder="1" applyAlignment="1">
      <alignment horizontal="center"/>
    </xf>
    <xf numFmtId="3" fontId="11" fillId="9" borderId="4" xfId="5" applyNumberFormat="1" applyFill="1" applyBorder="1" applyAlignment="1">
      <alignment horizontal="center"/>
    </xf>
    <xf numFmtId="4" fontId="10" fillId="9" borderId="4" xfId="5" applyNumberFormat="1" applyFont="1" applyFill="1" applyBorder="1" applyAlignment="1">
      <alignment horizontal="center"/>
    </xf>
    <xf numFmtId="4" fontId="10" fillId="9" borderId="2" xfId="5" applyNumberFormat="1" applyFont="1" applyFill="1" applyBorder="1" applyAlignment="1">
      <alignment horizontal="center"/>
    </xf>
    <xf numFmtId="0" fontId="11" fillId="9" borderId="11" xfId="5" applyFill="1" applyBorder="1" applyAlignment="1">
      <alignment horizontal="left" indent="1"/>
    </xf>
    <xf numFmtId="170" fontId="11" fillId="9" borderId="11" xfId="3" applyNumberFormat="1" applyFont="1" applyFill="1" applyBorder="1" applyAlignment="1">
      <alignment horizontal="center"/>
    </xf>
    <xf numFmtId="0" fontId="10" fillId="10" borderId="2" xfId="5" applyFont="1" applyFill="1" applyBorder="1"/>
    <xf numFmtId="44" fontId="10" fillId="10" borderId="2" xfId="6" applyFont="1" applyFill="1" applyBorder="1" applyAlignment="1">
      <alignment horizontal="center"/>
    </xf>
    <xf numFmtId="4" fontId="10" fillId="10" borderId="2" xfId="5" applyNumberFormat="1" applyFont="1" applyFill="1" applyBorder="1" applyAlignment="1">
      <alignment horizontal="center"/>
    </xf>
    <xf numFmtId="44" fontId="10" fillId="10" borderId="2" xfId="6" applyFont="1" applyFill="1" applyBorder="1" applyAlignment="1">
      <alignment horizontal="right"/>
    </xf>
    <xf numFmtId="10" fontId="11" fillId="10" borderId="2" xfId="4" applyNumberFormat="1" applyFont="1" applyFill="1" applyBorder="1" applyAlignment="1">
      <alignment horizontal="center"/>
    </xf>
    <xf numFmtId="0" fontId="0" fillId="0" borderId="0" xfId="0" applyAlignment="1">
      <alignment horizontal="left" vertical="top" wrapText="1"/>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center" vertical="center" wrapText="1"/>
    </xf>
    <xf numFmtId="0" fontId="0" fillId="0" borderId="6" xfId="0" applyBorder="1" applyAlignment="1">
      <alignment horizontal="left"/>
    </xf>
    <xf numFmtId="0" fontId="0" fillId="0" borderId="13" xfId="0" applyBorder="1" applyAlignment="1">
      <alignment horizontal="left"/>
    </xf>
    <xf numFmtId="0" fontId="0" fillId="0" borderId="2" xfId="0" applyBorder="1" applyAlignment="1">
      <alignment horizontal="left"/>
    </xf>
    <xf numFmtId="0" fontId="7" fillId="0" borderId="6" xfId="0" applyFont="1" applyBorder="1" applyAlignment="1">
      <alignment horizontal="right"/>
    </xf>
    <xf numFmtId="0" fontId="7" fillId="0" borderId="12" xfId="0" applyFont="1" applyBorder="1" applyAlignment="1">
      <alignment horizontal="right"/>
    </xf>
    <xf numFmtId="0" fontId="7" fillId="0" borderId="13" xfId="0" applyFont="1" applyBorder="1" applyAlignment="1">
      <alignment horizontal="right"/>
    </xf>
    <xf numFmtId="0" fontId="7" fillId="0" borderId="0" xfId="0" applyFont="1" applyAlignment="1">
      <alignment horizontal="left" vertical="top" wrapText="1"/>
    </xf>
    <xf numFmtId="0" fontId="0" fillId="0" borderId="5" xfId="0" applyBorder="1" applyAlignment="1">
      <alignment horizontal="center"/>
    </xf>
    <xf numFmtId="0" fontId="0" fillId="0" borderId="4" xfId="0" applyBorder="1" applyAlignment="1">
      <alignment horizontal="center"/>
    </xf>
    <xf numFmtId="0" fontId="10" fillId="0" borderId="13" xfId="0" applyFont="1" applyBorder="1" applyAlignment="1">
      <alignment horizontal="center"/>
    </xf>
    <xf numFmtId="0" fontId="10" fillId="0" borderId="2" xfId="0" applyFont="1" applyBorder="1" applyAlignment="1">
      <alignment horizontal="center"/>
    </xf>
    <xf numFmtId="0" fontId="11" fillId="0" borderId="5" xfId="5" applyBorder="1" applyAlignment="1">
      <alignment horizontal="center"/>
    </xf>
    <xf numFmtId="0" fontId="11" fillId="0" borderId="4" xfId="5" applyBorder="1" applyAlignment="1">
      <alignment horizontal="center"/>
    </xf>
    <xf numFmtId="0" fontId="10" fillId="0" borderId="13" xfId="5" applyFont="1" applyBorder="1" applyAlignment="1">
      <alignment horizontal="center"/>
    </xf>
    <xf numFmtId="0" fontId="10" fillId="0" borderId="2" xfId="5" applyFont="1" applyBorder="1" applyAlignment="1">
      <alignment horizontal="center"/>
    </xf>
  </cellXfs>
  <cellStyles count="7">
    <cellStyle name="Comma" xfId="1" builtinId="3"/>
    <cellStyle name="Currency" xfId="2" builtinId="4"/>
    <cellStyle name="Currency 3" xfId="6" xr:uid="{3FADE2DC-678C-48A4-A2C0-04F56AA90EE9}"/>
    <cellStyle name="Normal" xfId="0" builtinId="0"/>
    <cellStyle name="Normal 2" xfId="5" xr:uid="{93D741F4-D271-4F0C-A8E0-52EB9041EC32}"/>
    <cellStyle name="Percent" xfId="3" builtinId="5"/>
    <cellStyle name="Percent 2" xfId="4" xr:uid="{91E4950C-6F85-48E8-A2B4-15CB8DCD7D9C}"/>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96AB5-CECC-4BC7-9AD8-A2E2C9613864}">
  <sheetPr>
    <pageSetUpPr fitToPage="1"/>
  </sheetPr>
  <dimension ref="A1:AC45"/>
  <sheetViews>
    <sheetView showGridLines="0" workbookViewId="0">
      <selection activeCell="E10" sqref="E10"/>
    </sheetView>
  </sheetViews>
  <sheetFormatPr defaultColWidth="8.7265625" defaultRowHeight="14.5" x14ac:dyDescent="0.35"/>
  <cols>
    <col min="1" max="1" width="32.453125" customWidth="1"/>
    <col min="2" max="2" width="15.26953125" bestFit="1" customWidth="1"/>
    <col min="3" max="3" width="16" bestFit="1" customWidth="1"/>
    <col min="4" max="4" width="14.7265625" bestFit="1" customWidth="1"/>
    <col min="5" max="5" width="15.7265625" customWidth="1"/>
    <col min="6" max="6" width="11" customWidth="1"/>
    <col min="7" max="7" width="32.7265625" customWidth="1"/>
    <col min="8" max="8" width="15.26953125" bestFit="1" customWidth="1"/>
    <col min="9" max="9" width="16" bestFit="1" customWidth="1"/>
    <col min="10" max="10" width="14.7265625" bestFit="1" customWidth="1"/>
    <col min="11" max="11" width="15.7265625" customWidth="1"/>
    <col min="12" max="12" width="12.453125" bestFit="1" customWidth="1"/>
    <col min="13" max="14" width="16.81640625" customWidth="1"/>
    <col min="15" max="15" width="8.453125" customWidth="1"/>
    <col min="16" max="16" width="21.7265625" customWidth="1"/>
    <col min="17" max="19" width="16.7265625" customWidth="1"/>
  </cols>
  <sheetData>
    <row r="1" spans="1:29" s="3" customFormat="1" ht="30" x14ac:dyDescent="0.6">
      <c r="A1" s="1" t="str">
        <f>"Transmission Revenue Requirement Rebasing Model - Five Nations Energy Inc."</f>
        <v>Transmission Revenue Requirement Rebasing Model - Five Nations Energy Inc.</v>
      </c>
      <c r="B1" s="2"/>
    </row>
    <row r="2" spans="1:29" s="3" customFormat="1" ht="21" x14ac:dyDescent="0.5">
      <c r="A2" s="4" t="s">
        <v>0</v>
      </c>
      <c r="B2" s="5"/>
    </row>
    <row r="4" spans="1:29" x14ac:dyDescent="0.35">
      <c r="A4" s="6" t="s">
        <v>1</v>
      </c>
    </row>
    <row r="5" spans="1:29" x14ac:dyDescent="0.35">
      <c r="A5" s="7" t="s">
        <v>2</v>
      </c>
      <c r="G5" s="7" t="s">
        <v>3</v>
      </c>
    </row>
    <row r="6" spans="1:29" x14ac:dyDescent="0.35">
      <c r="A6" s="185" t="s">
        <v>4</v>
      </c>
      <c r="B6" s="187" t="s">
        <v>5</v>
      </c>
      <c r="C6" s="187"/>
      <c r="D6" s="187"/>
      <c r="E6" s="187"/>
      <c r="G6" s="189" t="s">
        <v>4</v>
      </c>
      <c r="H6" s="187" t="s">
        <v>5</v>
      </c>
      <c r="I6" s="187"/>
      <c r="J6" s="187"/>
      <c r="K6" s="187"/>
    </row>
    <row r="7" spans="1:29" ht="29" x14ac:dyDescent="0.35">
      <c r="A7" s="186"/>
      <c r="B7" s="9" t="s">
        <v>6</v>
      </c>
      <c r="C7" s="9" t="s">
        <v>7</v>
      </c>
      <c r="D7" s="9" t="s">
        <v>8</v>
      </c>
      <c r="E7" s="9" t="s">
        <v>9</v>
      </c>
      <c r="G7" s="189"/>
      <c r="H7" s="8" t="s">
        <v>6</v>
      </c>
      <c r="I7" s="9" t="s">
        <v>10</v>
      </c>
      <c r="J7" s="9" t="s">
        <v>11</v>
      </c>
      <c r="K7" s="8" t="s">
        <v>9</v>
      </c>
      <c r="T7" s="184" t="s">
        <v>12</v>
      </c>
      <c r="U7" s="184"/>
      <c r="V7" s="184"/>
      <c r="W7" s="184"/>
      <c r="X7" s="184"/>
      <c r="Y7" s="184"/>
      <c r="Z7" s="184"/>
      <c r="AA7" s="184"/>
      <c r="AB7" s="184"/>
      <c r="AC7" s="184"/>
    </row>
    <row r="8" spans="1:29" x14ac:dyDescent="0.35">
      <c r="A8" s="10" t="s">
        <v>13</v>
      </c>
      <c r="B8" s="11">
        <f>H8</f>
        <v>1280063491</v>
      </c>
      <c r="C8" s="11">
        <f t="shared" ref="C8:D9" si="0">I8</f>
        <v>221993543</v>
      </c>
      <c r="D8" s="11">
        <f t="shared" si="0"/>
        <v>633465726</v>
      </c>
      <c r="E8" s="12">
        <f>SUM(B8:D8)</f>
        <v>2135522760</v>
      </c>
      <c r="G8" s="10" t="s">
        <v>13</v>
      </c>
      <c r="H8" s="13">
        <v>1280063491</v>
      </c>
      <c r="I8" s="13">
        <v>221993543</v>
      </c>
      <c r="J8" s="13">
        <v>633465726</v>
      </c>
      <c r="K8" s="14">
        <f t="shared" ref="K8:K16" si="1">SUM(H8:J8)</f>
        <v>2135522760</v>
      </c>
      <c r="T8" s="184"/>
      <c r="U8" s="184"/>
      <c r="V8" s="184"/>
      <c r="W8" s="184"/>
      <c r="X8" s="184"/>
      <c r="Y8" s="184"/>
      <c r="Z8" s="184"/>
      <c r="AA8" s="184"/>
      <c r="AB8" s="184"/>
      <c r="AC8" s="184"/>
    </row>
    <row r="9" spans="1:29" ht="15" thickBot="1" x14ac:dyDescent="0.4">
      <c r="A9" s="15" t="s">
        <v>14</v>
      </c>
      <c r="B9" s="11">
        <f>H9</f>
        <v>26007789</v>
      </c>
      <c r="C9" s="11">
        <f t="shared" si="0"/>
        <v>4510371</v>
      </c>
      <c r="D9" s="11">
        <f t="shared" si="0"/>
        <v>12870489</v>
      </c>
      <c r="E9" s="16">
        <f t="shared" ref="E9:E16" si="2">SUM(B9:D9)</f>
        <v>43388649</v>
      </c>
      <c r="G9" s="15" t="s">
        <v>14</v>
      </c>
      <c r="H9" s="17">
        <v>26007789</v>
      </c>
      <c r="I9" s="17">
        <v>4510371</v>
      </c>
      <c r="J9" s="17">
        <v>12870489</v>
      </c>
      <c r="K9" s="12">
        <f t="shared" si="1"/>
        <v>43388649</v>
      </c>
      <c r="O9" s="18"/>
      <c r="T9" s="184"/>
      <c r="U9" s="184"/>
      <c r="V9" s="184"/>
      <c r="W9" s="184"/>
      <c r="X9" s="184"/>
      <c r="Y9" s="184"/>
      <c r="Z9" s="184"/>
      <c r="AA9" s="184"/>
      <c r="AB9" s="184"/>
      <c r="AC9" s="184"/>
    </row>
    <row r="10" spans="1:29" ht="15" thickBot="1" x14ac:dyDescent="0.4">
      <c r="A10" s="19" t="s">
        <v>15</v>
      </c>
      <c r="B10" s="20">
        <f>(B8/$E$8)*$E$10</f>
        <v>6256386.9536924437</v>
      </c>
      <c r="C10" s="20">
        <f t="shared" ref="C10" si="3">(C8/$E$8)*$E$10</f>
        <v>1085006.7328645985</v>
      </c>
      <c r="D10" s="21">
        <f>(D8/$E$8)*$E$10</f>
        <v>3096101.6634117193</v>
      </c>
      <c r="E10" s="50">
        <v>10437495.349968761</v>
      </c>
      <c r="F10" s="22">
        <f>(E10-K10)/K10</f>
        <v>0.30663167830357979</v>
      </c>
      <c r="G10" s="23" t="s">
        <v>16</v>
      </c>
      <c r="H10" s="24">
        <v>4788179.33</v>
      </c>
      <c r="I10" s="24">
        <v>830384.33</v>
      </c>
      <c r="J10" s="24">
        <v>2369529.33</v>
      </c>
      <c r="K10" s="25">
        <f t="shared" si="1"/>
        <v>7988092.9900000002</v>
      </c>
      <c r="M10" s="18"/>
      <c r="N10" s="18"/>
      <c r="T10" s="184"/>
      <c r="U10" s="184"/>
      <c r="V10" s="184"/>
      <c r="W10" s="184"/>
      <c r="X10" s="184"/>
      <c r="Y10" s="184"/>
      <c r="Z10" s="184"/>
      <c r="AA10" s="184"/>
      <c r="AB10" s="184"/>
      <c r="AC10" s="184"/>
    </row>
    <row r="11" spans="1:29" x14ac:dyDescent="0.35">
      <c r="A11" s="26" t="s">
        <v>17</v>
      </c>
      <c r="B11" s="11">
        <f t="shared" ref="B11:D16" si="4">H11</f>
        <v>2785600</v>
      </c>
      <c r="C11" s="11">
        <f t="shared" si="4"/>
        <v>483089</v>
      </c>
      <c r="D11" s="11">
        <f t="shared" si="4"/>
        <v>1378511</v>
      </c>
      <c r="E11" s="14">
        <f t="shared" si="2"/>
        <v>4647200</v>
      </c>
      <c r="G11" s="26" t="s">
        <v>17</v>
      </c>
      <c r="H11" s="27">
        <v>2785600</v>
      </c>
      <c r="I11" s="27">
        <v>483089</v>
      </c>
      <c r="J11" s="27">
        <v>1378511</v>
      </c>
      <c r="K11" s="16">
        <f t="shared" si="1"/>
        <v>4647200</v>
      </c>
      <c r="T11" s="184"/>
      <c r="U11" s="184"/>
      <c r="V11" s="184"/>
      <c r="W11" s="184"/>
      <c r="X11" s="184"/>
      <c r="Y11" s="184"/>
      <c r="Z11" s="184"/>
      <c r="AA11" s="184"/>
      <c r="AB11" s="184"/>
      <c r="AC11" s="184"/>
    </row>
    <row r="12" spans="1:29" x14ac:dyDescent="0.35">
      <c r="A12" s="15" t="s">
        <v>18</v>
      </c>
      <c r="B12" s="11">
        <f t="shared" si="4"/>
        <v>43489861</v>
      </c>
      <c r="C12" s="11"/>
      <c r="D12" s="11"/>
      <c r="E12" s="12">
        <f t="shared" si="2"/>
        <v>43489861</v>
      </c>
      <c r="G12" s="15" t="s">
        <v>18</v>
      </c>
      <c r="H12" s="17">
        <v>43489861</v>
      </c>
      <c r="I12" s="17" t="s">
        <v>19</v>
      </c>
      <c r="J12" s="17" t="s">
        <v>19</v>
      </c>
      <c r="K12" s="12">
        <f t="shared" si="1"/>
        <v>43489861</v>
      </c>
      <c r="T12" s="184"/>
      <c r="U12" s="184"/>
      <c r="V12" s="184"/>
      <c r="W12" s="184"/>
      <c r="X12" s="184"/>
      <c r="Y12" s="184"/>
      <c r="Z12" s="184"/>
      <c r="AA12" s="184"/>
      <c r="AB12" s="184"/>
      <c r="AC12" s="184"/>
    </row>
    <row r="13" spans="1:29" x14ac:dyDescent="0.35">
      <c r="A13" s="15" t="s">
        <v>20</v>
      </c>
      <c r="B13" s="11">
        <f t="shared" si="4"/>
        <v>37647615</v>
      </c>
      <c r="C13" s="11"/>
      <c r="D13" s="11"/>
      <c r="E13" s="12">
        <f t="shared" si="2"/>
        <v>37647615</v>
      </c>
      <c r="G13" s="15" t="s">
        <v>20</v>
      </c>
      <c r="H13" s="17">
        <v>37647615</v>
      </c>
      <c r="I13" s="17" t="s">
        <v>19</v>
      </c>
      <c r="J13" s="17" t="s">
        <v>19</v>
      </c>
      <c r="K13" s="12">
        <f t="shared" si="1"/>
        <v>37647615</v>
      </c>
      <c r="T13" s="184"/>
      <c r="U13" s="184"/>
      <c r="V13" s="184"/>
      <c r="W13" s="184"/>
      <c r="X13" s="184"/>
      <c r="Y13" s="184"/>
      <c r="Z13" s="184"/>
      <c r="AA13" s="184"/>
      <c r="AB13" s="184"/>
      <c r="AC13" s="184"/>
    </row>
    <row r="14" spans="1:29" x14ac:dyDescent="0.35">
      <c r="A14" s="15" t="s">
        <v>21</v>
      </c>
      <c r="B14" s="11">
        <f t="shared" si="4"/>
        <v>8314329</v>
      </c>
      <c r="C14" s="11"/>
      <c r="D14" s="11"/>
      <c r="E14" s="12">
        <f t="shared" si="2"/>
        <v>8314329</v>
      </c>
      <c r="G14" s="15" t="s">
        <v>21</v>
      </c>
      <c r="H14" s="17">
        <v>8314329</v>
      </c>
      <c r="I14" s="17" t="s">
        <v>19</v>
      </c>
      <c r="J14" s="17" t="s">
        <v>19</v>
      </c>
      <c r="K14" s="12">
        <f t="shared" si="1"/>
        <v>8314329</v>
      </c>
      <c r="T14" s="184"/>
      <c r="U14" s="184"/>
      <c r="V14" s="184"/>
      <c r="W14" s="184"/>
      <c r="X14" s="184"/>
      <c r="Y14" s="184"/>
      <c r="Z14" s="184"/>
      <c r="AA14" s="184"/>
      <c r="AB14" s="184"/>
      <c r="AC14" s="184"/>
    </row>
    <row r="15" spans="1:29" x14ac:dyDescent="0.35">
      <c r="A15" s="15" t="s">
        <v>22</v>
      </c>
      <c r="B15" s="11">
        <f t="shared" si="4"/>
        <v>75681985</v>
      </c>
      <c r="C15" s="11"/>
      <c r="D15" s="11"/>
      <c r="E15" s="12">
        <f t="shared" si="2"/>
        <v>75681985</v>
      </c>
      <c r="G15" s="15" t="s">
        <v>22</v>
      </c>
      <c r="H15" s="17">
        <v>75681985</v>
      </c>
      <c r="I15" s="17" t="s">
        <v>19</v>
      </c>
      <c r="J15" s="17" t="s">
        <v>19</v>
      </c>
      <c r="K15" s="12">
        <f t="shared" si="1"/>
        <v>75681985</v>
      </c>
      <c r="T15" s="184"/>
      <c r="U15" s="184"/>
      <c r="V15" s="184"/>
      <c r="W15" s="184"/>
      <c r="X15" s="184"/>
      <c r="Y15" s="184"/>
      <c r="Z15" s="184"/>
      <c r="AA15" s="184"/>
      <c r="AB15" s="184"/>
      <c r="AC15" s="184"/>
    </row>
    <row r="16" spans="1:29" x14ac:dyDescent="0.35">
      <c r="A16" s="15" t="s">
        <v>23</v>
      </c>
      <c r="B16" s="11">
        <f t="shared" si="4"/>
        <v>18535124</v>
      </c>
      <c r="C16" s="11"/>
      <c r="D16" s="11"/>
      <c r="E16" s="12">
        <f t="shared" si="2"/>
        <v>18535124</v>
      </c>
      <c r="G16" s="15" t="s">
        <v>24</v>
      </c>
      <c r="H16" s="17">
        <v>18535124</v>
      </c>
      <c r="I16" s="17"/>
      <c r="J16" s="17"/>
      <c r="K16" s="12">
        <f t="shared" si="1"/>
        <v>18535124</v>
      </c>
      <c r="T16" s="184"/>
      <c r="U16" s="184"/>
      <c r="V16" s="184"/>
      <c r="W16" s="184"/>
      <c r="X16" s="184"/>
      <c r="Y16" s="184"/>
      <c r="Z16" s="184"/>
      <c r="AA16" s="184"/>
      <c r="AB16" s="184"/>
      <c r="AC16" s="184"/>
    </row>
    <row r="17" spans="1:29" x14ac:dyDescent="0.35">
      <c r="A17" s="28" t="s">
        <v>25</v>
      </c>
      <c r="B17" s="12">
        <f>SUM(B8:B16)</f>
        <v>1498782180.9536924</v>
      </c>
      <c r="C17" s="12">
        <f t="shared" ref="C17:D17" si="5">SUM(C8:C16)</f>
        <v>228072009.73286459</v>
      </c>
      <c r="D17" s="12">
        <f t="shared" si="5"/>
        <v>650810827.66341174</v>
      </c>
      <c r="E17" s="12">
        <f>SUM(E8:E16)</f>
        <v>2377665018.3499689</v>
      </c>
      <c r="F17" s="29">
        <f>(E17-K17)/K17</f>
        <v>1.0312336882090673E-3</v>
      </c>
      <c r="G17" s="30" t="s">
        <v>25</v>
      </c>
      <c r="H17" s="31">
        <f>SUM(H8:H16)</f>
        <v>1497313973.3299999</v>
      </c>
      <c r="I17" s="31">
        <f>SUM(I8:I15)</f>
        <v>227817387.33000001</v>
      </c>
      <c r="J17" s="31">
        <f>SUM(J8:J15)</f>
        <v>650084255.33000004</v>
      </c>
      <c r="K17" s="31">
        <f>SUM(K8:K16)</f>
        <v>2375215615.9899998</v>
      </c>
      <c r="M17" s="32"/>
      <c r="T17" s="184"/>
      <c r="U17" s="184"/>
      <c r="V17" s="184"/>
      <c r="W17" s="184"/>
      <c r="X17" s="184"/>
      <c r="Y17" s="184"/>
      <c r="Z17" s="184"/>
      <c r="AA17" s="184"/>
      <c r="AB17" s="184"/>
      <c r="AC17" s="184"/>
    </row>
    <row r="18" spans="1:29" x14ac:dyDescent="0.35">
      <c r="T18" s="184"/>
      <c r="U18" s="184"/>
      <c r="V18" s="184"/>
      <c r="W18" s="184"/>
      <c r="X18" s="184"/>
      <c r="Y18" s="184"/>
      <c r="Z18" s="184"/>
      <c r="AA18" s="184"/>
      <c r="AB18" s="184"/>
      <c r="AC18" s="184"/>
    </row>
    <row r="19" spans="1:29" x14ac:dyDescent="0.35">
      <c r="A19" s="185" t="s">
        <v>4</v>
      </c>
      <c r="B19" s="187" t="s">
        <v>26</v>
      </c>
      <c r="C19" s="187"/>
      <c r="D19" s="187"/>
      <c r="E19" s="187"/>
      <c r="G19" s="185" t="s">
        <v>4</v>
      </c>
      <c r="H19" s="187" t="s">
        <v>26</v>
      </c>
      <c r="I19" s="187"/>
      <c r="J19" s="187"/>
      <c r="K19" s="187"/>
      <c r="T19" s="184"/>
      <c r="U19" s="184"/>
      <c r="V19" s="184"/>
      <c r="W19" s="184"/>
      <c r="X19" s="184"/>
      <c r="Y19" s="184"/>
      <c r="Z19" s="184"/>
      <c r="AA19" s="184"/>
      <c r="AB19" s="184"/>
      <c r="AC19" s="184"/>
    </row>
    <row r="20" spans="1:29" ht="29" x14ac:dyDescent="0.35">
      <c r="A20" s="186"/>
      <c r="B20" s="9" t="s">
        <v>6</v>
      </c>
      <c r="C20" s="9" t="s">
        <v>7</v>
      </c>
      <c r="D20" s="9" t="s">
        <v>8</v>
      </c>
      <c r="E20" s="33"/>
      <c r="G20" s="186"/>
      <c r="H20" s="9" t="s">
        <v>6</v>
      </c>
      <c r="I20" s="9" t="s">
        <v>7</v>
      </c>
      <c r="J20" s="9" t="s">
        <v>8</v>
      </c>
      <c r="K20" s="33"/>
      <c r="T20" s="184"/>
      <c r="U20" s="184"/>
      <c r="V20" s="184"/>
      <c r="W20" s="184"/>
      <c r="X20" s="184"/>
      <c r="Y20" s="184"/>
      <c r="Z20" s="184"/>
      <c r="AA20" s="184"/>
      <c r="AB20" s="184"/>
      <c r="AC20" s="184"/>
    </row>
    <row r="21" spans="1:29" x14ac:dyDescent="0.35">
      <c r="A21" s="15" t="s">
        <v>27</v>
      </c>
      <c r="B21" s="34">
        <v>230449.26699999999</v>
      </c>
      <c r="C21" s="34">
        <v>223707.783</v>
      </c>
      <c r="D21" s="34">
        <v>190298.856</v>
      </c>
      <c r="E21" s="35"/>
      <c r="G21" s="15" t="s">
        <v>27</v>
      </c>
      <c r="H21" s="34">
        <v>230449.26699999999</v>
      </c>
      <c r="I21" s="34">
        <v>223707.783</v>
      </c>
      <c r="J21" s="34">
        <v>190298.856</v>
      </c>
      <c r="K21" s="35"/>
      <c r="T21" s="184"/>
      <c r="U21" s="184"/>
      <c r="V21" s="184"/>
      <c r="W21" s="184"/>
      <c r="X21" s="184"/>
      <c r="Y21" s="184"/>
      <c r="Z21" s="184"/>
      <c r="AA21" s="184"/>
      <c r="AB21" s="184"/>
      <c r="AC21" s="184"/>
    </row>
    <row r="22" spans="1:29" x14ac:dyDescent="0.35">
      <c r="A22" s="15" t="s">
        <v>28</v>
      </c>
      <c r="B22" s="34">
        <v>3498.2359999999999</v>
      </c>
      <c r="C22" s="34">
        <v>2734.6239999999998</v>
      </c>
      <c r="D22" s="34">
        <v>635.25199999999995</v>
      </c>
      <c r="E22" s="35"/>
      <c r="G22" s="15" t="s">
        <v>28</v>
      </c>
      <c r="H22" s="34">
        <v>3498.2359999999999</v>
      </c>
      <c r="I22" s="34">
        <v>2734.6239999999998</v>
      </c>
      <c r="J22" s="34">
        <v>635.25199999999995</v>
      </c>
      <c r="K22" s="35"/>
      <c r="T22" s="184"/>
      <c r="U22" s="184"/>
      <c r="V22" s="184"/>
      <c r="W22" s="184"/>
      <c r="X22" s="184"/>
      <c r="Y22" s="184"/>
      <c r="Z22" s="184"/>
      <c r="AA22" s="184"/>
      <c r="AB22" s="184"/>
      <c r="AC22" s="184"/>
    </row>
    <row r="23" spans="1:29" x14ac:dyDescent="0.35">
      <c r="A23" s="15" t="s">
        <v>15</v>
      </c>
      <c r="B23" s="36">
        <v>70.89</v>
      </c>
      <c r="C23" s="36">
        <v>83.394999999999996</v>
      </c>
      <c r="D23" s="36">
        <v>83.394999999999996</v>
      </c>
      <c r="E23" s="35">
        <f>SUM(B23:D23)</f>
        <v>237.68</v>
      </c>
      <c r="F23" s="22">
        <f>(E23-K23)/K23</f>
        <v>-0.56966196520070245</v>
      </c>
      <c r="G23" s="15" t="s">
        <v>15</v>
      </c>
      <c r="H23" s="36">
        <v>230.41</v>
      </c>
      <c r="I23" s="36">
        <v>248.86</v>
      </c>
      <c r="J23" s="36">
        <v>73.040000000000006</v>
      </c>
      <c r="K23" s="35">
        <f>SUM(H23:J23)</f>
        <v>552.30999999999995</v>
      </c>
      <c r="T23" s="184"/>
      <c r="U23" s="184"/>
      <c r="V23" s="184"/>
      <c r="W23" s="184"/>
      <c r="X23" s="184"/>
      <c r="Y23" s="184"/>
      <c r="Z23" s="184"/>
      <c r="AA23" s="184"/>
      <c r="AB23" s="184"/>
      <c r="AC23" s="184"/>
    </row>
    <row r="24" spans="1:29" x14ac:dyDescent="0.35">
      <c r="A24" s="15" t="s">
        <v>29</v>
      </c>
      <c r="B24" s="34">
        <v>523</v>
      </c>
      <c r="C24" s="34">
        <v>549</v>
      </c>
      <c r="D24" s="34">
        <v>549</v>
      </c>
      <c r="E24" s="35"/>
      <c r="G24" s="15" t="s">
        <v>29</v>
      </c>
      <c r="H24" s="34">
        <v>522.89400000000001</v>
      </c>
      <c r="I24" s="34">
        <v>549.25800000000004</v>
      </c>
      <c r="J24" s="34">
        <v>549.25800000000004</v>
      </c>
      <c r="K24" s="35"/>
      <c r="T24" s="184"/>
      <c r="U24" s="184"/>
      <c r="V24" s="184"/>
      <c r="W24" s="184"/>
      <c r="X24" s="184"/>
      <c r="Y24" s="184"/>
      <c r="Z24" s="184"/>
      <c r="AA24" s="184"/>
      <c r="AB24" s="184"/>
      <c r="AC24" s="184"/>
    </row>
    <row r="25" spans="1:29" x14ac:dyDescent="0.35">
      <c r="A25" s="15" t="s">
        <v>30</v>
      </c>
      <c r="B25" s="34">
        <v>193.876</v>
      </c>
      <c r="C25" s="34"/>
      <c r="D25" s="34"/>
      <c r="E25" s="35"/>
      <c r="G25" s="15" t="s">
        <v>30</v>
      </c>
      <c r="H25" s="34">
        <v>193.876</v>
      </c>
      <c r="I25" s="34"/>
      <c r="J25" s="34"/>
      <c r="K25" s="35"/>
    </row>
    <row r="26" spans="1:29" x14ac:dyDescent="0.35">
      <c r="A26" s="15" t="s">
        <v>31</v>
      </c>
      <c r="B26" s="34"/>
      <c r="C26" s="34"/>
      <c r="D26" s="34"/>
      <c r="E26" s="35"/>
      <c r="G26" s="15" t="s">
        <v>31</v>
      </c>
      <c r="H26" s="34"/>
      <c r="I26" s="34"/>
      <c r="J26" s="34"/>
      <c r="K26" s="35"/>
    </row>
    <row r="27" spans="1:29" x14ac:dyDescent="0.35">
      <c r="A27" s="15" t="s">
        <v>32</v>
      </c>
      <c r="B27" s="34"/>
      <c r="C27" s="34"/>
      <c r="D27" s="34"/>
      <c r="E27" s="35"/>
      <c r="G27" s="15" t="s">
        <v>32</v>
      </c>
      <c r="H27" s="34"/>
      <c r="I27" s="34"/>
      <c r="J27" s="34"/>
      <c r="K27" s="35"/>
    </row>
    <row r="28" spans="1:29" x14ac:dyDescent="0.35">
      <c r="A28" s="15" t="s">
        <v>33</v>
      </c>
      <c r="B28" s="34"/>
      <c r="C28" s="34"/>
      <c r="D28" s="34"/>
      <c r="E28" s="35"/>
      <c r="G28" s="15" t="s">
        <v>33</v>
      </c>
      <c r="H28" s="34"/>
      <c r="I28" s="34"/>
      <c r="J28" s="34"/>
      <c r="K28" s="35"/>
    </row>
    <row r="29" spans="1:29" x14ac:dyDescent="0.35">
      <c r="A29" s="15" t="s">
        <v>23</v>
      </c>
      <c r="B29" s="34"/>
      <c r="C29" s="34"/>
      <c r="D29" s="34"/>
      <c r="E29" s="35"/>
      <c r="G29" s="15" t="s">
        <v>23</v>
      </c>
      <c r="H29" s="34"/>
      <c r="I29" s="34"/>
      <c r="J29" s="34"/>
      <c r="K29" s="35"/>
    </row>
    <row r="30" spans="1:29" x14ac:dyDescent="0.35">
      <c r="A30" s="28" t="s">
        <v>25</v>
      </c>
      <c r="B30" s="37">
        <f>SUM(B21:B28)</f>
        <v>234735.269</v>
      </c>
      <c r="C30" s="37">
        <f t="shared" ref="C30:D30" si="6">SUM(C21:C28)</f>
        <v>227074.802</v>
      </c>
      <c r="D30" s="37">
        <f t="shared" si="6"/>
        <v>191566.503</v>
      </c>
      <c r="E30" s="38">
        <f>SUM(B30:D30)</f>
        <v>653376.57400000002</v>
      </c>
      <c r="F30" s="39">
        <f>(E30-K30)/K30</f>
        <v>-4.8193979126071095E-4</v>
      </c>
      <c r="G30" s="28" t="s">
        <v>25</v>
      </c>
      <c r="H30" s="37">
        <f>SUM(H21:H28)</f>
        <v>234894.68299999999</v>
      </c>
      <c r="I30" s="37">
        <f t="shared" ref="I30:J30" si="7">SUM(I21:I28)</f>
        <v>227240.52499999999</v>
      </c>
      <c r="J30" s="37">
        <f t="shared" si="7"/>
        <v>191556.40600000002</v>
      </c>
      <c r="K30" s="38">
        <f>SUM(H30:J30)</f>
        <v>653691.61400000006</v>
      </c>
    </row>
    <row r="31" spans="1:29" x14ac:dyDescent="0.35">
      <c r="G31" s="6" t="s">
        <v>34</v>
      </c>
    </row>
    <row r="32" spans="1:29" x14ac:dyDescent="0.35">
      <c r="A32" s="185" t="s">
        <v>4</v>
      </c>
      <c r="B32" s="187" t="s">
        <v>35</v>
      </c>
      <c r="C32" s="187"/>
      <c r="D32" s="187"/>
      <c r="E32" s="187"/>
      <c r="G32" s="188" t="s">
        <v>4</v>
      </c>
      <c r="H32" s="187" t="s">
        <v>35</v>
      </c>
      <c r="I32" s="187"/>
      <c r="J32" s="187"/>
      <c r="K32" s="187"/>
    </row>
    <row r="33" spans="1:15" ht="29" x14ac:dyDescent="0.35">
      <c r="A33" s="186"/>
      <c r="B33" s="9" t="s">
        <v>6</v>
      </c>
      <c r="C33" s="9" t="s">
        <v>7</v>
      </c>
      <c r="D33" s="9" t="s">
        <v>8</v>
      </c>
      <c r="E33" s="33"/>
      <c r="G33" s="188"/>
      <c r="H33" s="9" t="s">
        <v>6</v>
      </c>
      <c r="I33" s="9" t="s">
        <v>7</v>
      </c>
      <c r="J33" s="9" t="s">
        <v>8</v>
      </c>
      <c r="K33" s="33"/>
    </row>
    <row r="34" spans="1:15" ht="29" x14ac:dyDescent="0.35">
      <c r="A34" s="40" t="s">
        <v>36</v>
      </c>
      <c r="B34" s="41">
        <f>ROUND(B17/B30/1000,2)</f>
        <v>6.38</v>
      </c>
      <c r="C34" s="41">
        <f t="shared" ref="C34:D34" si="8">ROUND(C17/C30/1000,2)</f>
        <v>1</v>
      </c>
      <c r="D34" s="41">
        <f t="shared" si="8"/>
        <v>3.4</v>
      </c>
      <c r="E34" s="42"/>
      <c r="G34" s="43" t="s">
        <v>36</v>
      </c>
      <c r="H34" s="41">
        <f>H17/H30/1000</f>
        <v>6.3744055600015432</v>
      </c>
      <c r="I34" s="41">
        <f t="shared" ref="I34:J34" si="9">I17/I30/1000</f>
        <v>1.0025385539397078</v>
      </c>
      <c r="J34" s="41">
        <f t="shared" si="9"/>
        <v>3.3936962428184207</v>
      </c>
      <c r="K34" s="42"/>
    </row>
    <row r="35" spans="1:15" x14ac:dyDescent="0.35">
      <c r="A35" s="42"/>
      <c r="B35" s="42"/>
      <c r="C35" s="42"/>
      <c r="D35" s="42"/>
      <c r="E35" s="42"/>
      <c r="G35" s="42"/>
      <c r="H35" s="42"/>
      <c r="I35" s="42"/>
      <c r="J35" s="42"/>
      <c r="K35" s="42"/>
    </row>
    <row r="36" spans="1:15" x14ac:dyDescent="0.35">
      <c r="A36" s="15" t="s">
        <v>27</v>
      </c>
      <c r="B36" s="44">
        <f t="shared" ref="B36:B44" si="10">B8/$B$17</f>
        <v>0.85406906171347785</v>
      </c>
      <c r="C36" s="44">
        <f t="shared" ref="C36:C44" si="11">C8/$C$17</f>
        <v>0.97334847559775461</v>
      </c>
      <c r="D36" s="44">
        <f t="shared" ref="D36:D44" si="12">D8/$D$17</f>
        <v>0.97334847404784985</v>
      </c>
      <c r="E36" s="35"/>
      <c r="G36" s="15" t="s">
        <v>27</v>
      </c>
      <c r="H36" s="44">
        <f t="shared" ref="H36:H44" si="13">H8/$H$17</f>
        <v>0.85490652849058857</v>
      </c>
      <c r="I36" s="44">
        <f>I8/$I$17</f>
        <v>0.97443634834788084</v>
      </c>
      <c r="J36" s="44">
        <f>J8/$J$17</f>
        <v>0.97443634545253821</v>
      </c>
      <c r="K36" s="35"/>
    </row>
    <row r="37" spans="1:15" x14ac:dyDescent="0.35">
      <c r="A37" s="15" t="s">
        <v>28</v>
      </c>
      <c r="B37" s="44">
        <f t="shared" si="10"/>
        <v>1.7352614229407867E-2</v>
      </c>
      <c r="C37" s="44">
        <f t="shared" si="11"/>
        <v>1.9776083024317152E-2</v>
      </c>
      <c r="D37" s="44">
        <f t="shared" si="12"/>
        <v>1.9776083084248251E-2</v>
      </c>
      <c r="E37" s="35"/>
      <c r="G37" s="15" t="s">
        <v>28</v>
      </c>
      <c r="H37" s="44">
        <f t="shared" si="13"/>
        <v>1.7369629525435561E-2</v>
      </c>
      <c r="I37" s="44">
        <f>I9/$I$17</f>
        <v>1.9798185963157404E-2</v>
      </c>
      <c r="J37" s="44">
        <f>J9/$J$17</f>
        <v>1.9798185995854641E-2</v>
      </c>
      <c r="K37" s="35"/>
    </row>
    <row r="38" spans="1:15" x14ac:dyDescent="0.35">
      <c r="A38" s="19" t="s">
        <v>15</v>
      </c>
      <c r="B38" s="45">
        <f t="shared" si="10"/>
        <v>4.1743136749273551E-3</v>
      </c>
      <c r="C38" s="45">
        <f t="shared" si="11"/>
        <v>4.7572989519206743E-3</v>
      </c>
      <c r="D38" s="45">
        <f t="shared" si="12"/>
        <v>4.7572989443454223E-3</v>
      </c>
      <c r="E38" s="35"/>
      <c r="G38" s="19" t="s">
        <v>15</v>
      </c>
      <c r="H38" s="45">
        <f t="shared" si="13"/>
        <v>3.1978458862246331E-3</v>
      </c>
      <c r="I38" s="45">
        <f>I10/$I$17</f>
        <v>3.6449558996880446E-3</v>
      </c>
      <c r="J38" s="45">
        <f>J10/$J$17</f>
        <v>3.6449572660349448E-3</v>
      </c>
      <c r="K38" s="35"/>
      <c r="M38" s="46"/>
      <c r="N38" s="46"/>
      <c r="O38" s="46"/>
    </row>
    <row r="39" spans="1:15" x14ac:dyDescent="0.35">
      <c r="A39" s="15" t="s">
        <v>29</v>
      </c>
      <c r="B39" s="44">
        <f t="shared" si="10"/>
        <v>1.8585756058478694E-3</v>
      </c>
      <c r="C39" s="44">
        <f t="shared" si="11"/>
        <v>2.1181424260076054E-3</v>
      </c>
      <c r="D39" s="44">
        <f t="shared" si="12"/>
        <v>2.1181439235564508E-3</v>
      </c>
      <c r="E39" s="35"/>
      <c r="G39" s="15" t="s">
        <v>29</v>
      </c>
      <c r="H39" s="44">
        <f t="shared" si="13"/>
        <v>1.8603980525239304E-3</v>
      </c>
      <c r="I39" s="44">
        <f>I11/$I$17</f>
        <v>2.1205097892735979E-3</v>
      </c>
      <c r="J39" s="44">
        <f>J11/$J$17</f>
        <v>2.1205112855721005E-3</v>
      </c>
      <c r="K39" s="35"/>
      <c r="M39" s="47"/>
      <c r="N39" s="47"/>
      <c r="O39" s="47"/>
    </row>
    <row r="40" spans="1:15" x14ac:dyDescent="0.35">
      <c r="A40" s="15" t="s">
        <v>30</v>
      </c>
      <c r="B40" s="44">
        <f t="shared" si="10"/>
        <v>2.9016798806833225E-2</v>
      </c>
      <c r="C40" s="44">
        <f t="shared" si="11"/>
        <v>0</v>
      </c>
      <c r="D40" s="44">
        <f t="shared" si="12"/>
        <v>0</v>
      </c>
      <c r="E40" s="35"/>
      <c r="G40" s="15" t="s">
        <v>30</v>
      </c>
      <c r="H40" s="44">
        <f t="shared" si="13"/>
        <v>2.9045251546861155E-2</v>
      </c>
      <c r="I40" s="44">
        <v>0</v>
      </c>
      <c r="J40" s="44">
        <v>0</v>
      </c>
      <c r="K40" s="35"/>
    </row>
    <row r="41" spans="1:15" x14ac:dyDescent="0.35">
      <c r="A41" s="15" t="s">
        <v>37</v>
      </c>
      <c r="B41" s="44">
        <f t="shared" si="10"/>
        <v>2.5118803438164968E-2</v>
      </c>
      <c r="C41" s="44">
        <f t="shared" si="11"/>
        <v>0</v>
      </c>
      <c r="D41" s="44">
        <f t="shared" si="12"/>
        <v>0</v>
      </c>
      <c r="E41" s="35"/>
      <c r="G41" s="15" t="s">
        <v>31</v>
      </c>
      <c r="H41" s="44">
        <f t="shared" si="13"/>
        <v>2.5143433956121019E-2</v>
      </c>
      <c r="I41" s="44">
        <v>0</v>
      </c>
      <c r="J41" s="44">
        <v>0</v>
      </c>
      <c r="K41" s="35"/>
    </row>
    <row r="42" spans="1:15" x14ac:dyDescent="0.35">
      <c r="A42" s="15" t="s">
        <v>31</v>
      </c>
      <c r="B42" s="44">
        <f t="shared" si="10"/>
        <v>5.5473898113130062E-3</v>
      </c>
      <c r="C42" s="44">
        <f t="shared" si="11"/>
        <v>0</v>
      </c>
      <c r="D42" s="44">
        <f t="shared" si="12"/>
        <v>0</v>
      </c>
      <c r="E42" s="35"/>
      <c r="G42" s="15" t="s">
        <v>32</v>
      </c>
      <c r="H42" s="44">
        <f t="shared" si="13"/>
        <v>5.5528293651792206E-3</v>
      </c>
      <c r="I42" s="44">
        <v>0</v>
      </c>
      <c r="J42" s="44">
        <v>0</v>
      </c>
      <c r="K42" s="35"/>
    </row>
    <row r="43" spans="1:15" x14ac:dyDescent="0.35">
      <c r="A43" s="15" t="s">
        <v>32</v>
      </c>
      <c r="B43" s="44">
        <f t="shared" si="10"/>
        <v>5.0495653045356248E-2</v>
      </c>
      <c r="C43" s="44">
        <f t="shared" si="11"/>
        <v>0</v>
      </c>
      <c r="D43" s="44">
        <f t="shared" si="12"/>
        <v>0</v>
      </c>
      <c r="E43" s="35"/>
      <c r="G43" s="15" t="s">
        <v>33</v>
      </c>
      <c r="H43" s="44">
        <f t="shared" si="13"/>
        <v>5.0545167111266984E-2</v>
      </c>
      <c r="I43" s="44">
        <v>0</v>
      </c>
      <c r="J43" s="44">
        <v>0</v>
      </c>
      <c r="K43" s="35"/>
    </row>
    <row r="44" spans="1:15" x14ac:dyDescent="0.35">
      <c r="A44" s="15" t="s">
        <v>23</v>
      </c>
      <c r="B44" s="44">
        <f t="shared" si="10"/>
        <v>1.2366789674671664E-2</v>
      </c>
      <c r="C44" s="44">
        <f t="shared" si="11"/>
        <v>0</v>
      </c>
      <c r="D44" s="44">
        <f t="shared" si="12"/>
        <v>0</v>
      </c>
      <c r="E44" s="35"/>
      <c r="G44" s="15" t="s">
        <v>23</v>
      </c>
      <c r="H44" s="44">
        <f t="shared" si="13"/>
        <v>1.2378916065798952E-2</v>
      </c>
      <c r="I44" s="44">
        <v>0</v>
      </c>
      <c r="J44" s="44">
        <v>0</v>
      </c>
      <c r="K44" s="35"/>
    </row>
    <row r="45" spans="1:15" x14ac:dyDescent="0.35">
      <c r="A45" s="28" t="s">
        <v>25</v>
      </c>
      <c r="B45" s="48">
        <f>SUM(B36:B44)</f>
        <v>1.0000000000000002</v>
      </c>
      <c r="C45" s="48">
        <f t="shared" ref="C45:D45" si="14">SUM(C36:C44)</f>
        <v>1</v>
      </c>
      <c r="D45" s="48">
        <f t="shared" si="14"/>
        <v>1</v>
      </c>
      <c r="E45" s="49"/>
      <c r="G45" s="28" t="s">
        <v>25</v>
      </c>
      <c r="H45" s="48">
        <f>SUM(H36:H44)</f>
        <v>1</v>
      </c>
      <c r="I45" s="48">
        <f t="shared" ref="I45:J45" si="15">SUM(I36:I44)</f>
        <v>0.99999999999999989</v>
      </c>
      <c r="J45" s="48">
        <f t="shared" si="15"/>
        <v>0.99999999999999989</v>
      </c>
      <c r="K45" s="49"/>
    </row>
  </sheetData>
  <mergeCells count="13">
    <mergeCell ref="A32:A33"/>
    <mergeCell ref="B32:E32"/>
    <mergeCell ref="G32:G33"/>
    <mergeCell ref="H32:K32"/>
    <mergeCell ref="A6:A7"/>
    <mergeCell ref="B6:E6"/>
    <mergeCell ref="G6:G7"/>
    <mergeCell ref="H6:K6"/>
    <mergeCell ref="T7:AC24"/>
    <mergeCell ref="A19:A20"/>
    <mergeCell ref="B19:E19"/>
    <mergeCell ref="G19:G20"/>
    <mergeCell ref="H19:K19"/>
  </mergeCells>
  <pageMargins left="0.70866141732283472" right="0.70866141732283472" top="0.74803149606299213" bottom="0.74803149606299213" header="0.31496062992125984" footer="0.31496062992125984"/>
  <pageSetup scale="29" fitToHeight="0" orientation="landscape" verticalDpi="0" r:id="rId1"/>
  <headerFooter>
    <oddHeader>Page &amp;P of &amp;N</oddHeader>
    <oddFooter>&amp;F</oddFooter>
  </headerFooter>
  <extLst>
    <ext xmlns:x14="http://schemas.microsoft.com/office/spreadsheetml/2009/9/main" uri="{78C0D931-6437-407d-A8EE-F0AAD7539E65}">
      <x14:conditionalFormattings>
        <x14:conditionalFormatting xmlns:xm="http://schemas.microsoft.com/office/excel/2006/main">
          <x14:cfRule type="iconSet" priority="3" id="{80F42EF3-5F2B-48F3-BA7E-AAEDEE08DA6E}">
            <x14:iconSet iconSet="4Arrows" custom="1">
              <x14:cfvo type="percent">
                <xm:f>0</xm:f>
              </x14:cfvo>
              <x14:cfvo type="num">
                <xm:f>-0.5</xm:f>
              </x14:cfvo>
              <x14:cfvo type="num">
                <xm:f>-0.25</xm:f>
              </x14:cfvo>
              <x14:cfvo type="num" gte="0">
                <xm:f>0</xm:f>
              </x14:cfvo>
              <x14:cfIcon iconSet="3Arrows" iconId="0"/>
              <x14:cfIcon iconSet="3Arrows" iconId="0"/>
              <x14:cfIcon iconSet="3Arrows" iconId="0"/>
              <x14:cfIcon iconSet="3Arrows" iconId="2"/>
            </x14:iconSet>
          </x14:cfRule>
          <xm:sqref>F10</xm:sqref>
        </x14:conditionalFormatting>
        <x14:conditionalFormatting xmlns:xm="http://schemas.microsoft.com/office/excel/2006/main">
          <x14:cfRule type="iconSet" priority="2" id="{1065D290-C41F-4E2A-B3D2-A81D763897CB}">
            <x14:iconSet iconSet="4Arrows" custom="1">
              <x14:cfvo type="percent">
                <xm:f>0</xm:f>
              </x14:cfvo>
              <x14:cfvo type="num">
                <xm:f>-0.5</xm:f>
              </x14:cfvo>
              <x14:cfvo type="num">
                <xm:f>-0.25</xm:f>
              </x14:cfvo>
              <x14:cfvo type="num" gte="0">
                <xm:f>0</xm:f>
              </x14:cfvo>
              <x14:cfIcon iconSet="3Arrows" iconId="0"/>
              <x14:cfIcon iconSet="3Arrows" iconId="0"/>
              <x14:cfIcon iconSet="3Arrows" iconId="0"/>
              <x14:cfIcon iconSet="3Arrows" iconId="2"/>
            </x14:iconSet>
          </x14:cfRule>
          <xm:sqref>F23</xm:sqref>
        </x14:conditionalFormatting>
        <x14:conditionalFormatting xmlns:xm="http://schemas.microsoft.com/office/excel/2006/main">
          <x14:cfRule type="iconSet" priority="1" id="{63D51219-3DE7-477F-9DE2-3AB4D18D170B}">
            <x14:iconSet iconSet="4Arrows" custom="1">
              <x14:cfvo type="percent">
                <xm:f>0</xm:f>
              </x14:cfvo>
              <x14:cfvo type="num">
                <xm:f>-0.5</xm:f>
              </x14:cfvo>
              <x14:cfvo type="num">
                <xm:f>-0.25</xm:f>
              </x14:cfvo>
              <x14:cfvo type="num" gte="0">
                <xm:f>0</xm:f>
              </x14:cfvo>
              <x14:cfIcon iconSet="3Arrows" iconId="0"/>
              <x14:cfIcon iconSet="3Arrows" iconId="0"/>
              <x14:cfIcon iconSet="3Arrows" iconId="0"/>
              <x14:cfIcon iconSet="3Arrows" iconId="2"/>
            </x14:iconSet>
          </x14:cfRule>
          <xm:sqref>F30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173BB-D5AD-4D6A-8ED8-90BECC7D1379}">
  <sheetPr>
    <pageSetUpPr fitToPage="1"/>
  </sheetPr>
  <dimension ref="A1:P94"/>
  <sheetViews>
    <sheetView tabSelected="1" workbookViewId="0">
      <selection activeCell="G22" sqref="G22"/>
    </sheetView>
  </sheetViews>
  <sheetFormatPr defaultColWidth="8.7265625" defaultRowHeight="14.5" x14ac:dyDescent="0.35"/>
  <cols>
    <col min="2" max="2" width="53" customWidth="1"/>
    <col min="3" max="3" width="23.7265625" customWidth="1"/>
    <col min="4" max="4" width="24.81640625" customWidth="1"/>
    <col min="5" max="5" width="9.1796875"/>
    <col min="6" max="6" width="17" customWidth="1"/>
    <col min="7" max="9" width="15.26953125" customWidth="1"/>
    <col min="10" max="11" width="9.1796875"/>
    <col min="12" max="12" width="20.453125" bestFit="1" customWidth="1"/>
    <col min="13" max="13" width="9" customWidth="1"/>
    <col min="14" max="14" width="9.453125" bestFit="1" customWidth="1"/>
    <col min="15" max="15" width="10.453125" bestFit="1" customWidth="1"/>
    <col min="16" max="16" width="11" bestFit="1" customWidth="1"/>
  </cols>
  <sheetData>
    <row r="1" spans="1:9" s="3" customFormat="1" ht="30" x14ac:dyDescent="0.6">
      <c r="A1" s="1" t="str">
        <f>"Transmission Revenue Requirement Rebasing Model - Five Nations Energy Inc."</f>
        <v>Transmission Revenue Requirement Rebasing Model - Five Nations Energy Inc.</v>
      </c>
      <c r="B1" s="2"/>
    </row>
    <row r="2" spans="1:9" s="3" customFormat="1" ht="21" x14ac:dyDescent="0.5">
      <c r="A2" s="4" t="s">
        <v>0</v>
      </c>
      <c r="B2" s="5"/>
    </row>
    <row r="4" spans="1:9" x14ac:dyDescent="0.35">
      <c r="A4" t="s">
        <v>38</v>
      </c>
    </row>
    <row r="5" spans="1:9" ht="29" x14ac:dyDescent="0.35">
      <c r="F5" s="15"/>
      <c r="G5" s="9" t="s">
        <v>6</v>
      </c>
      <c r="H5" s="9" t="s">
        <v>7</v>
      </c>
      <c r="I5" s="9" t="s">
        <v>8</v>
      </c>
    </row>
    <row r="6" spans="1:9" x14ac:dyDescent="0.35">
      <c r="A6" s="28" t="s">
        <v>39</v>
      </c>
      <c r="B6" s="28" t="s">
        <v>40</v>
      </c>
      <c r="C6" s="28" t="s">
        <v>41</v>
      </c>
      <c r="D6" s="28" t="s">
        <v>42</v>
      </c>
      <c r="F6" s="28" t="s">
        <v>43</v>
      </c>
      <c r="G6" s="51">
        <f>ROUND('Revenue Allocation'!H34,2)</f>
        <v>6.37</v>
      </c>
      <c r="H6" s="51">
        <f>ROUND('Revenue Allocation'!I34,2)</f>
        <v>1</v>
      </c>
      <c r="I6" s="51">
        <f>ROUND('Revenue Allocation'!J34,2)</f>
        <v>3.39</v>
      </c>
    </row>
    <row r="7" spans="1:9" x14ac:dyDescent="0.35">
      <c r="A7" s="52">
        <v>1</v>
      </c>
      <c r="B7" s="15" t="s">
        <v>44</v>
      </c>
      <c r="C7" s="17">
        <f>'Revenue Allocation'!K17</f>
        <v>2375215615.9899998</v>
      </c>
      <c r="D7" s="17">
        <f>'Revenue Allocation'!E17</f>
        <v>2377665018.3499689</v>
      </c>
      <c r="F7" s="15" t="s">
        <v>45</v>
      </c>
      <c r="G7" s="51">
        <f>ROUND('Revenue Allocation'!B34,2)</f>
        <v>6.38</v>
      </c>
      <c r="H7" s="51">
        <f>ROUND('Revenue Allocation'!C34,2)</f>
        <v>1</v>
      </c>
      <c r="I7" s="51">
        <f>ROUND('Revenue Allocation'!D34,2)</f>
        <v>3.4</v>
      </c>
    </row>
    <row r="8" spans="1:9" x14ac:dyDescent="0.35">
      <c r="A8" s="52">
        <v>2</v>
      </c>
      <c r="B8" s="192" t="s">
        <v>46</v>
      </c>
      <c r="C8" s="192"/>
      <c r="D8" s="54">
        <f>(D7-C7)/C7</f>
        <v>1.0312336882090673E-3</v>
      </c>
      <c r="F8" s="15" t="s">
        <v>47</v>
      </c>
      <c r="G8" s="51">
        <f>G7-G6</f>
        <v>9.9999999999997868E-3</v>
      </c>
      <c r="H8" s="51">
        <f t="shared" ref="H8:I8" si="0">H7-H6</f>
        <v>0</v>
      </c>
      <c r="I8" s="51">
        <f t="shared" si="0"/>
        <v>9.9999999999997868E-3</v>
      </c>
    </row>
    <row r="9" spans="1:9" x14ac:dyDescent="0.35">
      <c r="A9" s="52"/>
      <c r="B9" s="53" t="s">
        <v>48</v>
      </c>
      <c r="C9" s="55">
        <f>SUM('Revenue Allocation'!B23:D23)</f>
        <v>237.68</v>
      </c>
      <c r="D9" s="55">
        <f>C9</f>
        <v>237.68</v>
      </c>
      <c r="F9" s="15" t="s">
        <v>49</v>
      </c>
      <c r="G9" s="56">
        <f>G8/G6</f>
        <v>1.5698587127158221E-3</v>
      </c>
      <c r="H9" s="56">
        <f t="shared" ref="H9:I9" si="1">H8/H6</f>
        <v>0</v>
      </c>
      <c r="I9" s="56">
        <f t="shared" si="1"/>
        <v>2.9498525073745683E-3</v>
      </c>
    </row>
    <row r="10" spans="1:9" x14ac:dyDescent="0.35">
      <c r="A10" s="52">
        <v>3</v>
      </c>
      <c r="B10" s="192" t="s">
        <v>50</v>
      </c>
      <c r="C10" s="192"/>
      <c r="D10" s="54">
        <f>(D9-C9)/C9</f>
        <v>0</v>
      </c>
      <c r="F10" s="15" t="s">
        <v>51</v>
      </c>
      <c r="G10" s="57">
        <v>0.6</v>
      </c>
      <c r="H10" s="57">
        <v>0.1</v>
      </c>
      <c r="I10" s="57">
        <v>0.3</v>
      </c>
    </row>
    <row r="11" spans="1:9" x14ac:dyDescent="0.35">
      <c r="A11" s="52" t="s">
        <v>52</v>
      </c>
      <c r="B11" s="192" t="s">
        <v>53</v>
      </c>
      <c r="C11" s="192"/>
      <c r="D11" s="58">
        <f>J43</f>
        <v>1.262210824952537E-3</v>
      </c>
      <c r="F11" s="193" t="s">
        <v>54</v>
      </c>
      <c r="G11" s="194"/>
      <c r="H11" s="195"/>
      <c r="I11" s="59">
        <f>G9*G10+H9*H10+I9*I10</f>
        <v>1.8268709798418636E-3</v>
      </c>
    </row>
    <row r="12" spans="1:9" x14ac:dyDescent="0.35">
      <c r="A12" s="52">
        <v>5</v>
      </c>
      <c r="B12" s="190" t="s">
        <v>55</v>
      </c>
      <c r="C12" s="191"/>
      <c r="D12" s="15"/>
    </row>
    <row r="13" spans="1:9" x14ac:dyDescent="0.35">
      <c r="A13" s="52" t="s">
        <v>56</v>
      </c>
      <c r="B13" s="190" t="s">
        <v>57</v>
      </c>
      <c r="C13" s="191"/>
      <c r="D13" s="15"/>
    </row>
    <row r="14" spans="1:9" x14ac:dyDescent="0.35">
      <c r="A14" s="52">
        <v>7</v>
      </c>
      <c r="B14" s="192" t="s">
        <v>58</v>
      </c>
      <c r="C14" s="192"/>
      <c r="D14" s="60">
        <v>0.13</v>
      </c>
    </row>
    <row r="15" spans="1:9" x14ac:dyDescent="0.35">
      <c r="A15" s="52" t="s">
        <v>59</v>
      </c>
      <c r="B15" s="192" t="s">
        <v>60</v>
      </c>
      <c r="C15" s="192"/>
      <c r="D15" s="61">
        <f>D11*D14</f>
        <v>1.6408740724382982E-4</v>
      </c>
    </row>
    <row r="18" spans="2:16" x14ac:dyDescent="0.35">
      <c r="B18" s="62" t="s">
        <v>61</v>
      </c>
      <c r="C18" s="63" t="s">
        <v>62</v>
      </c>
      <c r="D18" s="64"/>
      <c r="E18" s="65"/>
      <c r="F18" s="66"/>
      <c r="G18" s="64"/>
      <c r="H18" s="65"/>
      <c r="I18" s="66"/>
      <c r="J18" s="64"/>
    </row>
    <row r="19" spans="2:16" x14ac:dyDescent="0.35">
      <c r="B19" s="67" t="s">
        <v>63</v>
      </c>
      <c r="C19" s="68">
        <v>750</v>
      </c>
      <c r="D19" s="64"/>
      <c r="E19" s="65"/>
      <c r="F19" s="66"/>
      <c r="G19" s="64"/>
      <c r="H19" s="65"/>
      <c r="I19" s="66"/>
      <c r="J19" s="64"/>
    </row>
    <row r="20" spans="2:16" x14ac:dyDescent="0.35">
      <c r="B20" s="67" t="s">
        <v>64</v>
      </c>
      <c r="C20" s="69">
        <v>0</v>
      </c>
      <c r="D20" s="64"/>
      <c r="E20" s="65"/>
      <c r="F20" s="66"/>
      <c r="G20" s="64"/>
      <c r="H20" s="65"/>
      <c r="I20" s="66"/>
      <c r="J20" s="64"/>
    </row>
    <row r="21" spans="2:16" x14ac:dyDescent="0.35">
      <c r="B21" s="67" t="s">
        <v>65</v>
      </c>
      <c r="C21" s="70">
        <v>1.0569999999999999</v>
      </c>
      <c r="D21" s="64"/>
      <c r="E21" s="65"/>
      <c r="F21" s="66"/>
      <c r="G21" s="64"/>
      <c r="H21" s="65"/>
      <c r="I21" s="66"/>
      <c r="J21" s="64"/>
    </row>
    <row r="22" spans="2:16" x14ac:dyDescent="0.35">
      <c r="B22" s="67" t="s">
        <v>66</v>
      </c>
      <c r="C22" s="71" t="s">
        <v>67</v>
      </c>
      <c r="D22" s="64"/>
      <c r="E22" s="65"/>
      <c r="F22" s="66"/>
      <c r="G22" s="64"/>
      <c r="H22" s="65"/>
      <c r="I22" s="66"/>
      <c r="J22" s="64"/>
    </row>
    <row r="23" spans="2:16" x14ac:dyDescent="0.35">
      <c r="C23" s="66"/>
      <c r="D23" s="64"/>
      <c r="E23" s="65"/>
      <c r="F23" s="66"/>
      <c r="G23" s="64"/>
      <c r="H23" s="65"/>
      <c r="I23" s="66"/>
      <c r="J23" s="64"/>
      <c r="N23" s="72"/>
    </row>
    <row r="24" spans="2:16" x14ac:dyDescent="0.35">
      <c r="B24" s="197"/>
      <c r="C24" s="199" t="s">
        <v>68</v>
      </c>
      <c r="D24" s="200"/>
      <c r="E24" s="200"/>
      <c r="F24" s="200" t="s">
        <v>69</v>
      </c>
      <c r="G24" s="200"/>
      <c r="H24" s="200"/>
      <c r="I24" s="200" t="s">
        <v>70</v>
      </c>
      <c r="J24" s="200"/>
    </row>
    <row r="25" spans="2:16" ht="26" x14ac:dyDescent="0.35">
      <c r="B25" s="198"/>
      <c r="C25" s="73" t="s">
        <v>71</v>
      </c>
      <c r="D25" s="74" t="s">
        <v>72</v>
      </c>
      <c r="E25" s="75" t="s">
        <v>73</v>
      </c>
      <c r="F25" s="75" t="s">
        <v>71</v>
      </c>
      <c r="G25" s="74" t="s">
        <v>72</v>
      </c>
      <c r="H25" s="75" t="s">
        <v>73</v>
      </c>
      <c r="I25" s="75" t="s">
        <v>74</v>
      </c>
      <c r="J25" s="74" t="s">
        <v>75</v>
      </c>
    </row>
    <row r="26" spans="2:16" x14ac:dyDescent="0.35">
      <c r="B26" s="76" t="s">
        <v>76</v>
      </c>
      <c r="C26" s="77">
        <v>41.61</v>
      </c>
      <c r="D26" s="78">
        <v>1</v>
      </c>
      <c r="E26" s="79">
        <v>41.61</v>
      </c>
      <c r="F26" s="77">
        <v>41.61</v>
      </c>
      <c r="G26" s="80">
        <v>1</v>
      </c>
      <c r="H26" s="79">
        <v>41.61</v>
      </c>
      <c r="I26" s="81">
        <v>0</v>
      </c>
      <c r="J26" s="82">
        <v>0</v>
      </c>
      <c r="L26" s="28"/>
      <c r="M26" s="28" t="s">
        <v>77</v>
      </c>
      <c r="N26" s="28" t="s">
        <v>69</v>
      </c>
      <c r="O26" s="28" t="s">
        <v>78</v>
      </c>
      <c r="P26" s="28" t="s">
        <v>79</v>
      </c>
    </row>
    <row r="27" spans="2:16" x14ac:dyDescent="0.35">
      <c r="B27" s="76" t="s">
        <v>80</v>
      </c>
      <c r="C27" s="83">
        <v>0</v>
      </c>
      <c r="D27" s="78">
        <v>750</v>
      </c>
      <c r="E27" s="79">
        <v>0</v>
      </c>
      <c r="F27" s="83">
        <v>0</v>
      </c>
      <c r="G27" s="80">
        <v>750</v>
      </c>
      <c r="H27" s="79">
        <v>0</v>
      </c>
      <c r="I27" s="81">
        <v>0</v>
      </c>
      <c r="J27" s="82" t="s">
        <v>81</v>
      </c>
      <c r="L27" s="15" t="s">
        <v>82</v>
      </c>
      <c r="M27" s="84">
        <f>E40</f>
        <v>43.939015000000005</v>
      </c>
      <c r="N27" s="84">
        <f>M27</f>
        <v>43.939015000000005</v>
      </c>
      <c r="O27" s="85"/>
      <c r="P27" s="15"/>
    </row>
    <row r="28" spans="2:16" x14ac:dyDescent="0.35">
      <c r="B28" s="76" t="s">
        <v>83</v>
      </c>
      <c r="C28" s="81">
        <v>0</v>
      </c>
      <c r="D28" s="78">
        <v>1</v>
      </c>
      <c r="E28" s="79">
        <v>0</v>
      </c>
      <c r="F28" s="81">
        <v>0</v>
      </c>
      <c r="G28" s="80">
        <v>1</v>
      </c>
      <c r="H28" s="79">
        <v>0</v>
      </c>
      <c r="I28" s="81">
        <v>0</v>
      </c>
      <c r="J28" s="82" t="s">
        <v>81</v>
      </c>
      <c r="L28" s="15" t="s">
        <v>84</v>
      </c>
      <c r="M28" s="84">
        <f>SUM(E41:E42)</f>
        <v>18.867449999999998</v>
      </c>
      <c r="N28" s="84">
        <f>M28+M28*I11</f>
        <v>18.901918396868616</v>
      </c>
      <c r="O28" s="85"/>
      <c r="P28" s="15"/>
    </row>
    <row r="29" spans="2:16" x14ac:dyDescent="0.35">
      <c r="B29" s="76" t="s">
        <v>85</v>
      </c>
      <c r="C29" s="81"/>
      <c r="D29" s="78"/>
      <c r="E29" s="79">
        <v>0</v>
      </c>
      <c r="F29" s="81"/>
      <c r="G29" s="80"/>
      <c r="H29" s="79">
        <v>0</v>
      </c>
      <c r="I29" s="81">
        <v>0</v>
      </c>
      <c r="J29" s="82" t="s">
        <v>81</v>
      </c>
      <c r="L29" s="28" t="s">
        <v>86</v>
      </c>
      <c r="M29" s="86">
        <f>SUM(M27:M28)</f>
        <v>62.806465000000003</v>
      </c>
      <c r="N29" s="86">
        <f>SUM(N27:N28)</f>
        <v>62.840933396868621</v>
      </c>
      <c r="O29" s="86">
        <f>N29-M29</f>
        <v>3.4468396868618356E-2</v>
      </c>
      <c r="P29" s="87">
        <f>O29/M29</f>
        <v>5.4880332571843285E-4</v>
      </c>
    </row>
    <row r="30" spans="2:16" x14ac:dyDescent="0.35">
      <c r="B30" s="88" t="s">
        <v>87</v>
      </c>
      <c r="C30" s="81">
        <v>-0.11</v>
      </c>
      <c r="D30" s="78">
        <v>1</v>
      </c>
      <c r="E30" s="79">
        <v>-0.11</v>
      </c>
      <c r="F30" s="81">
        <v>-0.11</v>
      </c>
      <c r="G30" s="80">
        <v>1</v>
      </c>
      <c r="H30" s="79">
        <v>-0.11</v>
      </c>
      <c r="I30" s="81">
        <v>0</v>
      </c>
      <c r="J30" s="82">
        <v>0</v>
      </c>
      <c r="L30" s="15" t="s">
        <v>88</v>
      </c>
      <c r="M30" s="85">
        <f>SUM(E44:E47)</f>
        <v>5.0065</v>
      </c>
      <c r="N30" s="85">
        <f>M30</f>
        <v>5.0065</v>
      </c>
      <c r="O30" s="85"/>
      <c r="P30" s="15"/>
    </row>
    <row r="31" spans="2:16" x14ac:dyDescent="0.35">
      <c r="B31" s="76" t="s">
        <v>89</v>
      </c>
      <c r="C31" s="83">
        <v>0</v>
      </c>
      <c r="D31" s="78">
        <v>750</v>
      </c>
      <c r="E31" s="79">
        <v>0</v>
      </c>
      <c r="F31" s="83">
        <v>0</v>
      </c>
      <c r="G31" s="80">
        <v>750</v>
      </c>
      <c r="H31" s="79">
        <v>0</v>
      </c>
      <c r="I31" s="81">
        <v>0</v>
      </c>
      <c r="J31" s="82" t="s">
        <v>81</v>
      </c>
      <c r="L31" s="15" t="s">
        <v>90</v>
      </c>
      <c r="M31" s="85">
        <f>SUM(E48:E50)</f>
        <v>74.894999999999996</v>
      </c>
      <c r="N31" s="85">
        <f>M31</f>
        <v>74.894999999999996</v>
      </c>
      <c r="O31" s="85"/>
      <c r="P31" s="15"/>
    </row>
    <row r="32" spans="2:16" x14ac:dyDescent="0.35">
      <c r="B32" s="89" t="s">
        <v>91</v>
      </c>
      <c r="C32" s="90"/>
      <c r="D32" s="91"/>
      <c r="E32" s="92">
        <v>41.5</v>
      </c>
      <c r="F32" s="90"/>
      <c r="G32" s="93"/>
      <c r="H32" s="92">
        <v>41.5</v>
      </c>
      <c r="I32" s="90">
        <v>0</v>
      </c>
      <c r="J32" s="94">
        <v>0</v>
      </c>
      <c r="L32" s="28" t="s">
        <v>92</v>
      </c>
      <c r="M32" s="86">
        <f>SUM(M29:M31)</f>
        <v>142.707965</v>
      </c>
      <c r="N32" s="86">
        <f>SUM(N29:N31)</f>
        <v>142.74243339686862</v>
      </c>
      <c r="O32" s="86">
        <f>N32-M32</f>
        <v>3.4468396868618356E-2</v>
      </c>
      <c r="P32" s="87">
        <f>O32/M32</f>
        <v>2.4153099561484431E-4</v>
      </c>
    </row>
    <row r="33" spans="2:16" x14ac:dyDescent="0.35">
      <c r="B33" s="95" t="s">
        <v>93</v>
      </c>
      <c r="C33" s="96">
        <v>9.9860000000000004E-2</v>
      </c>
      <c r="D33" s="97">
        <v>42.75</v>
      </c>
      <c r="E33" s="79">
        <v>4.2690150000000004</v>
      </c>
      <c r="F33" s="96">
        <v>9.9860000000000004E-2</v>
      </c>
      <c r="G33" s="80">
        <v>42.75</v>
      </c>
      <c r="H33" s="79">
        <v>4.2690150000000004</v>
      </c>
      <c r="I33" s="81">
        <v>0</v>
      </c>
      <c r="J33" s="82">
        <v>0</v>
      </c>
    </row>
    <row r="34" spans="2:16" x14ac:dyDescent="0.35">
      <c r="B34" s="95" t="s">
        <v>94</v>
      </c>
      <c r="C34" s="83">
        <v>-2.5000000000000001E-3</v>
      </c>
      <c r="D34" s="78">
        <v>750</v>
      </c>
      <c r="E34" s="79">
        <v>-1.875</v>
      </c>
      <c r="F34" s="83">
        <v>-2.5000000000000001E-3</v>
      </c>
      <c r="G34" s="80">
        <v>750</v>
      </c>
      <c r="H34" s="79">
        <v>-1.875</v>
      </c>
      <c r="I34" s="81">
        <v>0</v>
      </c>
      <c r="J34" s="82">
        <v>0</v>
      </c>
    </row>
    <row r="35" spans="2:16" x14ac:dyDescent="0.35">
      <c r="B35" s="95" t="s">
        <v>95</v>
      </c>
      <c r="C35" s="83">
        <v>-4.999999999999999E-4</v>
      </c>
      <c r="D35" s="78">
        <v>750</v>
      </c>
      <c r="E35" s="79">
        <v>-0.37499999999999994</v>
      </c>
      <c r="F35" s="83">
        <v>-4.999999999999999E-4</v>
      </c>
      <c r="G35" s="80">
        <v>750</v>
      </c>
      <c r="H35" s="79">
        <v>-0.37499999999999994</v>
      </c>
      <c r="I35" s="81">
        <v>0</v>
      </c>
      <c r="J35" s="82">
        <v>0</v>
      </c>
    </row>
    <row r="36" spans="2:16" x14ac:dyDescent="0.35">
      <c r="B36" s="95" t="s">
        <v>96</v>
      </c>
      <c r="C36" s="83">
        <v>0</v>
      </c>
      <c r="D36" s="78">
        <v>750</v>
      </c>
      <c r="E36" s="79">
        <v>0</v>
      </c>
      <c r="F36" s="83">
        <v>0</v>
      </c>
      <c r="G36" s="80">
        <v>750</v>
      </c>
      <c r="H36" s="79">
        <v>0</v>
      </c>
      <c r="I36" s="81">
        <v>0</v>
      </c>
      <c r="J36" s="82" t="s">
        <v>81</v>
      </c>
      <c r="L36" s="196" t="s">
        <v>97</v>
      </c>
      <c r="M36" s="196"/>
      <c r="N36" s="196"/>
      <c r="O36" s="196"/>
      <c r="P36" s="196"/>
    </row>
    <row r="37" spans="2:16" x14ac:dyDescent="0.35">
      <c r="B37" s="95" t="s">
        <v>98</v>
      </c>
      <c r="C37" s="98">
        <v>0.42</v>
      </c>
      <c r="D37" s="99">
        <v>1</v>
      </c>
      <c r="E37" s="79">
        <v>0.42</v>
      </c>
      <c r="F37" s="98">
        <v>0.42</v>
      </c>
      <c r="G37" s="80">
        <v>1</v>
      </c>
      <c r="H37" s="79">
        <v>0.42</v>
      </c>
      <c r="I37" s="81">
        <v>0</v>
      </c>
      <c r="J37" s="82">
        <v>0</v>
      </c>
      <c r="L37" s="196"/>
      <c r="M37" s="196"/>
      <c r="N37" s="196"/>
      <c r="O37" s="196"/>
      <c r="P37" s="196"/>
    </row>
    <row r="38" spans="2:16" x14ac:dyDescent="0.35">
      <c r="B38" s="100" t="s">
        <v>99</v>
      </c>
      <c r="C38" s="81">
        <v>0</v>
      </c>
      <c r="D38" s="78">
        <v>0</v>
      </c>
      <c r="E38" s="79">
        <v>0</v>
      </c>
      <c r="F38" s="81">
        <v>0</v>
      </c>
      <c r="G38" s="80">
        <v>0</v>
      </c>
      <c r="H38" s="79">
        <v>0</v>
      </c>
      <c r="I38" s="81">
        <v>0</v>
      </c>
      <c r="J38" s="82" t="s">
        <v>81</v>
      </c>
      <c r="L38" s="196"/>
      <c r="M38" s="196"/>
      <c r="N38" s="196"/>
      <c r="O38" s="196"/>
      <c r="P38" s="196"/>
    </row>
    <row r="39" spans="2:16" x14ac:dyDescent="0.35">
      <c r="B39" s="100" t="s">
        <v>100</v>
      </c>
      <c r="C39" s="83">
        <v>0</v>
      </c>
      <c r="D39" s="78">
        <v>0</v>
      </c>
      <c r="E39" s="79">
        <v>0</v>
      </c>
      <c r="F39" s="83">
        <v>0</v>
      </c>
      <c r="G39" s="80">
        <v>0</v>
      </c>
      <c r="H39" s="79">
        <v>0</v>
      </c>
      <c r="I39" s="81">
        <v>0</v>
      </c>
      <c r="J39" s="82" t="s">
        <v>81</v>
      </c>
      <c r="L39" s="196"/>
      <c r="M39" s="196"/>
      <c r="N39" s="196"/>
      <c r="O39" s="196"/>
      <c r="P39" s="196"/>
    </row>
    <row r="40" spans="2:16" x14ac:dyDescent="0.35">
      <c r="B40" s="101" t="s">
        <v>101</v>
      </c>
      <c r="C40" s="102"/>
      <c r="D40" s="103"/>
      <c r="E40" s="104">
        <v>43.939015000000005</v>
      </c>
      <c r="F40" s="102"/>
      <c r="G40" s="103"/>
      <c r="H40" s="104">
        <v>43.939015000000005</v>
      </c>
      <c r="I40" s="90">
        <v>0</v>
      </c>
      <c r="J40" s="94">
        <v>0</v>
      </c>
    </row>
    <row r="41" spans="2:16" x14ac:dyDescent="0.35">
      <c r="B41" s="105" t="s">
        <v>102</v>
      </c>
      <c r="C41" s="83">
        <v>1.4E-2</v>
      </c>
      <c r="D41" s="106">
        <v>792.75</v>
      </c>
      <c r="E41" s="79">
        <v>11.0985</v>
      </c>
      <c r="F41" s="83">
        <v>1.4E-2</v>
      </c>
      <c r="G41" s="80">
        <v>792.75</v>
      </c>
      <c r="H41" s="79">
        <v>11.0985</v>
      </c>
      <c r="I41" s="81">
        <v>0</v>
      </c>
      <c r="J41" s="82">
        <v>0</v>
      </c>
    </row>
    <row r="42" spans="2:16" ht="25" x14ac:dyDescent="0.35">
      <c r="B42" s="107" t="s">
        <v>103</v>
      </c>
      <c r="C42" s="83">
        <v>9.7999999999999997E-3</v>
      </c>
      <c r="D42" s="108">
        <v>792.75</v>
      </c>
      <c r="E42" s="79">
        <v>7.7689499999999994</v>
      </c>
      <c r="F42" s="83">
        <v>9.9000000000000008E-3</v>
      </c>
      <c r="G42" s="80">
        <v>792.75</v>
      </c>
      <c r="H42" s="79">
        <v>7.8482250000000002</v>
      </c>
      <c r="I42" s="81">
        <v>7.9275000000000873E-2</v>
      </c>
      <c r="J42" s="82">
        <v>1.0204081632653175E-2</v>
      </c>
    </row>
    <row r="43" spans="2:16" x14ac:dyDescent="0.35">
      <c r="B43" s="101" t="s">
        <v>104</v>
      </c>
      <c r="C43" s="102"/>
      <c r="D43" s="103"/>
      <c r="E43" s="104">
        <v>62.806465000000003</v>
      </c>
      <c r="F43" s="102"/>
      <c r="G43" s="103"/>
      <c r="H43" s="104">
        <v>62.885740000000006</v>
      </c>
      <c r="I43" s="90">
        <v>7.9275000000002649E-2</v>
      </c>
      <c r="J43" s="94">
        <f>I43/E43</f>
        <v>1.262210824952537E-3</v>
      </c>
    </row>
    <row r="44" spans="2:16" x14ac:dyDescent="0.35">
      <c r="B44" s="109" t="s">
        <v>105</v>
      </c>
      <c r="C44" s="110">
        <v>4.1000000000000003E-3</v>
      </c>
      <c r="D44" s="111">
        <v>792.75</v>
      </c>
      <c r="E44" s="112">
        <v>3.2502750000000002</v>
      </c>
      <c r="F44" s="110">
        <v>4.1000000000000003E-3</v>
      </c>
      <c r="G44" s="80">
        <v>792.75</v>
      </c>
      <c r="H44" s="79">
        <v>3.2502750000000002</v>
      </c>
      <c r="I44" s="81">
        <v>0</v>
      </c>
      <c r="J44" s="82">
        <v>0</v>
      </c>
    </row>
    <row r="45" spans="2:16" ht="25" x14ac:dyDescent="0.35">
      <c r="B45" s="109" t="s">
        <v>106</v>
      </c>
      <c r="C45" s="110">
        <v>4.0000000000000002E-4</v>
      </c>
      <c r="D45" s="108">
        <v>792.75</v>
      </c>
      <c r="E45" s="112">
        <v>0.31709999999999999</v>
      </c>
      <c r="F45" s="110">
        <v>4.0000000000000002E-4</v>
      </c>
      <c r="G45" s="80">
        <v>792.75</v>
      </c>
      <c r="H45" s="79">
        <v>0.31709999999999999</v>
      </c>
      <c r="I45" s="81">
        <v>0</v>
      </c>
      <c r="J45" s="82">
        <v>0</v>
      </c>
    </row>
    <row r="46" spans="2:16" x14ac:dyDescent="0.35">
      <c r="B46" s="113" t="s">
        <v>107</v>
      </c>
      <c r="C46" s="110">
        <v>1.5E-3</v>
      </c>
      <c r="D46" s="108">
        <v>792.75</v>
      </c>
      <c r="E46" s="112">
        <v>1.189125</v>
      </c>
      <c r="F46" s="110">
        <v>1.5E-3</v>
      </c>
      <c r="G46" s="80">
        <v>792.75</v>
      </c>
      <c r="H46" s="79">
        <v>1.189125</v>
      </c>
      <c r="I46" s="81">
        <v>0</v>
      </c>
      <c r="J46" s="82">
        <v>0</v>
      </c>
    </row>
    <row r="47" spans="2:16" x14ac:dyDescent="0.35">
      <c r="B47" s="113" t="s">
        <v>108</v>
      </c>
      <c r="C47" s="114">
        <v>0.25</v>
      </c>
      <c r="D47" s="108">
        <v>1</v>
      </c>
      <c r="E47" s="112">
        <v>0.25</v>
      </c>
      <c r="F47" s="114">
        <v>0.25</v>
      </c>
      <c r="G47" s="80">
        <v>1</v>
      </c>
      <c r="H47" s="79">
        <v>0.25</v>
      </c>
      <c r="I47" s="81">
        <v>0</v>
      </c>
      <c r="J47" s="82">
        <v>0</v>
      </c>
    </row>
    <row r="48" spans="2:16" x14ac:dyDescent="0.35">
      <c r="B48" s="115" t="s">
        <v>109</v>
      </c>
      <c r="C48" s="116">
        <v>7.5999999999999998E-2</v>
      </c>
      <c r="D48" s="117">
        <v>472.5</v>
      </c>
      <c r="E48" s="112">
        <v>35.909999999999997</v>
      </c>
      <c r="F48" s="116">
        <v>7.5999999999999998E-2</v>
      </c>
      <c r="G48" s="80">
        <v>472.5</v>
      </c>
      <c r="H48" s="79">
        <v>35.909999999999997</v>
      </c>
      <c r="I48" s="81">
        <v>0</v>
      </c>
      <c r="J48" s="82">
        <v>0</v>
      </c>
    </row>
    <row r="49" spans="1:10" x14ac:dyDescent="0.35">
      <c r="B49" s="115" t="s">
        <v>110</v>
      </c>
      <c r="C49" s="116">
        <v>0.122</v>
      </c>
      <c r="D49" s="117">
        <v>135</v>
      </c>
      <c r="E49" s="112">
        <v>16.47</v>
      </c>
      <c r="F49" s="116">
        <v>0.122</v>
      </c>
      <c r="G49" s="80">
        <v>135</v>
      </c>
      <c r="H49" s="79">
        <v>16.47</v>
      </c>
      <c r="I49" s="81">
        <v>0</v>
      </c>
      <c r="J49" s="82">
        <v>0</v>
      </c>
    </row>
    <row r="50" spans="1:10" x14ac:dyDescent="0.35">
      <c r="B50" s="115" t="s">
        <v>111</v>
      </c>
      <c r="C50" s="116">
        <v>0.158</v>
      </c>
      <c r="D50" s="118">
        <v>142.5</v>
      </c>
      <c r="E50" s="112">
        <v>22.515000000000001</v>
      </c>
      <c r="F50" s="116">
        <v>0.158</v>
      </c>
      <c r="G50" s="80">
        <v>142.5</v>
      </c>
      <c r="H50" s="79">
        <v>22.515000000000001</v>
      </c>
      <c r="I50" s="81">
        <v>0</v>
      </c>
      <c r="J50" s="82">
        <v>0</v>
      </c>
    </row>
    <row r="51" spans="1:10" x14ac:dyDescent="0.35">
      <c r="B51" s="89" t="s">
        <v>112</v>
      </c>
      <c r="C51" s="90"/>
      <c r="D51" s="119"/>
      <c r="E51" s="92">
        <v>142.707965</v>
      </c>
      <c r="F51" s="90"/>
      <c r="G51" s="120"/>
      <c r="H51" s="92">
        <v>142.78724</v>
      </c>
      <c r="I51" s="90">
        <v>7.9274999999995543E-2</v>
      </c>
      <c r="J51" s="94">
        <v>5.5550508340578984E-4</v>
      </c>
    </row>
    <row r="52" spans="1:10" x14ac:dyDescent="0.35">
      <c r="B52" s="121" t="s">
        <v>113</v>
      </c>
      <c r="C52" s="122">
        <v>0.13</v>
      </c>
      <c r="D52" s="122"/>
      <c r="E52" s="79">
        <v>18.552035450000002</v>
      </c>
      <c r="F52" s="122">
        <v>0.13</v>
      </c>
      <c r="G52" s="122"/>
      <c r="H52" s="79">
        <v>18.562341199999999</v>
      </c>
      <c r="I52" s="81">
        <v>1.0305749999997005E-2</v>
      </c>
      <c r="J52" s="123">
        <v>5.5550508340565963E-4</v>
      </c>
    </row>
    <row r="53" spans="1:10" x14ac:dyDescent="0.35">
      <c r="B53" s="121" t="s">
        <v>114</v>
      </c>
      <c r="C53" s="122">
        <v>-0.13100000000000001</v>
      </c>
      <c r="D53" s="122"/>
      <c r="E53" s="79">
        <v>-18.694743415000001</v>
      </c>
      <c r="F53" s="122">
        <v>-0.13100000000000001</v>
      </c>
      <c r="G53" s="122"/>
      <c r="H53" s="79">
        <v>-18.705128439999999</v>
      </c>
      <c r="I53" s="81">
        <v>-1.0385024999997938E-2</v>
      </c>
      <c r="J53" s="123">
        <v>-5.5550508340571081E-4</v>
      </c>
    </row>
    <row r="54" spans="1:10" x14ac:dyDescent="0.35">
      <c r="B54" s="124" t="s">
        <v>115</v>
      </c>
      <c r="C54" s="125"/>
      <c r="D54" s="126"/>
      <c r="E54" s="127">
        <v>142.565257035</v>
      </c>
      <c r="F54" s="125"/>
      <c r="G54" s="126"/>
      <c r="H54" s="127">
        <v>142.64445275999998</v>
      </c>
      <c r="I54" s="125">
        <v>7.9195724999976846E-2</v>
      </c>
      <c r="J54" s="128">
        <v>5.5550508340565866E-4</v>
      </c>
    </row>
    <row r="55" spans="1:10" x14ac:dyDescent="0.35">
      <c r="A55" s="129" t="s">
        <v>116</v>
      </c>
      <c r="B55" s="66"/>
      <c r="C55" s="130"/>
      <c r="D55" s="65"/>
      <c r="E55" s="66"/>
      <c r="F55" s="131"/>
      <c r="G55" s="65"/>
      <c r="H55" s="66"/>
      <c r="I55" s="64"/>
    </row>
    <row r="58" spans="1:10" x14ac:dyDescent="0.35">
      <c r="B58" s="132" t="s">
        <v>61</v>
      </c>
      <c r="C58" s="133" t="s">
        <v>117</v>
      </c>
      <c r="D58" s="134"/>
      <c r="E58" s="135"/>
      <c r="F58" s="136"/>
      <c r="G58" s="134"/>
      <c r="H58" s="135"/>
      <c r="I58" s="136"/>
      <c r="J58" s="134"/>
    </row>
    <row r="59" spans="1:10" x14ac:dyDescent="0.35">
      <c r="B59" s="137" t="s">
        <v>63</v>
      </c>
      <c r="C59" s="138">
        <v>2000</v>
      </c>
      <c r="D59" s="134"/>
      <c r="E59" s="135"/>
      <c r="F59" s="136"/>
      <c r="G59" s="134"/>
      <c r="H59" s="135"/>
      <c r="I59" s="136"/>
      <c r="J59" s="134"/>
    </row>
    <row r="60" spans="1:10" x14ac:dyDescent="0.35">
      <c r="B60" s="137" t="s">
        <v>64</v>
      </c>
      <c r="C60" s="139">
        <v>0</v>
      </c>
      <c r="D60" s="134"/>
      <c r="E60" s="135"/>
      <c r="F60" s="136"/>
      <c r="G60" s="134"/>
      <c r="H60" s="135"/>
      <c r="I60" s="136"/>
      <c r="J60" s="134"/>
    </row>
    <row r="61" spans="1:10" x14ac:dyDescent="0.35">
      <c r="B61" s="137" t="s">
        <v>65</v>
      </c>
      <c r="C61" s="140">
        <v>1.0669999999999999</v>
      </c>
      <c r="D61" s="134"/>
      <c r="E61" s="135"/>
      <c r="F61" s="136"/>
      <c r="G61" s="134"/>
      <c r="H61" s="135"/>
      <c r="I61" s="136"/>
      <c r="J61" s="134"/>
    </row>
    <row r="62" spans="1:10" x14ac:dyDescent="0.35">
      <c r="B62" s="137" t="s">
        <v>66</v>
      </c>
      <c r="C62" s="141" t="s">
        <v>67</v>
      </c>
      <c r="D62" s="134"/>
      <c r="E62" s="135"/>
      <c r="F62" s="136"/>
      <c r="G62" s="134"/>
      <c r="H62" s="135"/>
      <c r="I62" s="136"/>
      <c r="J62" s="134"/>
    </row>
    <row r="63" spans="1:10" x14ac:dyDescent="0.35">
      <c r="B63" s="134"/>
      <c r="C63" s="136"/>
      <c r="D63" s="134"/>
      <c r="E63" s="135"/>
      <c r="F63" s="136"/>
      <c r="G63" s="134"/>
      <c r="H63" s="135"/>
      <c r="I63" s="136"/>
      <c r="J63" s="134"/>
    </row>
    <row r="64" spans="1:10" x14ac:dyDescent="0.35">
      <c r="B64" s="201"/>
      <c r="C64" s="203" t="s">
        <v>68</v>
      </c>
      <c r="D64" s="204"/>
      <c r="E64" s="204"/>
      <c r="F64" s="204" t="s">
        <v>69</v>
      </c>
      <c r="G64" s="204"/>
      <c r="H64" s="204"/>
      <c r="I64" s="204" t="s">
        <v>70</v>
      </c>
      <c r="J64" s="204"/>
    </row>
    <row r="65" spans="2:16" ht="26" x14ac:dyDescent="0.35">
      <c r="B65" s="202"/>
      <c r="C65" s="142" t="s">
        <v>71</v>
      </c>
      <c r="D65" s="143" t="s">
        <v>72</v>
      </c>
      <c r="E65" s="144" t="s">
        <v>73</v>
      </c>
      <c r="F65" s="144" t="s">
        <v>71</v>
      </c>
      <c r="G65" s="143" t="s">
        <v>72</v>
      </c>
      <c r="H65" s="144" t="s">
        <v>73</v>
      </c>
      <c r="I65" s="144" t="s">
        <v>74</v>
      </c>
      <c r="J65" s="143" t="s">
        <v>75</v>
      </c>
    </row>
    <row r="66" spans="2:16" x14ac:dyDescent="0.35">
      <c r="B66" s="145" t="s">
        <v>76</v>
      </c>
      <c r="C66" s="146">
        <f>F66</f>
        <v>25.51</v>
      </c>
      <c r="D66" s="147">
        <v>1</v>
      </c>
      <c r="E66" s="148">
        <f>C66*D66</f>
        <v>25.51</v>
      </c>
      <c r="F66" s="146">
        <v>25.51</v>
      </c>
      <c r="G66" s="149">
        <v>1</v>
      </c>
      <c r="H66" s="148">
        <f>F66*G66</f>
        <v>25.51</v>
      </c>
      <c r="I66" s="150">
        <f>H66-E66</f>
        <v>0</v>
      </c>
      <c r="J66" s="123">
        <f>I66/C66</f>
        <v>0</v>
      </c>
      <c r="L66" s="28"/>
      <c r="M66" s="28" t="s">
        <v>77</v>
      </c>
      <c r="N66" s="28" t="s">
        <v>69</v>
      </c>
      <c r="O66" s="28" t="s">
        <v>78</v>
      </c>
      <c r="P66" s="28" t="s">
        <v>79</v>
      </c>
    </row>
    <row r="67" spans="2:16" x14ac:dyDescent="0.35">
      <c r="B67" s="145" t="s">
        <v>80</v>
      </c>
      <c r="C67" s="151">
        <f t="shared" ref="C67:C90" si="2">F67</f>
        <v>3.6999999999999998E-2</v>
      </c>
      <c r="D67" s="147">
        <v>2000</v>
      </c>
      <c r="E67" s="148">
        <f t="shared" ref="E67:E71" si="3">C67*D67</f>
        <v>74</v>
      </c>
      <c r="F67" s="151">
        <v>3.6999999999999998E-2</v>
      </c>
      <c r="G67" s="149">
        <v>2000</v>
      </c>
      <c r="H67" s="148">
        <f t="shared" ref="H67:H71" si="4">F67*G67</f>
        <v>74</v>
      </c>
      <c r="I67" s="150">
        <f t="shared" ref="I67:I71" si="5">H67-E67</f>
        <v>0</v>
      </c>
      <c r="J67" s="123">
        <f t="shared" ref="J67:J71" si="6">I67/C67</f>
        <v>0</v>
      </c>
      <c r="L67" s="15" t="s">
        <v>82</v>
      </c>
      <c r="M67" s="84">
        <f>E80</f>
        <v>108.51124000000002</v>
      </c>
      <c r="N67" s="84">
        <f>M67</f>
        <v>108.51124000000002</v>
      </c>
      <c r="O67" s="85"/>
      <c r="P67" s="15"/>
    </row>
    <row r="68" spans="2:16" x14ac:dyDescent="0.35">
      <c r="B68" s="145" t="s">
        <v>83</v>
      </c>
      <c r="C68" s="150">
        <f t="shared" si="2"/>
        <v>0</v>
      </c>
      <c r="D68" s="147">
        <v>1</v>
      </c>
      <c r="E68" s="148">
        <f t="shared" si="3"/>
        <v>0</v>
      </c>
      <c r="F68" s="150">
        <v>0</v>
      </c>
      <c r="G68" s="149">
        <v>1</v>
      </c>
      <c r="H68" s="148">
        <f t="shared" si="4"/>
        <v>0</v>
      </c>
      <c r="I68" s="150">
        <f t="shared" si="5"/>
        <v>0</v>
      </c>
      <c r="J68" s="123" t="s">
        <v>81</v>
      </c>
      <c r="L68" s="15" t="s">
        <v>84</v>
      </c>
      <c r="M68" s="84">
        <f>SUM(E81:E82)</f>
        <v>40.759399999999999</v>
      </c>
      <c r="N68" s="84">
        <f>M68+M68*I11</f>
        <v>40.833862165015766</v>
      </c>
      <c r="O68" s="85"/>
      <c r="P68" s="15"/>
    </row>
    <row r="69" spans="2:16" x14ac:dyDescent="0.35">
      <c r="B69" s="145" t="s">
        <v>85</v>
      </c>
      <c r="C69" s="150">
        <f t="shared" si="2"/>
        <v>0</v>
      </c>
      <c r="D69" s="147"/>
      <c r="E69" s="148">
        <f t="shared" si="3"/>
        <v>0</v>
      </c>
      <c r="F69" s="150"/>
      <c r="G69" s="149"/>
      <c r="H69" s="148">
        <f t="shared" si="4"/>
        <v>0</v>
      </c>
      <c r="I69" s="150">
        <f t="shared" si="5"/>
        <v>0</v>
      </c>
      <c r="J69" s="123" t="s">
        <v>81</v>
      </c>
      <c r="L69" s="28" t="s">
        <v>86</v>
      </c>
      <c r="M69" s="86">
        <f>SUM(M67:M68)</f>
        <v>149.27064000000001</v>
      </c>
      <c r="N69" s="86">
        <f>SUM(N67:N68)</f>
        <v>149.34510216501579</v>
      </c>
      <c r="O69" s="86">
        <f>N69-M69</f>
        <v>7.4462165015773962E-2</v>
      </c>
      <c r="P69" s="87">
        <f>O69/M69</f>
        <v>4.9883999302055614E-4</v>
      </c>
    </row>
    <row r="70" spans="2:16" x14ac:dyDescent="0.35">
      <c r="B70" s="152" t="s">
        <v>87</v>
      </c>
      <c r="C70" s="150">
        <f t="shared" si="2"/>
        <v>0</v>
      </c>
      <c r="D70" s="147">
        <v>1</v>
      </c>
      <c r="E70" s="148">
        <f t="shared" si="3"/>
        <v>0</v>
      </c>
      <c r="F70" s="150">
        <v>0</v>
      </c>
      <c r="G70" s="149">
        <v>1</v>
      </c>
      <c r="H70" s="148">
        <f t="shared" si="4"/>
        <v>0</v>
      </c>
      <c r="I70" s="150">
        <f t="shared" si="5"/>
        <v>0</v>
      </c>
      <c r="J70" s="123" t="s">
        <v>81</v>
      </c>
      <c r="L70" s="15" t="s">
        <v>88</v>
      </c>
      <c r="M70" s="85">
        <f>SUM(E84:E87)</f>
        <v>13.054000000000002</v>
      </c>
      <c r="N70" s="85">
        <f>M70</f>
        <v>13.054000000000002</v>
      </c>
      <c r="O70" s="85"/>
      <c r="P70" s="15"/>
    </row>
    <row r="71" spans="2:16" x14ac:dyDescent="0.35">
      <c r="B71" s="145" t="s">
        <v>89</v>
      </c>
      <c r="C71" s="151">
        <f t="shared" si="2"/>
        <v>-1E-4</v>
      </c>
      <c r="D71" s="147">
        <v>2000</v>
      </c>
      <c r="E71" s="148">
        <f t="shared" si="3"/>
        <v>-0.2</v>
      </c>
      <c r="F71" s="151">
        <v>-1E-4</v>
      </c>
      <c r="G71" s="149">
        <v>2000</v>
      </c>
      <c r="H71" s="148">
        <f t="shared" si="4"/>
        <v>-0.2</v>
      </c>
      <c r="I71" s="150">
        <f t="shared" si="5"/>
        <v>0</v>
      </c>
      <c r="J71" s="123">
        <f t="shared" si="6"/>
        <v>0</v>
      </c>
      <c r="L71" s="15" t="s">
        <v>90</v>
      </c>
      <c r="M71" s="85">
        <f>SUM(E88:E90)</f>
        <v>199.72</v>
      </c>
      <c r="N71" s="85">
        <f>M71</f>
        <v>199.72</v>
      </c>
      <c r="O71" s="85"/>
      <c r="P71" s="15"/>
    </row>
    <row r="72" spans="2:16" x14ac:dyDescent="0.35">
      <c r="B72" s="153" t="s">
        <v>91</v>
      </c>
      <c r="C72" s="154"/>
      <c r="D72" s="155"/>
      <c r="E72" s="156">
        <f>SUM(E66:E71)</f>
        <v>99.31</v>
      </c>
      <c r="F72" s="157"/>
      <c r="G72" s="158"/>
      <c r="H72" s="156">
        <f>SUM(H66:H71)</f>
        <v>99.31</v>
      </c>
      <c r="I72" s="157">
        <f>H72-E72</f>
        <v>0</v>
      </c>
      <c r="J72" s="159">
        <f>I72/E72</f>
        <v>0</v>
      </c>
      <c r="L72" s="28" t="s">
        <v>92</v>
      </c>
      <c r="M72" s="86">
        <f>SUM(M69:M71)</f>
        <v>362.04464000000002</v>
      </c>
      <c r="N72" s="86">
        <f>SUM(N69:N71)</f>
        <v>362.11910216501576</v>
      </c>
      <c r="O72" s="86">
        <f>N72-M72</f>
        <v>7.4462165015745541E-2</v>
      </c>
      <c r="P72" s="87">
        <f>O72/M72</f>
        <v>2.056712261110827E-4</v>
      </c>
    </row>
    <row r="73" spans="2:16" x14ac:dyDescent="0.35">
      <c r="B73" s="95" t="s">
        <v>93</v>
      </c>
      <c r="C73" s="151">
        <f t="shared" si="2"/>
        <v>9.9860000000000004E-2</v>
      </c>
      <c r="D73" s="160">
        <v>134</v>
      </c>
      <c r="E73" s="148">
        <f t="shared" ref="E73:E79" si="7">C73*D73</f>
        <v>13.38124</v>
      </c>
      <c r="F73" s="161">
        <v>9.9860000000000004E-2</v>
      </c>
      <c r="G73" s="149">
        <v>134</v>
      </c>
      <c r="H73" s="148">
        <f t="shared" ref="H73:H79" si="8">F73*G73</f>
        <v>13.38124</v>
      </c>
      <c r="I73" s="150">
        <f t="shared" ref="I73:I79" si="9">H73-E73</f>
        <v>0</v>
      </c>
      <c r="J73" s="123">
        <f t="shared" ref="J73:J82" si="10">I73/E73</f>
        <v>0</v>
      </c>
    </row>
    <row r="74" spans="2:16" x14ac:dyDescent="0.35">
      <c r="B74" s="95" t="s">
        <v>94</v>
      </c>
      <c r="C74" s="151">
        <f t="shared" si="2"/>
        <v>-1.8E-3</v>
      </c>
      <c r="D74" s="147">
        <v>2000</v>
      </c>
      <c r="E74" s="148">
        <f t="shared" si="7"/>
        <v>-3.6</v>
      </c>
      <c r="F74" s="151">
        <v>-1.8E-3</v>
      </c>
      <c r="G74" s="149">
        <v>2000</v>
      </c>
      <c r="H74" s="148">
        <f t="shared" si="8"/>
        <v>-3.6</v>
      </c>
      <c r="I74" s="150">
        <f t="shared" si="9"/>
        <v>0</v>
      </c>
      <c r="J74" s="123">
        <f t="shared" si="10"/>
        <v>0</v>
      </c>
    </row>
    <row r="75" spans="2:16" x14ac:dyDescent="0.35">
      <c r="B75" s="95" t="s">
        <v>95</v>
      </c>
      <c r="C75" s="151">
        <f t="shared" si="2"/>
        <v>-4.999999999999999E-4</v>
      </c>
      <c r="D75" s="147">
        <v>2000</v>
      </c>
      <c r="E75" s="148">
        <f t="shared" si="7"/>
        <v>-0.99999999999999978</v>
      </c>
      <c r="F75" s="151">
        <v>-4.999999999999999E-4</v>
      </c>
      <c r="G75" s="149">
        <v>2000</v>
      </c>
      <c r="H75" s="148">
        <f t="shared" si="8"/>
        <v>-0.99999999999999978</v>
      </c>
      <c r="I75" s="150">
        <f t="shared" si="9"/>
        <v>0</v>
      </c>
      <c r="J75" s="123">
        <f t="shared" si="10"/>
        <v>0</v>
      </c>
    </row>
    <row r="76" spans="2:16" x14ac:dyDescent="0.35">
      <c r="B76" s="95" t="s">
        <v>96</v>
      </c>
      <c r="C76" s="151">
        <f t="shared" si="2"/>
        <v>0</v>
      </c>
      <c r="D76" s="147">
        <v>2000</v>
      </c>
      <c r="E76" s="148">
        <f t="shared" si="7"/>
        <v>0</v>
      </c>
      <c r="F76" s="151">
        <v>0</v>
      </c>
      <c r="G76" s="149">
        <v>2000</v>
      </c>
      <c r="H76" s="148">
        <f t="shared" si="8"/>
        <v>0</v>
      </c>
      <c r="I76" s="150">
        <f t="shared" si="9"/>
        <v>0</v>
      </c>
      <c r="J76" s="123" t="s">
        <v>81</v>
      </c>
      <c r="L76" s="196" t="s">
        <v>97</v>
      </c>
      <c r="M76" s="196"/>
      <c r="N76" s="196"/>
      <c r="O76" s="196"/>
      <c r="P76" s="196"/>
    </row>
    <row r="77" spans="2:16" x14ac:dyDescent="0.35">
      <c r="B77" s="95" t="s">
        <v>98</v>
      </c>
      <c r="C77" s="151">
        <f t="shared" si="2"/>
        <v>0.42</v>
      </c>
      <c r="D77" s="162">
        <v>1</v>
      </c>
      <c r="E77" s="148">
        <f t="shared" si="7"/>
        <v>0.42</v>
      </c>
      <c r="F77" s="163">
        <v>0.42</v>
      </c>
      <c r="G77" s="149">
        <v>1</v>
      </c>
      <c r="H77" s="148">
        <f t="shared" si="8"/>
        <v>0.42</v>
      </c>
      <c r="I77" s="150">
        <f t="shared" si="9"/>
        <v>0</v>
      </c>
      <c r="J77" s="123">
        <f t="shared" si="10"/>
        <v>0</v>
      </c>
      <c r="L77" s="196"/>
      <c r="M77" s="196"/>
      <c r="N77" s="196"/>
      <c r="O77" s="196"/>
      <c r="P77" s="196"/>
    </row>
    <row r="78" spans="2:16" x14ac:dyDescent="0.35">
      <c r="B78" s="100" t="s">
        <v>99</v>
      </c>
      <c r="C78" s="151">
        <f t="shared" si="2"/>
        <v>0</v>
      </c>
      <c r="D78" s="147">
        <v>0</v>
      </c>
      <c r="E78" s="148">
        <f t="shared" si="7"/>
        <v>0</v>
      </c>
      <c r="F78" s="150">
        <v>0</v>
      </c>
      <c r="G78" s="149">
        <v>0</v>
      </c>
      <c r="H78" s="148">
        <f t="shared" si="8"/>
        <v>0</v>
      </c>
      <c r="I78" s="150">
        <f t="shared" si="9"/>
        <v>0</v>
      </c>
      <c r="J78" s="123" t="s">
        <v>81</v>
      </c>
      <c r="L78" s="196"/>
      <c r="M78" s="196"/>
      <c r="N78" s="196"/>
      <c r="O78" s="196"/>
      <c r="P78" s="196"/>
    </row>
    <row r="79" spans="2:16" x14ac:dyDescent="0.35">
      <c r="B79" s="100" t="s">
        <v>100</v>
      </c>
      <c r="C79" s="151">
        <f t="shared" si="2"/>
        <v>0</v>
      </c>
      <c r="D79" s="147">
        <v>0</v>
      </c>
      <c r="E79" s="148">
        <f t="shared" si="7"/>
        <v>0</v>
      </c>
      <c r="F79" s="151">
        <v>0</v>
      </c>
      <c r="G79" s="149">
        <v>0</v>
      </c>
      <c r="H79" s="148">
        <f t="shared" si="8"/>
        <v>0</v>
      </c>
      <c r="I79" s="150">
        <f t="shared" si="9"/>
        <v>0</v>
      </c>
      <c r="J79" s="123" t="s">
        <v>81</v>
      </c>
      <c r="L79" s="196"/>
      <c r="M79" s="196"/>
      <c r="N79" s="196"/>
      <c r="O79" s="196"/>
      <c r="P79" s="196"/>
    </row>
    <row r="80" spans="2:16" x14ac:dyDescent="0.35">
      <c r="B80" s="101" t="s">
        <v>101</v>
      </c>
      <c r="C80" s="164"/>
      <c r="D80" s="165"/>
      <c r="E80" s="166">
        <f>SUM(E72:E79)</f>
        <v>108.51124000000002</v>
      </c>
      <c r="F80" s="164"/>
      <c r="G80" s="165"/>
      <c r="H80" s="166">
        <f>SUM(H72:H79)</f>
        <v>108.51124000000002</v>
      </c>
      <c r="I80" s="157">
        <f>H80-E80</f>
        <v>0</v>
      </c>
      <c r="J80" s="159">
        <f t="shared" si="10"/>
        <v>0</v>
      </c>
    </row>
    <row r="81" spans="2:10" x14ac:dyDescent="0.35">
      <c r="B81" s="105" t="s">
        <v>102</v>
      </c>
      <c r="C81" s="151">
        <v>1.0800000000000001E-2</v>
      </c>
      <c r="D81" s="167">
        <v>2134</v>
      </c>
      <c r="E81" s="148">
        <f t="shared" ref="E81:E90" si="11">C81*D81</f>
        <v>23.0472</v>
      </c>
      <c r="F81" s="151">
        <v>1.0999999999999999E-2</v>
      </c>
      <c r="G81" s="149">
        <v>2134</v>
      </c>
      <c r="H81" s="148">
        <f t="shared" ref="H81:H82" si="12">F81*G81</f>
        <v>23.474</v>
      </c>
      <c r="I81" s="150">
        <f>H81-E81</f>
        <v>0.42680000000000007</v>
      </c>
      <c r="J81" s="123">
        <f t="shared" si="10"/>
        <v>1.8518518518518521E-2</v>
      </c>
    </row>
    <row r="82" spans="2:10" ht="25" x14ac:dyDescent="0.35">
      <c r="B82" s="107" t="s">
        <v>103</v>
      </c>
      <c r="C82" s="151">
        <v>8.3000000000000001E-3</v>
      </c>
      <c r="D82" s="168">
        <v>2134</v>
      </c>
      <c r="E82" s="148">
        <f t="shared" si="11"/>
        <v>17.712199999999999</v>
      </c>
      <c r="F82" s="151">
        <v>8.3000000000000001E-3</v>
      </c>
      <c r="G82" s="149">
        <v>2134</v>
      </c>
      <c r="H82" s="148">
        <f t="shared" si="12"/>
        <v>17.712199999999999</v>
      </c>
      <c r="I82" s="150">
        <f>H82-E82</f>
        <v>0</v>
      </c>
      <c r="J82" s="123">
        <f t="shared" si="10"/>
        <v>0</v>
      </c>
    </row>
    <row r="83" spans="2:10" x14ac:dyDescent="0.35">
      <c r="B83" s="101" t="s">
        <v>104</v>
      </c>
      <c r="C83" s="164"/>
      <c r="D83" s="165"/>
      <c r="E83" s="166">
        <f>SUM(E80:E82)</f>
        <v>149.27064000000001</v>
      </c>
      <c r="F83" s="164"/>
      <c r="G83" s="165"/>
      <c r="H83" s="166">
        <f>SUM(H80:H82)</f>
        <v>149.69744</v>
      </c>
      <c r="I83" s="157">
        <f>H83-E83</f>
        <v>0.42679999999998586</v>
      </c>
      <c r="J83" s="94">
        <f>I83/E83</f>
        <v>2.8592360828625495E-3</v>
      </c>
    </row>
    <row r="84" spans="2:10" x14ac:dyDescent="0.35">
      <c r="B84" s="109" t="s">
        <v>105</v>
      </c>
      <c r="C84" s="151">
        <f t="shared" si="2"/>
        <v>4.1000000000000003E-3</v>
      </c>
      <c r="D84" s="169">
        <v>2134</v>
      </c>
      <c r="E84" s="148">
        <f t="shared" si="11"/>
        <v>8.7494000000000014</v>
      </c>
      <c r="F84" s="170">
        <v>4.1000000000000003E-3</v>
      </c>
      <c r="G84" s="149">
        <v>2134</v>
      </c>
      <c r="H84" s="148">
        <f t="shared" ref="H84:H90" si="13">F84*G84</f>
        <v>8.7494000000000014</v>
      </c>
      <c r="I84" s="150">
        <f t="shared" ref="I84:I90" si="14">H84-E84</f>
        <v>0</v>
      </c>
      <c r="J84" s="123">
        <f t="shared" ref="J84:J94" si="15">I84/E84</f>
        <v>0</v>
      </c>
    </row>
    <row r="85" spans="2:10" ht="25" x14ac:dyDescent="0.35">
      <c r="B85" s="109" t="s">
        <v>106</v>
      </c>
      <c r="C85" s="151">
        <f t="shared" si="2"/>
        <v>4.0000000000000002E-4</v>
      </c>
      <c r="D85" s="168">
        <v>2134</v>
      </c>
      <c r="E85" s="148">
        <f t="shared" si="11"/>
        <v>0.85360000000000003</v>
      </c>
      <c r="F85" s="170">
        <v>4.0000000000000002E-4</v>
      </c>
      <c r="G85" s="149">
        <v>2134</v>
      </c>
      <c r="H85" s="148">
        <f t="shared" si="13"/>
        <v>0.85360000000000003</v>
      </c>
      <c r="I85" s="150">
        <f t="shared" si="14"/>
        <v>0</v>
      </c>
      <c r="J85" s="123">
        <f t="shared" si="15"/>
        <v>0</v>
      </c>
    </row>
    <row r="86" spans="2:10" x14ac:dyDescent="0.35">
      <c r="B86" s="113" t="s">
        <v>107</v>
      </c>
      <c r="C86" s="151">
        <f t="shared" si="2"/>
        <v>1.5E-3</v>
      </c>
      <c r="D86" s="168">
        <v>2134</v>
      </c>
      <c r="E86" s="148">
        <f t="shared" si="11"/>
        <v>3.2010000000000001</v>
      </c>
      <c r="F86" s="170">
        <v>1.5E-3</v>
      </c>
      <c r="G86" s="149">
        <v>2134</v>
      </c>
      <c r="H86" s="148">
        <f t="shared" si="13"/>
        <v>3.2010000000000001</v>
      </c>
      <c r="I86" s="150">
        <f t="shared" si="14"/>
        <v>0</v>
      </c>
      <c r="J86" s="123">
        <f t="shared" si="15"/>
        <v>0</v>
      </c>
    </row>
    <row r="87" spans="2:10" x14ac:dyDescent="0.35">
      <c r="B87" s="113" t="s">
        <v>108</v>
      </c>
      <c r="C87" s="151">
        <f t="shared" si="2"/>
        <v>0.25</v>
      </c>
      <c r="D87" s="168">
        <v>1</v>
      </c>
      <c r="E87" s="148">
        <f t="shared" si="11"/>
        <v>0.25</v>
      </c>
      <c r="F87" s="171">
        <v>0.25</v>
      </c>
      <c r="G87" s="149">
        <v>1</v>
      </c>
      <c r="H87" s="148">
        <f t="shared" si="13"/>
        <v>0.25</v>
      </c>
      <c r="I87" s="150">
        <f t="shared" si="14"/>
        <v>0</v>
      </c>
      <c r="J87" s="123">
        <f t="shared" si="15"/>
        <v>0</v>
      </c>
    </row>
    <row r="88" spans="2:10" x14ac:dyDescent="0.35">
      <c r="B88" s="172" t="s">
        <v>109</v>
      </c>
      <c r="C88" s="151">
        <f t="shared" si="2"/>
        <v>7.5999999999999998E-2</v>
      </c>
      <c r="D88" s="167">
        <v>1260</v>
      </c>
      <c r="E88" s="148">
        <f t="shared" si="11"/>
        <v>95.759999999999991</v>
      </c>
      <c r="F88" s="173">
        <v>7.5999999999999998E-2</v>
      </c>
      <c r="G88" s="149">
        <v>1260</v>
      </c>
      <c r="H88" s="148">
        <f t="shared" si="13"/>
        <v>95.759999999999991</v>
      </c>
      <c r="I88" s="150">
        <f t="shared" si="14"/>
        <v>0</v>
      </c>
      <c r="J88" s="123">
        <f t="shared" si="15"/>
        <v>0</v>
      </c>
    </row>
    <row r="89" spans="2:10" x14ac:dyDescent="0.35">
      <c r="B89" s="172" t="s">
        <v>110</v>
      </c>
      <c r="C89" s="151">
        <f t="shared" si="2"/>
        <v>0.122</v>
      </c>
      <c r="D89" s="167">
        <v>360</v>
      </c>
      <c r="E89" s="148">
        <f t="shared" si="11"/>
        <v>43.92</v>
      </c>
      <c r="F89" s="173">
        <v>0.122</v>
      </c>
      <c r="G89" s="149">
        <v>360</v>
      </c>
      <c r="H89" s="148">
        <f t="shared" si="13"/>
        <v>43.92</v>
      </c>
      <c r="I89" s="150">
        <f t="shared" si="14"/>
        <v>0</v>
      </c>
      <c r="J89" s="123">
        <f t="shared" si="15"/>
        <v>0</v>
      </c>
    </row>
    <row r="90" spans="2:10" x14ac:dyDescent="0.35">
      <c r="B90" s="172" t="s">
        <v>111</v>
      </c>
      <c r="C90" s="151">
        <f t="shared" si="2"/>
        <v>0.158</v>
      </c>
      <c r="D90" s="174">
        <v>380</v>
      </c>
      <c r="E90" s="148">
        <f t="shared" si="11"/>
        <v>60.04</v>
      </c>
      <c r="F90" s="173">
        <v>0.158</v>
      </c>
      <c r="G90" s="149">
        <v>380</v>
      </c>
      <c r="H90" s="148">
        <f t="shared" si="13"/>
        <v>60.04</v>
      </c>
      <c r="I90" s="150">
        <f t="shared" si="14"/>
        <v>0</v>
      </c>
      <c r="J90" s="123">
        <f t="shared" si="15"/>
        <v>0</v>
      </c>
    </row>
    <row r="91" spans="2:10" x14ac:dyDescent="0.35">
      <c r="B91" s="153" t="s">
        <v>112</v>
      </c>
      <c r="C91" s="157"/>
      <c r="D91" s="175"/>
      <c r="E91" s="156">
        <f>SUM(E83:E90)</f>
        <v>362.04464000000007</v>
      </c>
      <c r="F91" s="157"/>
      <c r="G91" s="176"/>
      <c r="H91" s="156">
        <f>SUM(H83:H90)</f>
        <v>362.47144000000003</v>
      </c>
      <c r="I91" s="157">
        <f>SUM(I84:I90)</f>
        <v>0</v>
      </c>
      <c r="J91" s="159">
        <f t="shared" si="15"/>
        <v>0</v>
      </c>
    </row>
    <row r="92" spans="2:10" x14ac:dyDescent="0.35">
      <c r="B92" s="177" t="s">
        <v>113</v>
      </c>
      <c r="C92" s="178">
        <v>0.13</v>
      </c>
      <c r="D92" s="178"/>
      <c r="E92" s="148">
        <v>46.937415200000004</v>
      </c>
      <c r="F92" s="178">
        <v>0.13</v>
      </c>
      <c r="G92" s="178"/>
      <c r="H92" s="148">
        <v>47.065803200000012</v>
      </c>
      <c r="I92" s="150">
        <v>0.12838800000000816</v>
      </c>
      <c r="J92" s="123">
        <f t="shared" si="15"/>
        <v>2.7353018791713983E-3</v>
      </c>
    </row>
    <row r="93" spans="2:10" x14ac:dyDescent="0.35">
      <c r="B93" s="177" t="s">
        <v>114</v>
      </c>
      <c r="C93" s="178">
        <v>-0.13100000000000001</v>
      </c>
      <c r="D93" s="178"/>
      <c r="E93" s="148">
        <v>-47.298472240000002</v>
      </c>
      <c r="F93" s="178">
        <v>-0.13100000000000001</v>
      </c>
      <c r="G93" s="178"/>
      <c r="H93" s="148">
        <v>-47.427847840000013</v>
      </c>
      <c r="I93" s="150">
        <v>-0.12937560000001014</v>
      </c>
      <c r="J93" s="123">
        <f t="shared" si="15"/>
        <v>2.7353018791714387E-3</v>
      </c>
    </row>
    <row r="94" spans="2:10" x14ac:dyDescent="0.35">
      <c r="B94" s="179" t="s">
        <v>115</v>
      </c>
      <c r="C94" s="180"/>
      <c r="D94" s="181"/>
      <c r="E94" s="182">
        <v>360.69598296000004</v>
      </c>
      <c r="F94" s="180"/>
      <c r="G94" s="181"/>
      <c r="H94" s="182">
        <v>361.68259536000005</v>
      </c>
      <c r="I94" s="180">
        <f>H94-E94</f>
        <v>0.98661240000001271</v>
      </c>
      <c r="J94" s="183">
        <f t="shared" si="15"/>
        <v>2.7353018791712595E-3</v>
      </c>
    </row>
  </sheetData>
  <mergeCells count="18">
    <mergeCell ref="L76:P79"/>
    <mergeCell ref="B14:C14"/>
    <mergeCell ref="B15:C15"/>
    <mergeCell ref="B24:B25"/>
    <mergeCell ref="C24:E24"/>
    <mergeCell ref="F24:H24"/>
    <mergeCell ref="I24:J24"/>
    <mergeCell ref="L36:P39"/>
    <mergeCell ref="B64:B65"/>
    <mergeCell ref="C64:E64"/>
    <mergeCell ref="F64:H64"/>
    <mergeCell ref="I64:J64"/>
    <mergeCell ref="B13:C13"/>
    <mergeCell ref="B8:C8"/>
    <mergeCell ref="B10:C10"/>
    <mergeCell ref="B11:C11"/>
    <mergeCell ref="F11:H11"/>
    <mergeCell ref="B12:C12"/>
  </mergeCells>
  <pageMargins left="0.70866141732283472" right="0.70866141732283472" top="0.74803149606299213" bottom="0.74803149606299213" header="0.31496062992125984" footer="0.31496062992125984"/>
  <pageSetup scale="32" orientation="landscape" verticalDpi="0" r:id="rId1"/>
  <headerFooter>
    <oddHeader>Page &amp;P of &amp;N</oddHead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89d3fd35-bdc2-418d-9898-1811a84144d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81B829DE328E44A6F2CF4809418D30" ma:contentTypeVersion="5" ma:contentTypeDescription="Create a new document." ma:contentTypeScope="" ma:versionID="a39900d98a1ae57d8381334e3f56d271">
  <xsd:schema xmlns:xsd="http://www.w3.org/2001/XMLSchema" xmlns:xs="http://www.w3.org/2001/XMLSchema" xmlns:p="http://schemas.microsoft.com/office/2006/metadata/properties" xmlns:ns2="89d3fd35-bdc2-418d-9898-1811a84144dd" targetNamespace="http://schemas.microsoft.com/office/2006/metadata/properties" ma:root="true" ma:fieldsID="d582924f2bd959d347ae147401666260" ns2:_="">
    <xsd:import namespace="89d3fd35-bdc2-418d-9898-1811a84144dd"/>
    <xsd:element name="properties">
      <xsd:complexType>
        <xsd:sequence>
          <xsd:element name="documentManagement">
            <xsd:complexType>
              <xsd:all>
                <xsd:element ref="ns2:Comments"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3fd35-bdc2-418d-9898-1811a84144dd"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58988-BBB9-4B66-AE64-912BEE012F91}">
  <ds:schemaRefs>
    <ds:schemaRef ds:uri="http://schemas.microsoft.com/office/2006/metadata/properties"/>
    <ds:schemaRef ds:uri="http://schemas.microsoft.com/office/infopath/2007/PartnerControls"/>
    <ds:schemaRef ds:uri="89d3fd35-bdc2-418d-9898-1811a84144dd"/>
  </ds:schemaRefs>
</ds:datastoreItem>
</file>

<file path=customXml/itemProps2.xml><?xml version="1.0" encoding="utf-8"?>
<ds:datastoreItem xmlns:ds="http://schemas.openxmlformats.org/officeDocument/2006/customXml" ds:itemID="{7CE4EA82-F208-4FA2-A270-6D3B380E9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d3fd35-bdc2-418d-9898-1811a84144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390265-CA11-4198-B884-0CA4BB517C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Revenue Allocation</vt:lpstr>
      <vt:lpstr>Bill Impact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Andrew Mandyam</cp:lastModifiedBy>
  <cp:revision/>
  <cp:lastPrinted>2025-10-16T14:10:27Z</cp:lastPrinted>
  <dcterms:created xsi:type="dcterms:W3CDTF">2025-10-10T17:08:37Z</dcterms:created>
  <dcterms:modified xsi:type="dcterms:W3CDTF">2025-10-16T14:10:51Z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0x0101009581B829DE328E44A6F2CF4809418D30</vt:lpwstr>
  </property>
</Properties>
</file>