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V:\ACTIVE APPLICATIONS\API_2026_IRM\Interrogatories\"/>
    </mc:Choice>
  </mc:AlternateContent>
  <xr:revisionPtr revIDLastSave="0" documentId="13_ncr:1_{363FAF2E-6E60-4B5F-B105-56EDF339AC13}" xr6:coauthVersionLast="47" xr6:coauthVersionMax="47" xr10:uidLastSave="{00000000-0000-0000-0000-000000000000}"/>
  <bookViews>
    <workbookView xWindow="28680" yWindow="-120" windowWidth="29040" windowHeight="15720" activeTab="2" xr2:uid="{D643A6BD-7DC2-41B8-B112-6492CD1E41DA}"/>
  </bookViews>
  <sheets>
    <sheet name="Current (2025) Tariff" sheetId="2" r:id="rId1"/>
    <sheet name="Other Charges" sheetId="4" r:id="rId2"/>
    <sheet name="Proposed (2026) Tariff" sheetId="3" r:id="rId3"/>
    <sheet name="Bill Impact" sheetId="1" r:id="rId4"/>
  </sheets>
  <definedNames>
    <definedName name="_xlnm._FilterDatabase" localSheetId="0" hidden="1">'Current (2025) Tariff'!$A$23:$BC$35</definedName>
    <definedName name="_xlnm._FilterDatabase" localSheetId="2" hidden="1">'Proposed (2026) Tariff'!$B$22:$H$41</definedName>
    <definedName name="DRP">#REF!</definedName>
    <definedName name="MidPeak">#REF!</definedName>
    <definedName name="MidPeakPer">#REF!</definedName>
    <definedName name="OffPeak">#REF!</definedName>
    <definedName name="OffPeakPer">#REF!</definedName>
    <definedName name="OnPeak">#REF!</definedName>
    <definedName name="OnPeakPer">#REF!</definedName>
    <definedName name="_xlnm.Print_Area" localSheetId="0">'Current (2025) Tariff'!$A$1:$AZ$232</definedName>
    <definedName name="_xlnm.Print_Area" localSheetId="1">'Other Charges'!$A$1:$F$61</definedName>
    <definedName name="_xlnm.Print_Area" localSheetId="2">'Proposed (2026) Tariff'!$A$1:$E$225</definedName>
    <definedName name="SM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1" i="1" l="1"/>
  <c r="G237" i="1"/>
  <c r="D241" i="1"/>
  <c r="D237" i="1"/>
  <c r="B228" i="1"/>
  <c r="E67" i="3"/>
  <c r="E65" i="3"/>
  <c r="C242" i="1"/>
  <c r="C186" i="1"/>
  <c r="F345" i="1"/>
  <c r="F346" i="1"/>
  <c r="F348" i="1"/>
  <c r="F242" i="1"/>
  <c r="F186" i="1"/>
  <c r="F347" i="1" s="1"/>
  <c r="F365" i="1" l="1"/>
  <c r="F356" i="1"/>
  <c r="F357" i="1"/>
  <c r="F354" i="1"/>
  <c r="F353" i="1"/>
  <c r="F350" i="1"/>
  <c r="F314" i="1"/>
  <c r="F313" i="1"/>
  <c r="F312" i="1"/>
  <c r="F318" i="1"/>
  <c r="F297" i="1"/>
  <c r="F298" i="1"/>
  <c r="F301" i="1"/>
  <c r="F306" i="1"/>
  <c r="F305" i="1"/>
  <c r="F254" i="1"/>
  <c r="F253" i="1"/>
  <c r="F247" i="1"/>
  <c r="F246" i="1"/>
  <c r="F245" i="1"/>
  <c r="F238" i="1"/>
  <c r="F237" i="1"/>
  <c r="F211" i="1"/>
  <c r="F372" i="1" s="1"/>
  <c r="F207" i="1"/>
  <c r="F368" i="1" s="1"/>
  <c r="F206" i="1"/>
  <c r="F367" i="1" s="1"/>
  <c r="F205" i="1"/>
  <c r="F366" i="1" s="1"/>
  <c r="F199" i="1"/>
  <c r="F360" i="1" s="1"/>
  <c r="F198" i="1"/>
  <c r="F359" i="1" s="1"/>
  <c r="F194" i="1"/>
  <c r="F355" i="1" s="1"/>
  <c r="F191" i="1"/>
  <c r="F352" i="1" s="1"/>
  <c r="F190" i="1"/>
  <c r="F351" i="1" s="1"/>
  <c r="F189" i="1"/>
  <c r="F183" i="1"/>
  <c r="F344" i="1" s="1"/>
  <c r="F182" i="1"/>
  <c r="F343" i="1" s="1"/>
  <c r="F147" i="1"/>
  <c r="F146" i="1"/>
  <c r="F140" i="1"/>
  <c r="F138" i="1"/>
  <c r="F139" i="1"/>
  <c r="F105" i="1"/>
  <c r="F99" i="1"/>
  <c r="F98" i="1"/>
  <c r="F97" i="1"/>
  <c r="F81" i="1"/>
  <c r="F91" i="1"/>
  <c r="F90" i="1"/>
  <c r="F82" i="1"/>
  <c r="F83" i="1"/>
  <c r="F86" i="1"/>
  <c r="C365" i="1" l="1"/>
  <c r="C357" i="1"/>
  <c r="C356" i="1"/>
  <c r="C354" i="1"/>
  <c r="C353" i="1"/>
  <c r="C348" i="1" l="1"/>
  <c r="C347" i="1"/>
  <c r="C346" i="1"/>
  <c r="C345" i="1"/>
  <c r="C318" i="1"/>
  <c r="C314" i="1"/>
  <c r="C313" i="1"/>
  <c r="C312" i="1"/>
  <c r="C310" i="1"/>
  <c r="C309" i="1"/>
  <c r="C308" i="1"/>
  <c r="C296" i="1"/>
  <c r="F296" i="1" s="1"/>
  <c r="C297" i="1"/>
  <c r="C298" i="1"/>
  <c r="C301" i="1"/>
  <c r="C293" i="1"/>
  <c r="C306" i="1"/>
  <c r="C305" i="1"/>
  <c r="C290" i="1"/>
  <c r="C289" i="1"/>
  <c r="C260" i="1"/>
  <c r="F260" i="1" s="1"/>
  <c r="C258" i="1"/>
  <c r="C257" i="1"/>
  <c r="C256" i="1"/>
  <c r="C244" i="1"/>
  <c r="F244" i="1" s="1"/>
  <c r="C254" i="1"/>
  <c r="C253" i="1"/>
  <c r="C247" i="1"/>
  <c r="C245" i="1"/>
  <c r="C246" i="1"/>
  <c r="C238" i="1"/>
  <c r="C237" i="1"/>
  <c r="C211" i="1"/>
  <c r="C372" i="1" s="1"/>
  <c r="C207" i="1"/>
  <c r="C368" i="1" s="1"/>
  <c r="C206" i="1"/>
  <c r="C367" i="1" s="1"/>
  <c r="C205" i="1"/>
  <c r="C366" i="1" s="1"/>
  <c r="C203" i="1"/>
  <c r="C364" i="1" s="1"/>
  <c r="C202" i="1"/>
  <c r="C363" i="1" s="1"/>
  <c r="C201" i="1"/>
  <c r="C362" i="1" s="1"/>
  <c r="C194" i="1"/>
  <c r="C355" i="1" s="1"/>
  <c r="C190" i="1"/>
  <c r="C351" i="1" s="1"/>
  <c r="C191" i="1"/>
  <c r="C352" i="1" s="1"/>
  <c r="C189" i="1"/>
  <c r="C350" i="1" s="1"/>
  <c r="C199" i="1"/>
  <c r="C360" i="1" s="1"/>
  <c r="C198" i="1"/>
  <c r="C359" i="1" s="1"/>
  <c r="C183" i="1"/>
  <c r="C344" i="1" s="1"/>
  <c r="C182" i="1"/>
  <c r="C343" i="1" s="1"/>
  <c r="C153" i="1"/>
  <c r="C151" i="1" l="1"/>
  <c r="C150" i="1"/>
  <c r="C149" i="1"/>
  <c r="C147" i="1"/>
  <c r="C146" i="1"/>
  <c r="C138" i="1"/>
  <c r="C140" i="1"/>
  <c r="C135" i="1"/>
  <c r="C139" i="1"/>
  <c r="C131" i="1"/>
  <c r="C130" i="1"/>
  <c r="E26" i="4"/>
  <c r="C81" i="1" s="1"/>
  <c r="C105" i="1"/>
  <c r="C104" i="1"/>
  <c r="C99" i="1"/>
  <c r="C98" i="1"/>
  <c r="C97" i="1"/>
  <c r="C95" i="1"/>
  <c r="C94" i="1"/>
  <c r="C93" i="1"/>
  <c r="C91" i="1"/>
  <c r="C90" i="1"/>
  <c r="C82" i="1"/>
  <c r="C83" i="1"/>
  <c r="C86" i="1"/>
  <c r="E79" i="1"/>
  <c r="C78" i="1"/>
  <c r="E134" i="3"/>
  <c r="F258" i="1" s="1"/>
  <c r="E133" i="3"/>
  <c r="F257" i="1" s="1"/>
  <c r="E132" i="3"/>
  <c r="E131" i="3"/>
  <c r="F256" i="1" s="1"/>
  <c r="E104" i="3"/>
  <c r="F203" i="1" s="1"/>
  <c r="F364" i="1" s="1"/>
  <c r="E103" i="3"/>
  <c r="F202" i="1" s="1"/>
  <c r="F363" i="1" s="1"/>
  <c r="E102" i="3"/>
  <c r="E101" i="3"/>
  <c r="F201" i="1" s="1"/>
  <c r="F362" i="1" s="1"/>
  <c r="E73" i="3"/>
  <c r="F151" i="1" s="1"/>
  <c r="E72" i="3"/>
  <c r="F150" i="1" s="1"/>
  <c r="E71" i="3"/>
  <c r="E70" i="3"/>
  <c r="E39" i="3"/>
  <c r="E38" i="3"/>
  <c r="E37" i="3"/>
  <c r="E36" i="3"/>
  <c r="C74" i="1"/>
  <c r="F149" i="1" l="1"/>
  <c r="F95" i="1"/>
  <c r="F310" i="1"/>
  <c r="F309" i="1"/>
  <c r="F94" i="1"/>
  <c r="F93" i="1"/>
  <c r="F308" i="1"/>
  <c r="F56" i="4"/>
  <c r="E219" i="3" s="1"/>
  <c r="F55" i="4"/>
  <c r="E218" i="3" s="1"/>
  <c r="F52" i="4"/>
  <c r="E213" i="3" s="1"/>
  <c r="F51" i="4"/>
  <c r="E212" i="3" s="1"/>
  <c r="F50" i="4"/>
  <c r="F49" i="4"/>
  <c r="E210" i="3" s="1"/>
  <c r="F48" i="4"/>
  <c r="E209" i="3" s="1"/>
  <c r="F47" i="4"/>
  <c r="E208" i="3" s="1"/>
  <c r="F46" i="4"/>
  <c r="E207" i="3" s="1"/>
  <c r="F45" i="4"/>
  <c r="E206" i="3" s="1"/>
  <c r="F42" i="4"/>
  <c r="E188" i="3" s="1"/>
  <c r="G77" i="1" l="1"/>
  <c r="E289" i="1"/>
  <c r="E95" i="1"/>
  <c r="D41" i="1"/>
  <c r="H364" i="1"/>
  <c r="G357" i="1"/>
  <c r="H357" i="1" s="1"/>
  <c r="D357" i="1"/>
  <c r="E357" i="1" s="1"/>
  <c r="H356" i="1"/>
  <c r="E356" i="1"/>
  <c r="G354" i="1"/>
  <c r="H354" i="1" s="1"/>
  <c r="D354" i="1"/>
  <c r="E354" i="1" s="1"/>
  <c r="G347" i="1"/>
  <c r="H347" i="1" s="1"/>
  <c r="E347" i="1"/>
  <c r="I346" i="1"/>
  <c r="J346" i="1" s="1"/>
  <c r="G346" i="1"/>
  <c r="D346" i="1"/>
  <c r="G345" i="1"/>
  <c r="D345" i="1"/>
  <c r="G343" i="1"/>
  <c r="E343" i="1"/>
  <c r="B337" i="1"/>
  <c r="B336" i="1"/>
  <c r="B335" i="1"/>
  <c r="B334" i="1"/>
  <c r="H333" i="1"/>
  <c r="B333" i="1"/>
  <c r="H310" i="1"/>
  <c r="G303" i="1"/>
  <c r="H303" i="1" s="1"/>
  <c r="D303" i="1"/>
  <c r="E303" i="1" s="1"/>
  <c r="H302" i="1"/>
  <c r="E302" i="1"/>
  <c r="G300" i="1"/>
  <c r="H300" i="1" s="1"/>
  <c r="D300" i="1"/>
  <c r="E300" i="1" s="1"/>
  <c r="G293" i="1"/>
  <c r="H293" i="1" s="1"/>
  <c r="E293" i="1"/>
  <c r="G292" i="1"/>
  <c r="D292" i="1"/>
  <c r="G291" i="1"/>
  <c r="D291" i="1"/>
  <c r="G289" i="1"/>
  <c r="B283" i="1"/>
  <c r="B282" i="1"/>
  <c r="B281" i="1"/>
  <c r="B280" i="1"/>
  <c r="H279" i="1"/>
  <c r="B279" i="1"/>
  <c r="H301" i="1" s="1"/>
  <c r="H258" i="1"/>
  <c r="G251" i="1"/>
  <c r="H251" i="1" s="1"/>
  <c r="D251" i="1"/>
  <c r="E251" i="1" s="1"/>
  <c r="H250" i="1"/>
  <c r="E250" i="1"/>
  <c r="E249" i="1"/>
  <c r="G248" i="1"/>
  <c r="H248" i="1" s="1"/>
  <c r="D248" i="1"/>
  <c r="E248" i="1" s="1"/>
  <c r="H241" i="1"/>
  <c r="E241" i="1"/>
  <c r="I240" i="1"/>
  <c r="J240" i="1" s="1"/>
  <c r="G240" i="1"/>
  <c r="D240" i="1"/>
  <c r="G239" i="1"/>
  <c r="D239" i="1"/>
  <c r="H237" i="1"/>
  <c r="E237" i="1"/>
  <c r="B231" i="1"/>
  <c r="B230" i="1"/>
  <c r="B229" i="1"/>
  <c r="B227" i="1"/>
  <c r="H226" i="1"/>
  <c r="B226" i="1"/>
  <c r="H264" i="1" s="1"/>
  <c r="H203" i="1"/>
  <c r="G196" i="1"/>
  <c r="H196" i="1" s="1"/>
  <c r="D196" i="1"/>
  <c r="E196" i="1" s="1"/>
  <c r="H195" i="1"/>
  <c r="E195" i="1"/>
  <c r="H194" i="1"/>
  <c r="G193" i="1"/>
  <c r="H193" i="1" s="1"/>
  <c r="D193" i="1"/>
  <c r="E193" i="1" s="1"/>
  <c r="G186" i="1"/>
  <c r="H186" i="1" s="1"/>
  <c r="E186" i="1"/>
  <c r="I185" i="1"/>
  <c r="J185" i="1" s="1"/>
  <c r="G185" i="1"/>
  <c r="D185" i="1"/>
  <c r="G184" i="1"/>
  <c r="D184" i="1"/>
  <c r="G182" i="1"/>
  <c r="E182" i="1"/>
  <c r="B176" i="1"/>
  <c r="B175" i="1"/>
  <c r="B174" i="1"/>
  <c r="B173" i="1"/>
  <c r="H172" i="1"/>
  <c r="B172" i="1"/>
  <c r="F153" i="1"/>
  <c r="H151" i="1"/>
  <c r="G144" i="1"/>
  <c r="H144" i="1" s="1"/>
  <c r="D144" i="1"/>
  <c r="E144" i="1" s="1"/>
  <c r="H143" i="1"/>
  <c r="E143" i="1"/>
  <c r="G141" i="1"/>
  <c r="H141" i="1" s="1"/>
  <c r="D141" i="1"/>
  <c r="E141" i="1" s="1"/>
  <c r="G134" i="1"/>
  <c r="H134" i="1" s="1"/>
  <c r="E134" i="1"/>
  <c r="I133" i="1"/>
  <c r="J133" i="1" s="1"/>
  <c r="G133" i="1"/>
  <c r="D133" i="1"/>
  <c r="G132" i="1"/>
  <c r="D132" i="1"/>
  <c r="G130" i="1"/>
  <c r="E130" i="1"/>
  <c r="B124" i="1"/>
  <c r="B123" i="1"/>
  <c r="D138" i="1" s="1"/>
  <c r="E138" i="1" s="1"/>
  <c r="B122" i="1"/>
  <c r="B121" i="1"/>
  <c r="H120" i="1"/>
  <c r="B120" i="1"/>
  <c r="F101" i="1"/>
  <c r="F100" i="1"/>
  <c r="H95" i="1"/>
  <c r="G88" i="1"/>
  <c r="H88" i="1" s="1"/>
  <c r="D88" i="1"/>
  <c r="E88" i="1" s="1"/>
  <c r="H87" i="1"/>
  <c r="E87" i="1"/>
  <c r="G85" i="1"/>
  <c r="H85" i="1" s="1"/>
  <c r="D85" i="1"/>
  <c r="E85" i="1" s="1"/>
  <c r="H83" i="1"/>
  <c r="E83" i="1"/>
  <c r="H82" i="1"/>
  <c r="E82" i="1"/>
  <c r="H79" i="1"/>
  <c r="G78" i="1"/>
  <c r="H78" i="1" s="1"/>
  <c r="E78" i="1"/>
  <c r="D77" i="1"/>
  <c r="G76" i="1"/>
  <c r="D76" i="1"/>
  <c r="G75" i="1"/>
  <c r="H75" i="1" s="1"/>
  <c r="D75" i="1"/>
  <c r="E75" i="1" s="1"/>
  <c r="G74" i="1"/>
  <c r="E74" i="1"/>
  <c r="B68" i="1"/>
  <c r="B67" i="1"/>
  <c r="B66" i="1"/>
  <c r="B65" i="1"/>
  <c r="H64" i="1"/>
  <c r="B64" i="1"/>
  <c r="E86" i="1" s="1"/>
  <c r="A60" i="1"/>
  <c r="A59" i="1"/>
  <c r="A58" i="1"/>
  <c r="A57" i="1"/>
  <c r="A56" i="1"/>
  <c r="A55" i="1"/>
  <c r="A54" i="1"/>
  <c r="A53" i="1"/>
  <c r="A52" i="1"/>
  <c r="A51" i="1"/>
  <c r="A50" i="1"/>
  <c r="A49" i="1"/>
  <c r="A48" i="1"/>
  <c r="A47" i="1"/>
  <c r="A46" i="1"/>
  <c r="A45" i="1"/>
  <c r="A44" i="1"/>
  <c r="A43" i="1"/>
  <c r="A42" i="1"/>
  <c r="A41" i="1"/>
  <c r="G35" i="1"/>
  <c r="D60" i="1"/>
  <c r="G34" i="1"/>
  <c r="D59" i="1"/>
  <c r="G33" i="1"/>
  <c r="D58" i="1"/>
  <c r="G32" i="1"/>
  <c r="D57" i="1"/>
  <c r="G31" i="1"/>
  <c r="D56" i="1"/>
  <c r="G30" i="1"/>
  <c r="D55" i="1"/>
  <c r="G29" i="1"/>
  <c r="D54" i="1"/>
  <c r="G28" i="1"/>
  <c r="D53" i="1"/>
  <c r="G27" i="1"/>
  <c r="D52" i="1"/>
  <c r="G26" i="1"/>
  <c r="D51" i="1"/>
  <c r="G25" i="1"/>
  <c r="D50" i="1"/>
  <c r="G24" i="1"/>
  <c r="D49" i="1"/>
  <c r="G23" i="1"/>
  <c r="D48" i="1"/>
  <c r="G22" i="1"/>
  <c r="D47" i="1"/>
  <c r="G21" i="1"/>
  <c r="B338" i="1" s="1"/>
  <c r="D46" i="1"/>
  <c r="G20" i="1"/>
  <c r="B284" i="1" s="1"/>
  <c r="D45" i="1"/>
  <c r="G19" i="1"/>
  <c r="B232" i="1" s="1"/>
  <c r="D44" i="1"/>
  <c r="G18" i="1"/>
  <c r="B177" i="1" s="1"/>
  <c r="D43" i="1"/>
  <c r="G17" i="1"/>
  <c r="B125" i="1" s="1"/>
  <c r="D42" i="1"/>
  <c r="G16" i="1"/>
  <c r="B69" i="1" s="1"/>
  <c r="D366" i="1" l="1"/>
  <c r="D368" i="1"/>
  <c r="D367" i="1"/>
  <c r="D98" i="1"/>
  <c r="G98" i="1" s="1"/>
  <c r="H98" i="1" s="1"/>
  <c r="D99" i="1"/>
  <c r="G99" i="1" s="1"/>
  <c r="D97" i="1"/>
  <c r="G97" i="1" s="1"/>
  <c r="H97" i="1" s="1"/>
  <c r="D314" i="1"/>
  <c r="G314" i="1" s="1"/>
  <c r="H314" i="1" s="1"/>
  <c r="D312" i="1"/>
  <c r="G312" i="1" s="1"/>
  <c r="H312" i="1" s="1"/>
  <c r="D313" i="1"/>
  <c r="G313" i="1" s="1"/>
  <c r="H313" i="1" s="1"/>
  <c r="D190" i="1"/>
  <c r="E190" i="1" s="1"/>
  <c r="D207" i="1"/>
  <c r="G207" i="1" s="1"/>
  <c r="D206" i="1"/>
  <c r="G206" i="1" s="1"/>
  <c r="D205" i="1"/>
  <c r="G205" i="1" s="1"/>
  <c r="H205" i="1" s="1"/>
  <c r="G238" i="1"/>
  <c r="H238" i="1" s="1"/>
  <c r="D238" i="1"/>
  <c r="G201" i="1"/>
  <c r="H201" i="1" s="1"/>
  <c r="I250" i="1"/>
  <c r="J250" i="1" s="1"/>
  <c r="I237" i="1"/>
  <c r="J237" i="1" s="1"/>
  <c r="I75" i="1"/>
  <c r="J75" i="1" s="1"/>
  <c r="I87" i="1"/>
  <c r="J87" i="1" s="1"/>
  <c r="D81" i="1"/>
  <c r="E81" i="1" s="1"/>
  <c r="I186" i="1"/>
  <c r="J186" i="1" s="1"/>
  <c r="I195" i="1"/>
  <c r="J195" i="1" s="1"/>
  <c r="I143" i="1"/>
  <c r="J143" i="1" s="1"/>
  <c r="I196" i="1"/>
  <c r="J196" i="1" s="1"/>
  <c r="I241" i="1"/>
  <c r="J241" i="1" s="1"/>
  <c r="H274" i="1"/>
  <c r="D101" i="1"/>
  <c r="E101" i="1" s="1"/>
  <c r="G260" i="1"/>
  <c r="H260" i="1" s="1"/>
  <c r="G242" i="1"/>
  <c r="H242" i="1" s="1"/>
  <c r="D242" i="1"/>
  <c r="E242" i="1" s="1"/>
  <c r="I347" i="1"/>
  <c r="J347" i="1" s="1"/>
  <c r="I193" i="1"/>
  <c r="J193" i="1" s="1"/>
  <c r="D296" i="1"/>
  <c r="E296" i="1" s="1"/>
  <c r="I354" i="1"/>
  <c r="J354" i="1" s="1"/>
  <c r="E77" i="1"/>
  <c r="E80" i="1" s="1"/>
  <c r="E258" i="1"/>
  <c r="E310" i="1"/>
  <c r="I302" i="1"/>
  <c r="J302" i="1" s="1"/>
  <c r="D131" i="1"/>
  <c r="D191" i="1"/>
  <c r="E191" i="1" s="1"/>
  <c r="D254" i="1"/>
  <c r="E254" i="1" s="1"/>
  <c r="D297" i="1"/>
  <c r="E297" i="1" s="1"/>
  <c r="I141" i="1"/>
  <c r="J141" i="1" s="1"/>
  <c r="G202" i="1"/>
  <c r="H202" i="1" s="1"/>
  <c r="E364" i="1"/>
  <c r="I364" i="1" s="1"/>
  <c r="J364" i="1" s="1"/>
  <c r="G190" i="1"/>
  <c r="H190" i="1" s="1"/>
  <c r="I190" i="1" s="1"/>
  <c r="J190" i="1" s="1"/>
  <c r="G253" i="1"/>
  <c r="H253" i="1" s="1"/>
  <c r="D298" i="1"/>
  <c r="E298" i="1" s="1"/>
  <c r="I303" i="1"/>
  <c r="J303" i="1" s="1"/>
  <c r="D135" i="1"/>
  <c r="E135" i="1" s="1"/>
  <c r="D183" i="1"/>
  <c r="G191" i="1"/>
  <c r="H191" i="1" s="1"/>
  <c r="D244" i="1"/>
  <c r="E244" i="1" s="1"/>
  <c r="G254" i="1"/>
  <c r="H254" i="1" s="1"/>
  <c r="G297" i="1"/>
  <c r="H297" i="1" s="1"/>
  <c r="E97" i="1"/>
  <c r="D247" i="1"/>
  <c r="E247" i="1" s="1"/>
  <c r="D256" i="1"/>
  <c r="E256" i="1" s="1"/>
  <c r="E151" i="1"/>
  <c r="I151" i="1" s="1"/>
  <c r="J151" i="1" s="1"/>
  <c r="D90" i="1"/>
  <c r="G135" i="1"/>
  <c r="H135" i="1" s="1"/>
  <c r="D198" i="1"/>
  <c r="D245" i="1"/>
  <c r="E245" i="1" s="1"/>
  <c r="D290" i="1"/>
  <c r="E290" i="1" s="1"/>
  <c r="G298" i="1"/>
  <c r="H298" i="1" s="1"/>
  <c r="I85" i="1"/>
  <c r="J85" i="1" s="1"/>
  <c r="I300" i="1"/>
  <c r="J300" i="1" s="1"/>
  <c r="D91" i="1"/>
  <c r="D187" i="1"/>
  <c r="E187" i="1" s="1"/>
  <c r="D246" i="1"/>
  <c r="E246" i="1" s="1"/>
  <c r="G290" i="1"/>
  <c r="D305" i="1"/>
  <c r="D146" i="1"/>
  <c r="D147" i="1"/>
  <c r="G138" i="1"/>
  <c r="H138" i="1" s="1"/>
  <c r="I138" i="1" s="1"/>
  <c r="J138" i="1" s="1"/>
  <c r="G187" i="1"/>
  <c r="H187" i="1" s="1"/>
  <c r="G245" i="1"/>
  <c r="H245" i="1" s="1"/>
  <c r="D294" i="1"/>
  <c r="E294" i="1" s="1"/>
  <c r="D306" i="1"/>
  <c r="I144" i="1"/>
  <c r="J144" i="1" s="1"/>
  <c r="G192" i="1"/>
  <c r="H192" i="1" s="1"/>
  <c r="D201" i="1"/>
  <c r="E201" i="1" s="1"/>
  <c r="I248" i="1"/>
  <c r="J248" i="1" s="1"/>
  <c r="I251" i="1"/>
  <c r="J251" i="1" s="1"/>
  <c r="D257" i="1"/>
  <c r="E274" i="1"/>
  <c r="D139" i="1"/>
  <c r="E139" i="1" s="1"/>
  <c r="D189" i="1"/>
  <c r="E189" i="1" s="1"/>
  <c r="G246" i="1"/>
  <c r="H246" i="1" s="1"/>
  <c r="G294" i="1"/>
  <c r="H294" i="1" s="1"/>
  <c r="E203" i="1"/>
  <c r="I203" i="1" s="1"/>
  <c r="J203" i="1" s="1"/>
  <c r="G139" i="1"/>
  <c r="H139" i="1" s="1"/>
  <c r="E238" i="1"/>
  <c r="D253" i="1"/>
  <c r="E253" i="1" s="1"/>
  <c r="E368" i="1"/>
  <c r="D351" i="1"/>
  <c r="E351" i="1" s="1"/>
  <c r="G353" i="1"/>
  <c r="H353" i="1" s="1"/>
  <c r="D352" i="1"/>
  <c r="E352" i="1" s="1"/>
  <c r="E366" i="1"/>
  <c r="G351" i="1"/>
  <c r="H351" i="1" s="1"/>
  <c r="D344" i="1"/>
  <c r="E344" i="1" s="1"/>
  <c r="G352" i="1"/>
  <c r="H352" i="1" s="1"/>
  <c r="D348" i="1"/>
  <c r="E348" i="1" s="1"/>
  <c r="D359" i="1"/>
  <c r="E367" i="1"/>
  <c r="G344" i="1"/>
  <c r="G348" i="1"/>
  <c r="H348" i="1" s="1"/>
  <c r="D350" i="1"/>
  <c r="E350" i="1" s="1"/>
  <c r="E99" i="1"/>
  <c r="G81" i="1"/>
  <c r="H81" i="1" s="1"/>
  <c r="H99" i="1"/>
  <c r="E98" i="1"/>
  <c r="I83" i="1"/>
  <c r="J83" i="1" s="1"/>
  <c r="I79" i="1"/>
  <c r="J79" i="1" s="1"/>
  <c r="I134" i="1"/>
  <c r="J134" i="1" s="1"/>
  <c r="E257" i="1"/>
  <c r="I258" i="1"/>
  <c r="J258" i="1" s="1"/>
  <c r="E194" i="1"/>
  <c r="I194" i="1" s="1"/>
  <c r="J194" i="1" s="1"/>
  <c r="I95" i="1"/>
  <c r="J95" i="1" s="1"/>
  <c r="I78" i="1"/>
  <c r="J78" i="1" s="1"/>
  <c r="G309" i="1"/>
  <c r="H309" i="1" s="1"/>
  <c r="I88" i="1"/>
  <c r="J88" i="1" s="1"/>
  <c r="H157" i="1"/>
  <c r="H162" i="1"/>
  <c r="E157" i="1"/>
  <c r="H142" i="1"/>
  <c r="H167" i="1"/>
  <c r="E142" i="1"/>
  <c r="E162" i="1"/>
  <c r="I310" i="1"/>
  <c r="J310" i="1" s="1"/>
  <c r="I357" i="1"/>
  <c r="J357" i="1" s="1"/>
  <c r="G189" i="1"/>
  <c r="H189" i="1" s="1"/>
  <c r="I82" i="1"/>
  <c r="J82" i="1" s="1"/>
  <c r="G153" i="1"/>
  <c r="H153" i="1" s="1"/>
  <c r="G140" i="1"/>
  <c r="H140" i="1" s="1"/>
  <c r="D140" i="1"/>
  <c r="E140" i="1" s="1"/>
  <c r="D153" i="1"/>
  <c r="E153" i="1" s="1"/>
  <c r="G137" i="1"/>
  <c r="H137" i="1" s="1"/>
  <c r="G150" i="1"/>
  <c r="H150" i="1" s="1"/>
  <c r="G149" i="1"/>
  <c r="H149" i="1" s="1"/>
  <c r="D137" i="1"/>
  <c r="E137" i="1" s="1"/>
  <c r="D149" i="1"/>
  <c r="E149" i="1" s="1"/>
  <c r="G308" i="1"/>
  <c r="H308" i="1" s="1"/>
  <c r="G94" i="1"/>
  <c r="H94" i="1" s="1"/>
  <c r="D150" i="1"/>
  <c r="E150" i="1" s="1"/>
  <c r="D84" i="1"/>
  <c r="E84" i="1" s="1"/>
  <c r="D100" i="1"/>
  <c r="E100" i="1" s="1"/>
  <c r="H207" i="1"/>
  <c r="H206" i="1"/>
  <c r="E207" i="1"/>
  <c r="D192" i="1"/>
  <c r="E192" i="1" s="1"/>
  <c r="I356" i="1"/>
  <c r="J356" i="1" s="1"/>
  <c r="G84" i="1"/>
  <c r="H84" i="1" s="1"/>
  <c r="G101" i="1"/>
  <c r="H101" i="1" s="1"/>
  <c r="D93" i="1"/>
  <c r="E93" i="1" s="1"/>
  <c r="D94" i="1"/>
  <c r="G100" i="1"/>
  <c r="H100" i="1" s="1"/>
  <c r="I293" i="1"/>
  <c r="J293" i="1" s="1"/>
  <c r="H86" i="1"/>
  <c r="I86" i="1" s="1"/>
  <c r="J86" i="1" s="1"/>
  <c r="G93" i="1"/>
  <c r="H93" i="1" s="1"/>
  <c r="D202" i="1"/>
  <c r="E202" i="1" s="1"/>
  <c r="D309" i="1"/>
  <c r="E309" i="1" s="1"/>
  <c r="D308" i="1"/>
  <c r="E308" i="1" s="1"/>
  <c r="G299" i="1"/>
  <c r="H299" i="1" s="1"/>
  <c r="E314" i="1"/>
  <c r="E312" i="1"/>
  <c r="D299" i="1"/>
  <c r="E299" i="1" s="1"/>
  <c r="G296" i="1"/>
  <c r="H296" i="1" s="1"/>
  <c r="E269" i="1"/>
  <c r="D362" i="1"/>
  <c r="E362" i="1" s="1"/>
  <c r="D363" i="1"/>
  <c r="E363" i="1" s="1"/>
  <c r="H249" i="1"/>
  <c r="I249" i="1" s="1"/>
  <c r="J249" i="1" s="1"/>
  <c r="G256" i="1"/>
  <c r="H256" i="1" s="1"/>
  <c r="G257" i="1"/>
  <c r="H257" i="1" s="1"/>
  <c r="E264" i="1"/>
  <c r="H269" i="1"/>
  <c r="E355" i="1"/>
  <c r="H366" i="1"/>
  <c r="H367" i="1"/>
  <c r="H368" i="1"/>
  <c r="G244" i="1"/>
  <c r="H244" i="1" s="1"/>
  <c r="D260" i="1"/>
  <c r="E260" i="1" s="1"/>
  <c r="H355" i="1"/>
  <c r="G362" i="1"/>
  <c r="H362" i="1" s="1"/>
  <c r="G363" i="1"/>
  <c r="H363" i="1" s="1"/>
  <c r="G350" i="1"/>
  <c r="H350" i="1" s="1"/>
  <c r="G247" i="1"/>
  <c r="H247" i="1" s="1"/>
  <c r="E301" i="1"/>
  <c r="I301" i="1" s="1"/>
  <c r="J301" i="1" s="1"/>
  <c r="D353" i="1"/>
  <c r="E353" i="1" s="1"/>
  <c r="E313" i="1" l="1"/>
  <c r="I313" i="1" s="1"/>
  <c r="J313" i="1" s="1"/>
  <c r="E205" i="1"/>
  <c r="I205" i="1" s="1"/>
  <c r="J205" i="1" s="1"/>
  <c r="E206" i="1"/>
  <c r="I253" i="1"/>
  <c r="J253" i="1" s="1"/>
  <c r="K253" i="1" s="1"/>
  <c r="I238" i="1"/>
  <c r="J238" i="1" s="1"/>
  <c r="I201" i="1"/>
  <c r="J201" i="1" s="1"/>
  <c r="I187" i="1"/>
  <c r="J187" i="1" s="1"/>
  <c r="E295" i="1"/>
  <c r="E304" i="1" s="1"/>
  <c r="I245" i="1"/>
  <c r="J245" i="1" s="1"/>
  <c r="I254" i="1"/>
  <c r="J254" i="1" s="1"/>
  <c r="K254" i="1" s="1"/>
  <c r="I191" i="1"/>
  <c r="J191" i="1" s="1"/>
  <c r="I246" i="1"/>
  <c r="J246" i="1" s="1"/>
  <c r="E243" i="1"/>
  <c r="E252" i="1" s="1"/>
  <c r="I242" i="1"/>
  <c r="J242" i="1" s="1"/>
  <c r="I297" i="1"/>
  <c r="J297" i="1" s="1"/>
  <c r="H243" i="1"/>
  <c r="H252" i="1" s="1"/>
  <c r="H255" i="1" s="1"/>
  <c r="I294" i="1"/>
  <c r="J294" i="1" s="1"/>
  <c r="I192" i="1"/>
  <c r="J192" i="1" s="1"/>
  <c r="I247" i="1"/>
  <c r="J247" i="1" s="1"/>
  <c r="I352" i="1"/>
  <c r="J352" i="1" s="1"/>
  <c r="I139" i="1"/>
  <c r="J139" i="1" s="1"/>
  <c r="I135" i="1"/>
  <c r="J135" i="1" s="1"/>
  <c r="I298" i="1"/>
  <c r="J298" i="1" s="1"/>
  <c r="I189" i="1"/>
  <c r="J189" i="1" s="1"/>
  <c r="G147" i="1"/>
  <c r="H147" i="1" s="1"/>
  <c r="E147" i="1"/>
  <c r="G91" i="1"/>
  <c r="H91" i="1" s="1"/>
  <c r="E91" i="1"/>
  <c r="G90" i="1"/>
  <c r="H90" i="1" s="1"/>
  <c r="E90" i="1"/>
  <c r="G146" i="1"/>
  <c r="H146" i="1" s="1"/>
  <c r="E146" i="1"/>
  <c r="I351" i="1"/>
  <c r="J351" i="1" s="1"/>
  <c r="G306" i="1"/>
  <c r="H306" i="1" s="1"/>
  <c r="E306" i="1"/>
  <c r="I299" i="1"/>
  <c r="J299" i="1" s="1"/>
  <c r="G305" i="1"/>
  <c r="H305" i="1" s="1"/>
  <c r="E305" i="1"/>
  <c r="E183" i="1"/>
  <c r="E188" i="1" s="1"/>
  <c r="E197" i="1" s="1"/>
  <c r="G183" i="1"/>
  <c r="E131" i="1"/>
  <c r="E136" i="1" s="1"/>
  <c r="E145" i="1" s="1"/>
  <c r="G131" i="1"/>
  <c r="I99" i="1"/>
  <c r="J99" i="1" s="1"/>
  <c r="I97" i="1"/>
  <c r="J97" i="1" s="1"/>
  <c r="G198" i="1"/>
  <c r="H198" i="1" s="1"/>
  <c r="D199" i="1"/>
  <c r="E198" i="1"/>
  <c r="I98" i="1"/>
  <c r="J98" i="1" s="1"/>
  <c r="I314" i="1"/>
  <c r="J314" i="1" s="1"/>
  <c r="I353" i="1"/>
  <c r="J353" i="1" s="1"/>
  <c r="I348" i="1"/>
  <c r="J348" i="1" s="1"/>
  <c r="I366" i="1"/>
  <c r="J366" i="1" s="1"/>
  <c r="E349" i="1"/>
  <c r="E358" i="1" s="1"/>
  <c r="G359" i="1"/>
  <c r="H359" i="1" s="1"/>
  <c r="D360" i="1"/>
  <c r="E359" i="1"/>
  <c r="I367" i="1"/>
  <c r="J367" i="1" s="1"/>
  <c r="I350" i="1"/>
  <c r="J350" i="1" s="1"/>
  <c r="I368" i="1"/>
  <c r="J368" i="1" s="1"/>
  <c r="I81" i="1"/>
  <c r="J81" i="1" s="1"/>
  <c r="I202" i="1"/>
  <c r="J202" i="1" s="1"/>
  <c r="I257" i="1"/>
  <c r="J257" i="1" s="1"/>
  <c r="I264" i="1"/>
  <c r="I157" i="1"/>
  <c r="I355" i="1"/>
  <c r="J355" i="1" s="1"/>
  <c r="I363" i="1"/>
  <c r="J363" i="1" s="1"/>
  <c r="I309" i="1"/>
  <c r="J309" i="1" s="1"/>
  <c r="I101" i="1"/>
  <c r="J101" i="1" s="1"/>
  <c r="I362" i="1"/>
  <c r="J362" i="1" s="1"/>
  <c r="I256" i="1"/>
  <c r="J256" i="1" s="1"/>
  <c r="I296" i="1"/>
  <c r="J296" i="1" s="1"/>
  <c r="I100" i="1"/>
  <c r="J100" i="1" s="1"/>
  <c r="I84" i="1"/>
  <c r="J84" i="1" s="1"/>
  <c r="E89" i="1"/>
  <c r="I308" i="1"/>
  <c r="J308" i="1" s="1"/>
  <c r="I93" i="1"/>
  <c r="J93" i="1" s="1"/>
  <c r="I260" i="1"/>
  <c r="J260" i="1" s="1"/>
  <c r="I149" i="1"/>
  <c r="J149" i="1" s="1"/>
  <c r="I206" i="1"/>
  <c r="J206" i="1" s="1"/>
  <c r="I150" i="1"/>
  <c r="J150" i="1" s="1"/>
  <c r="I140" i="1"/>
  <c r="J140" i="1" s="1"/>
  <c r="I142" i="1"/>
  <c r="J142" i="1" s="1"/>
  <c r="I244" i="1"/>
  <c r="J244" i="1" s="1"/>
  <c r="I312" i="1"/>
  <c r="J312" i="1" s="1"/>
  <c r="I207" i="1"/>
  <c r="J207" i="1" s="1"/>
  <c r="I137" i="1"/>
  <c r="J137" i="1" s="1"/>
  <c r="I153" i="1"/>
  <c r="J153" i="1" s="1"/>
  <c r="I243" i="1" l="1"/>
  <c r="J243" i="1" s="1"/>
  <c r="F44" i="1" s="1"/>
  <c r="G199" i="1"/>
  <c r="H199" i="1" s="1"/>
  <c r="E199" i="1"/>
  <c r="I198" i="1"/>
  <c r="J198" i="1" s="1"/>
  <c r="K198" i="1" s="1"/>
  <c r="I305" i="1"/>
  <c r="J305" i="1" s="1"/>
  <c r="K305" i="1" s="1"/>
  <c r="I90" i="1"/>
  <c r="J90" i="1" s="1"/>
  <c r="K90" i="1" s="1"/>
  <c r="I91" i="1"/>
  <c r="J91" i="1" s="1"/>
  <c r="K91" i="1" s="1"/>
  <c r="I146" i="1"/>
  <c r="I306" i="1"/>
  <c r="J306" i="1" s="1"/>
  <c r="K306" i="1" s="1"/>
  <c r="I147" i="1"/>
  <c r="J147" i="1" s="1"/>
  <c r="K147" i="1" s="1"/>
  <c r="G360" i="1"/>
  <c r="H360" i="1" s="1"/>
  <c r="E360" i="1"/>
  <c r="I359" i="1"/>
  <c r="J359" i="1" s="1"/>
  <c r="K359" i="1" s="1"/>
  <c r="E361" i="1"/>
  <c r="E375" i="1" s="1"/>
  <c r="H267" i="1"/>
  <c r="H268" i="1" s="1"/>
  <c r="H270" i="1" s="1"/>
  <c r="H272" i="1"/>
  <c r="H273" i="1" s="1"/>
  <c r="H275" i="1" s="1"/>
  <c r="I252" i="1"/>
  <c r="J252" i="1" s="1"/>
  <c r="H44" i="1" s="1"/>
  <c r="E255" i="1"/>
  <c r="E262" i="1" s="1"/>
  <c r="E263" i="1" s="1"/>
  <c r="E92" i="1"/>
  <c r="E200" i="1"/>
  <c r="E148" i="1"/>
  <c r="E165" i="1" s="1"/>
  <c r="H262" i="1"/>
  <c r="E307" i="1"/>
  <c r="E44" i="1" l="1"/>
  <c r="J146" i="1"/>
  <c r="K146" i="1" s="1"/>
  <c r="E380" i="1"/>
  <c r="E370" i="1"/>
  <c r="E372" i="1" s="1"/>
  <c r="I199" i="1"/>
  <c r="J199" i="1" s="1"/>
  <c r="K199" i="1" s="1"/>
  <c r="E376" i="1"/>
  <c r="E378" i="1" s="1"/>
  <c r="E377" i="1"/>
  <c r="G44" i="1"/>
  <c r="I360" i="1"/>
  <c r="J360" i="1" s="1"/>
  <c r="K360" i="1" s="1"/>
  <c r="E326" i="1"/>
  <c r="E321" i="1"/>
  <c r="E316" i="1"/>
  <c r="E265" i="1"/>
  <c r="I255" i="1"/>
  <c r="E272" i="1"/>
  <c r="E273" i="1" s="1"/>
  <c r="E275" i="1" s="1"/>
  <c r="E267" i="1"/>
  <c r="E268" i="1" s="1"/>
  <c r="E270" i="1" s="1"/>
  <c r="I270" i="1" s="1"/>
  <c r="J270" i="1" s="1"/>
  <c r="E209" i="1"/>
  <c r="E219" i="1"/>
  <c r="E214" i="1"/>
  <c r="E155" i="1"/>
  <c r="E160" i="1"/>
  <c r="E161" i="1" s="1"/>
  <c r="E382" i="1"/>
  <c r="E381" i="1"/>
  <c r="E383" i="1" s="1"/>
  <c r="I262" i="1"/>
  <c r="J262" i="1" s="1"/>
  <c r="H263" i="1"/>
  <c r="I263" i="1" s="1"/>
  <c r="J263" i="1" s="1"/>
  <c r="E371" i="1" l="1"/>
  <c r="E373" i="1" s="1"/>
  <c r="I275" i="1"/>
  <c r="K44" i="1" s="1"/>
  <c r="J255" i="1"/>
  <c r="J44" i="1" s="1"/>
  <c r="I44" i="1"/>
  <c r="E328" i="1"/>
  <c r="E327" i="1"/>
  <c r="E329" i="1" s="1"/>
  <c r="E323" i="1"/>
  <c r="E322" i="1"/>
  <c r="E324" i="1" s="1"/>
  <c r="E317" i="1"/>
  <c r="E318" i="1"/>
  <c r="I273" i="1"/>
  <c r="J273" i="1" s="1"/>
  <c r="I267" i="1"/>
  <c r="J267" i="1" s="1"/>
  <c r="I268" i="1"/>
  <c r="J268" i="1" s="1"/>
  <c r="I272" i="1"/>
  <c r="J272" i="1" s="1"/>
  <c r="E215" i="1"/>
  <c r="E217" i="1" s="1"/>
  <c r="E216" i="1"/>
  <c r="E221" i="1"/>
  <c r="E220" i="1"/>
  <c r="E222" i="1" s="1"/>
  <c r="E211" i="1"/>
  <c r="E210" i="1"/>
  <c r="E163" i="1"/>
  <c r="E156" i="1"/>
  <c r="E158" i="1" s="1"/>
  <c r="E166" i="1"/>
  <c r="E168" i="1" s="1"/>
  <c r="H265" i="1"/>
  <c r="I265" i="1" s="1"/>
  <c r="J265" i="1" s="1"/>
  <c r="J275" i="1" l="1"/>
  <c r="L44" i="1" s="1"/>
  <c r="E319" i="1"/>
  <c r="E212" i="1"/>
  <c r="E94" i="1" l="1"/>
  <c r="I94" i="1" l="1"/>
  <c r="J94" i="1" s="1"/>
  <c r="E103" i="1"/>
  <c r="E105" i="1" s="1"/>
  <c r="E113" i="1"/>
  <c r="E115" i="1" s="1"/>
  <c r="E108" i="1"/>
  <c r="E104" i="1" l="1"/>
  <c r="E106" i="1" s="1"/>
  <c r="E109" i="1"/>
  <c r="E110" i="1"/>
  <c r="E114" i="1"/>
  <c r="E116" i="1" s="1"/>
  <c r="E111" i="1" l="1"/>
  <c r="F51" i="1" l="1"/>
  <c r="I51" i="1"/>
  <c r="L51" i="1"/>
  <c r="H51" i="1"/>
  <c r="E51" i="1"/>
  <c r="J51" i="1"/>
  <c r="K51" i="1"/>
  <c r="E60" i="1"/>
  <c r="I60" i="1"/>
  <c r="F60" i="1"/>
  <c r="K60" i="1"/>
  <c r="H60" i="1"/>
  <c r="L60" i="1"/>
  <c r="J60" i="1"/>
  <c r="I59" i="1"/>
  <c r="H59" i="1"/>
  <c r="J59" i="1"/>
  <c r="L59" i="1"/>
  <c r="K59" i="1"/>
  <c r="F59" i="1"/>
  <c r="E59" i="1"/>
  <c r="H57" i="1"/>
  <c r="I57" i="1"/>
  <c r="K57" i="1"/>
  <c r="L57" i="1"/>
  <c r="E57" i="1"/>
  <c r="J57" i="1"/>
  <c r="F57" i="1"/>
  <c r="E56" i="1"/>
  <c r="K56" i="1"/>
  <c r="H56" i="1"/>
  <c r="F56" i="1"/>
  <c r="L56" i="1"/>
  <c r="I56" i="1"/>
  <c r="J56" i="1"/>
  <c r="H55" i="1"/>
  <c r="I55" i="1"/>
  <c r="J55" i="1"/>
  <c r="E55" i="1"/>
  <c r="K55" i="1"/>
  <c r="F55" i="1"/>
  <c r="L55" i="1"/>
  <c r="J54" i="1"/>
  <c r="F54" i="1"/>
  <c r="H54" i="1"/>
  <c r="I54" i="1"/>
  <c r="K54" i="1"/>
  <c r="E54" i="1"/>
  <c r="L54" i="1"/>
  <c r="L53" i="1"/>
  <c r="H53" i="1"/>
  <c r="I53" i="1"/>
  <c r="J53" i="1"/>
  <c r="K53" i="1"/>
  <c r="F53" i="1"/>
  <c r="E53" i="1"/>
  <c r="K52" i="1"/>
  <c r="H52" i="1"/>
  <c r="F52" i="1"/>
  <c r="J52" i="1"/>
  <c r="I52" i="1"/>
  <c r="L52" i="1"/>
  <c r="E52" i="1"/>
  <c r="K50" i="1"/>
  <c r="E50" i="1"/>
  <c r="L50" i="1"/>
  <c r="F50" i="1"/>
  <c r="I50" i="1"/>
  <c r="H50" i="1"/>
  <c r="J50" i="1"/>
  <c r="L49" i="1"/>
  <c r="J49" i="1"/>
  <c r="I49" i="1"/>
  <c r="E49" i="1"/>
  <c r="K49" i="1"/>
  <c r="F49" i="1"/>
  <c r="H49" i="1"/>
  <c r="F48" i="1"/>
  <c r="H48" i="1"/>
  <c r="K48" i="1"/>
  <c r="J48" i="1"/>
  <c r="L48" i="1"/>
  <c r="I48" i="1"/>
  <c r="E48" i="1"/>
  <c r="H47" i="1"/>
  <c r="E47" i="1"/>
  <c r="L47" i="1"/>
  <c r="I47" i="1"/>
  <c r="K47" i="1"/>
  <c r="F47" i="1"/>
  <c r="J47" i="1"/>
  <c r="F58" i="1"/>
  <c r="I58" i="1"/>
  <c r="K58" i="1"/>
  <c r="L58" i="1"/>
  <c r="H58" i="1"/>
  <c r="J58" i="1"/>
  <c r="E58" i="1"/>
  <c r="H183" i="1" l="1"/>
  <c r="I183" i="1" s="1"/>
  <c r="J183" i="1" s="1"/>
  <c r="H344" i="1"/>
  <c r="I344" i="1" s="1"/>
  <c r="J344" i="1" s="1"/>
  <c r="H343" i="1"/>
  <c r="H182" i="1"/>
  <c r="I182" i="1" l="1"/>
  <c r="J182" i="1" s="1"/>
  <c r="H188" i="1"/>
  <c r="I343" i="1"/>
  <c r="J343" i="1" s="1"/>
  <c r="H349" i="1"/>
  <c r="I292" i="1"/>
  <c r="J292" i="1" s="1"/>
  <c r="H197" i="1" l="1"/>
  <c r="I188" i="1"/>
  <c r="I349" i="1"/>
  <c r="H358" i="1"/>
  <c r="I358" i="1" l="1"/>
  <c r="H361" i="1"/>
  <c r="H160" i="1"/>
  <c r="J349" i="1"/>
  <c r="F46" i="1" s="1"/>
  <c r="E46" i="1"/>
  <c r="J188" i="1"/>
  <c r="F43" i="1" s="1"/>
  <c r="E43" i="1"/>
  <c r="I197" i="1"/>
  <c r="H200" i="1"/>
  <c r="I160" i="1" l="1"/>
  <c r="J160" i="1" s="1"/>
  <c r="H161" i="1"/>
  <c r="I161" i="1" s="1"/>
  <c r="J161" i="1" s="1"/>
  <c r="H380" i="1"/>
  <c r="I361" i="1"/>
  <c r="H370" i="1"/>
  <c r="H375" i="1"/>
  <c r="H209" i="1"/>
  <c r="H219" i="1"/>
  <c r="I200" i="1"/>
  <c r="H214" i="1"/>
  <c r="H326" i="1"/>
  <c r="H321" i="1"/>
  <c r="J197" i="1"/>
  <c r="H43" i="1" s="1"/>
  <c r="G43" i="1"/>
  <c r="G46" i="1"/>
  <c r="J358" i="1"/>
  <c r="H46" i="1" s="1"/>
  <c r="H163" i="1" l="1"/>
  <c r="I163" i="1" s="1"/>
  <c r="J163" i="1" s="1"/>
  <c r="I375" i="1"/>
  <c r="J375" i="1" s="1"/>
  <c r="H377" i="1"/>
  <c r="H376" i="1"/>
  <c r="I376" i="1" s="1"/>
  <c r="J376" i="1" s="1"/>
  <c r="I209" i="1"/>
  <c r="J209" i="1" s="1"/>
  <c r="H211" i="1"/>
  <c r="I211" i="1" s="1"/>
  <c r="H210" i="1"/>
  <c r="I210" i="1" s="1"/>
  <c r="J210" i="1" s="1"/>
  <c r="I380" i="1"/>
  <c r="J380" i="1" s="1"/>
  <c r="H382" i="1"/>
  <c r="H381" i="1"/>
  <c r="I381" i="1" s="1"/>
  <c r="J381" i="1" s="1"/>
  <c r="I326" i="1"/>
  <c r="J326" i="1" s="1"/>
  <c r="H328" i="1"/>
  <c r="H327" i="1"/>
  <c r="I327" i="1" s="1"/>
  <c r="J327" i="1" s="1"/>
  <c r="H371" i="1"/>
  <c r="I371" i="1" s="1"/>
  <c r="J371" i="1" s="1"/>
  <c r="H372" i="1"/>
  <c r="I372" i="1" s="1"/>
  <c r="I370" i="1"/>
  <c r="J370" i="1" s="1"/>
  <c r="I214" i="1"/>
  <c r="J214" i="1" s="1"/>
  <c r="H215" i="1"/>
  <c r="I215" i="1" s="1"/>
  <c r="J215" i="1" s="1"/>
  <c r="H216" i="1"/>
  <c r="H322" i="1"/>
  <c r="I322" i="1" s="1"/>
  <c r="J322" i="1" s="1"/>
  <c r="I321" i="1"/>
  <c r="J321" i="1" s="1"/>
  <c r="H323" i="1"/>
  <c r="J361" i="1"/>
  <c r="J46" i="1" s="1"/>
  <c r="I46" i="1"/>
  <c r="I43" i="1"/>
  <c r="J200" i="1"/>
  <c r="J43" i="1" s="1"/>
  <c r="H220" i="1"/>
  <c r="I220" i="1" s="1"/>
  <c r="J220" i="1" s="1"/>
  <c r="I219" i="1"/>
  <c r="J219" i="1" s="1"/>
  <c r="H221" i="1"/>
  <c r="H383" i="1" l="1"/>
  <c r="I383" i="1" s="1"/>
  <c r="J383" i="1" s="1"/>
  <c r="H329" i="1"/>
  <c r="I329" i="1" s="1"/>
  <c r="J329" i="1" s="1"/>
  <c r="H378" i="1"/>
  <c r="I378" i="1" s="1"/>
  <c r="J378" i="1" s="1"/>
  <c r="H222" i="1"/>
  <c r="I222" i="1" s="1"/>
  <c r="J222" i="1" s="1"/>
  <c r="H217" i="1"/>
  <c r="I217" i="1" s="1"/>
  <c r="J217" i="1" s="1"/>
  <c r="H212" i="1"/>
  <c r="H324" i="1"/>
  <c r="I324" i="1" s="1"/>
  <c r="J324" i="1" s="1"/>
  <c r="H373" i="1"/>
  <c r="I373" i="1" l="1"/>
  <c r="J373" i="1" s="1"/>
  <c r="L46" i="1" s="1"/>
  <c r="I212" i="1"/>
  <c r="K43" i="1" s="1"/>
  <c r="K46" i="1" l="1"/>
  <c r="J212" i="1"/>
  <c r="L43" i="1" s="1"/>
  <c r="F74" i="1" l="1"/>
  <c r="H77" i="1" l="1"/>
  <c r="I77" i="1" s="1"/>
  <c r="J77" i="1" s="1"/>
  <c r="H74" i="1"/>
  <c r="I74" i="1" l="1"/>
  <c r="J74" i="1" s="1"/>
  <c r="H80" i="1"/>
  <c r="H89" i="1" l="1"/>
  <c r="I80" i="1"/>
  <c r="E41" i="1" l="1"/>
  <c r="J80" i="1"/>
  <c r="F41" i="1" s="1"/>
  <c r="I89" i="1"/>
  <c r="H92" i="1"/>
  <c r="I92" i="1" l="1"/>
  <c r="H113" i="1"/>
  <c r="H103" i="1"/>
  <c r="H108" i="1"/>
  <c r="J89" i="1"/>
  <c r="H41" i="1" s="1"/>
  <c r="G41" i="1"/>
  <c r="H109" i="1" l="1"/>
  <c r="I109" i="1" s="1"/>
  <c r="J109" i="1" s="1"/>
  <c r="H110" i="1"/>
  <c r="I108" i="1"/>
  <c r="J108" i="1" s="1"/>
  <c r="I103" i="1"/>
  <c r="J103" i="1" s="1"/>
  <c r="H105" i="1"/>
  <c r="I105" i="1" s="1"/>
  <c r="H104" i="1"/>
  <c r="I104" i="1" s="1"/>
  <c r="J104" i="1" s="1"/>
  <c r="H115" i="1"/>
  <c r="H114" i="1"/>
  <c r="I114" i="1" s="1"/>
  <c r="J114" i="1" s="1"/>
  <c r="I113" i="1"/>
  <c r="J113" i="1" s="1"/>
  <c r="J92" i="1"/>
  <c r="J41" i="1" s="1"/>
  <c r="I41" i="1"/>
  <c r="F130" i="1"/>
  <c r="H130" i="1" s="1"/>
  <c r="F131" i="1"/>
  <c r="H131" i="1" s="1"/>
  <c r="I131" i="1" s="1"/>
  <c r="J131" i="1" s="1"/>
  <c r="H116" i="1" l="1"/>
  <c r="I116" i="1" s="1"/>
  <c r="J116" i="1" s="1"/>
  <c r="H111" i="1"/>
  <c r="I111" i="1" s="1"/>
  <c r="J111" i="1" s="1"/>
  <c r="I130" i="1"/>
  <c r="J130" i="1" s="1"/>
  <c r="H136" i="1"/>
  <c r="H106" i="1"/>
  <c r="F290" i="1"/>
  <c r="H290" i="1" s="1"/>
  <c r="I290" i="1" s="1"/>
  <c r="J290" i="1" s="1"/>
  <c r="F289" i="1"/>
  <c r="H289" i="1" s="1"/>
  <c r="I106" i="1" l="1"/>
  <c r="I289" i="1"/>
  <c r="J289" i="1" s="1"/>
  <c r="H295" i="1"/>
  <c r="J106" i="1"/>
  <c r="L41" i="1" s="1"/>
  <c r="K41" i="1"/>
  <c r="I136" i="1"/>
  <c r="H145" i="1"/>
  <c r="H148" i="1" l="1"/>
  <c r="I145" i="1"/>
  <c r="J136" i="1"/>
  <c r="F42" i="1" s="1"/>
  <c r="E42" i="1"/>
  <c r="H304" i="1"/>
  <c r="I295" i="1"/>
  <c r="J295" i="1" l="1"/>
  <c r="F45" i="1" s="1"/>
  <c r="E45" i="1"/>
  <c r="H307" i="1"/>
  <c r="I304" i="1"/>
  <c r="J145" i="1"/>
  <c r="H42" i="1" s="1"/>
  <c r="G42" i="1"/>
  <c r="H155" i="1"/>
  <c r="I148" i="1"/>
  <c r="H165" i="1"/>
  <c r="H166" i="1" l="1"/>
  <c r="I166" i="1" s="1"/>
  <c r="J166" i="1" s="1"/>
  <c r="I165" i="1"/>
  <c r="J165" i="1" s="1"/>
  <c r="I42" i="1"/>
  <c r="J148" i="1"/>
  <c r="J42" i="1" s="1"/>
  <c r="H156" i="1"/>
  <c r="I156" i="1" s="1"/>
  <c r="J156" i="1" s="1"/>
  <c r="I155" i="1"/>
  <c r="J155" i="1" s="1"/>
  <c r="J304" i="1"/>
  <c r="H45" i="1" s="1"/>
  <c r="G45" i="1"/>
  <c r="I307" i="1"/>
  <c r="H316" i="1"/>
  <c r="H168" i="1" l="1"/>
  <c r="I168" i="1" s="1"/>
  <c r="J168" i="1" s="1"/>
  <c r="L42" i="1" s="1"/>
  <c r="H158" i="1"/>
  <c r="I158" i="1" s="1"/>
  <c r="J158" i="1" s="1"/>
  <c r="J307" i="1"/>
  <c r="J45" i="1" s="1"/>
  <c r="I45" i="1"/>
  <c r="H317" i="1"/>
  <c r="I317" i="1" s="1"/>
  <c r="J317" i="1" s="1"/>
  <c r="I316" i="1"/>
  <c r="J316" i="1" s="1"/>
  <c r="H318" i="1"/>
  <c r="I318" i="1" s="1"/>
  <c r="K42" i="1" l="1"/>
  <c r="H319" i="1"/>
  <c r="I319" i="1" l="1"/>
  <c r="J319" i="1" s="1"/>
  <c r="L45" i="1" s="1"/>
  <c r="K45" i="1" l="1"/>
</calcChain>
</file>

<file path=xl/sharedStrings.xml><?xml version="1.0" encoding="utf-8"?>
<sst xmlns="http://schemas.openxmlformats.org/spreadsheetml/2006/main" count="1623" uniqueCount="323">
  <si>
    <r>
      <t xml:space="preserve">The bill comparisons below must be provided for typical customers and consumption levels. Bill impacts must be provided for residential customers consuming 750 kWh per month and general service customers consuming 2,000 kWh per month and having a monthly demand of less than 50 kW. Include bill comparisons for Non-RPP (retailer) as well. </t>
    </r>
    <r>
      <rPr>
        <b/>
        <sz val="9.3000000000000007"/>
        <rFont val="Arial"/>
        <family val="2"/>
      </rPr>
      <t>Those distributors that are still in the process of moving to fully fixed residential rates should refer to section 3.2.3 of Chapter 3 of  the Filing Requirements for Incentive Rate-Setting Applications.</t>
    </r>
    <r>
      <rPr>
        <sz val="9.3000000000000007"/>
        <rFont val="Arial"/>
        <family val="2"/>
      </rPr>
      <t xml:space="preserve">
For certain classes where one or more customers have unique consumption and demand patterns and which may be significantly impacted by the proposed rate changes, the distributor must show a typical comparison, and provide an explanation.
Note:  
1. For those classes that are not eligible for the RPP price, the weighted average price including Class B GA of </t>
    </r>
    <r>
      <rPr>
        <sz val="9.3000000000000007"/>
        <color theme="9" tint="-0.249977111117893"/>
        <rFont val="Arial"/>
        <family val="2"/>
      </rPr>
      <t>$0.1076/kWh (IESO's Monthly Market Report for May 2023)</t>
    </r>
    <r>
      <rPr>
        <sz val="9.3000000000000007"/>
        <rFont val="Arial"/>
        <family val="2"/>
      </rPr>
      <t xml:space="preserve"> has been used to represent the cost of power. For those classes on a retailer contract, applicants should enter the contract price (plus GA) for a more accurate estimate. Changes to the cost of power can be made directly on the bill impact table for the specific class.
2. Please enter the applicable billing determinant (e.g. number of connections or devices) to be applied to the monthly service charge for unmetered rate classes in column N. If the monthly service charge is applied on a per customer basis, enter the number “1”. Distributors should provide the number of connections or devices reflective of a typical customer in each class.</t>
    </r>
  </si>
  <si>
    <t>Note that cells with the highlighted color shown to the left indicate quantities that are loss adjusted.</t>
  </si>
  <si>
    <t>Table 1</t>
  </si>
  <si>
    <r>
      <t xml:space="preserve">RATE CLASSES / CATEGORIES 
</t>
    </r>
    <r>
      <rPr>
        <b/>
        <i/>
        <sz val="9"/>
        <rFont val="Arial"/>
        <family val="2"/>
      </rPr>
      <t>(eg: Residential TOU, Residential Retailer)</t>
    </r>
  </si>
  <si>
    <t>Units</t>
  </si>
  <si>
    <t>RPP?
Non-RPP Retailer?
Non-RPP
Other?</t>
  </si>
  <si>
    <r>
      <t xml:space="preserve">Current 
Loss Factor 
</t>
    </r>
    <r>
      <rPr>
        <b/>
        <sz val="8"/>
        <rFont val="Arial"/>
        <family val="2"/>
      </rPr>
      <t>(eg: 1.0351)</t>
    </r>
  </si>
  <si>
    <t>Proposed Loss Factor</t>
  </si>
  <si>
    <t>Consumption (kWh)</t>
  </si>
  <si>
    <t>Demand kW
(if applicable)</t>
  </si>
  <si>
    <r>
      <rPr>
        <b/>
        <sz val="10"/>
        <rFont val="Arial Black"/>
        <family val="2"/>
      </rPr>
      <t>RTSR</t>
    </r>
    <r>
      <rPr>
        <b/>
        <sz val="10"/>
        <rFont val="Arial"/>
        <family val="2"/>
      </rPr>
      <t xml:space="preserve">
Demand or 
Demand-Interval?</t>
    </r>
  </si>
  <si>
    <t>Billing Determinant Applied to Fixed Charge for Unmetered Classes (e.g. # of devices/connections).</t>
  </si>
  <si>
    <t>RESIDENTIAL R1 SERVICE CLASSIFICATION</t>
  </si>
  <si>
    <t>RPP</t>
  </si>
  <si>
    <t>CONSUMPTION</t>
  </si>
  <si>
    <t>RESIDENTIAL R2 SERVICE CLASSIFICATION</t>
  </si>
  <si>
    <t>Non-RPP (Other)</t>
  </si>
  <si>
    <t>DEMAND</t>
  </si>
  <si>
    <t>SEASONAL CUSTOMERS SERVICE CLASSIFICATION</t>
  </si>
  <si>
    <t>STREET LIGHTING SERVICE CLASSIFICATION</t>
  </si>
  <si>
    <t>Add additional scenarios if required</t>
  </si>
  <si>
    <t>Table 2</t>
  </si>
  <si>
    <t>Sub-Total</t>
  </si>
  <si>
    <t>Total</t>
  </si>
  <si>
    <t>A</t>
  </si>
  <si>
    <t>B</t>
  </si>
  <si>
    <t>C</t>
  </si>
  <si>
    <t>Total Bill</t>
  </si>
  <si>
    <t>$</t>
  </si>
  <si>
    <t>%</t>
  </si>
  <si>
    <t>Customer Class:</t>
  </si>
  <si>
    <t>RPP / Non-RPP:</t>
  </si>
  <si>
    <t>Consumption</t>
  </si>
  <si>
    <t>kWh</t>
  </si>
  <si>
    <t>Demand</t>
  </si>
  <si>
    <t>kW</t>
  </si>
  <si>
    <t>Current Loss Factor</t>
  </si>
  <si>
    <t>Proposed/Approved Loss Factor</t>
  </si>
  <si>
    <t>Current OEB-Approved</t>
  </si>
  <si>
    <t>Proposed</t>
  </si>
  <si>
    <t>Impact</t>
  </si>
  <si>
    <t>Rate</t>
  </si>
  <si>
    <t>Volume</t>
  </si>
  <si>
    <t>Charge</t>
  </si>
  <si>
    <t>$ Change</t>
  </si>
  <si>
    <t>% Change</t>
  </si>
  <si>
    <t>($)</t>
  </si>
  <si>
    <t>Monthly Service Charge</t>
  </si>
  <si>
    <t>Distribution Volumetric Rate</t>
  </si>
  <si>
    <t>RRRP Credit</t>
  </si>
  <si>
    <t>DRP Adjustment</t>
  </si>
  <si>
    <t>Fixed Rate Riders</t>
  </si>
  <si>
    <t>Volumetric Rate Riders</t>
  </si>
  <si>
    <t>Sub-Total A (excluding pass through)</t>
  </si>
  <si>
    <t>Line Losses on Cost of Power</t>
  </si>
  <si>
    <t>Total Deferral/Variance Account Rate Riders</t>
  </si>
  <si>
    <t>CBR Class B Rate Riders</t>
  </si>
  <si>
    <t>GA Rate Riders</t>
  </si>
  <si>
    <t>Low Voltage Service Charge</t>
  </si>
  <si>
    <t>Smart Meter Entity Charge (if applicable)</t>
  </si>
  <si>
    <t xml:space="preserve">Additional Fixed Rate Riders </t>
  </si>
  <si>
    <t xml:space="preserve">Additional Volumetric Rate Riders </t>
  </si>
  <si>
    <t>Sub-Total B - Distribution (includes Sub-Total A)</t>
  </si>
  <si>
    <t>RTSR - Network</t>
  </si>
  <si>
    <t>RTSR - Connection and/or Line and Transformation Connection</t>
  </si>
  <si>
    <t>Sub-Total C - Delivery (including Sub-Total B)</t>
  </si>
  <si>
    <t>Wholesale Market Service Charge (WMSC)</t>
  </si>
  <si>
    <t>Rural and Remote Rate Protection (RRRP)</t>
  </si>
  <si>
    <t>Standard Supply Service Charge</t>
  </si>
  <si>
    <t xml:space="preserve">Ontario Electricity Support Program 
(OESP) </t>
  </si>
  <si>
    <t>TOU - Off Peak</t>
  </si>
  <si>
    <t>TOU - Mid Peak</t>
  </si>
  <si>
    <t>TOU - On Peak</t>
  </si>
  <si>
    <t>Non-RPP Retailer Avg. Price</t>
  </si>
  <si>
    <t>Average IESO Wholesale Market Price</t>
  </si>
  <si>
    <t>Total Bill on TOU (before Taxes)</t>
  </si>
  <si>
    <t>HST</t>
  </si>
  <si>
    <t>Ontario Electricity Rebate</t>
  </si>
  <si>
    <t>Total Bill on TOU</t>
  </si>
  <si>
    <t>Total Bill on Non-RPP Avg. Price</t>
  </si>
  <si>
    <t>Total Bill on Average IESO Wholesale Market Price</t>
  </si>
  <si>
    <t>RESIDENTIAL R1 (i)SERVICE CLASSIFICATION</t>
  </si>
  <si>
    <t>RESIDENTIAL R1(ii) SERVICE CLASSIFICATION</t>
  </si>
  <si>
    <t>Algoma Power Inc.</t>
  </si>
  <si>
    <t>TARIFF OF RATES AND CHARGES</t>
  </si>
  <si>
    <t>This schedule supersedes and replaces all previously</t>
  </si>
  <si>
    <t>approved schedules of Rates, Charges and Loss Factors</t>
  </si>
  <si>
    <t xml:space="preserve">For the purposes of rates and charges, a residential service is defined in two ways:
i) a dwelling occupied as a residence continuously for at least eight months of the year and, where the residential premises is located on a farm, includes other farm premises associated with the residential electricity meter, and
ii) consumers who are treated as residential-rate class customers under Ontario Regulation 445/07 (Reclassifying Certain Classes of Consumers as Residential-Rate Class Customers: Section 78 of the Ontario Energy Board Act, 1998) made under the Ontario Energy Board Act, 1998.
</t>
  </si>
  <si>
    <t xml:space="preserve">This application refers to a Residential service with a demand of less then, or is forecast to be less than, 50 kilowatts, and which is billed on an energy basis. Class B consumers are defined in accordance with 0. Reg. 429/04. Futher servicing details are available in the distributor's Condition of Service. </t>
  </si>
  <si>
    <t>APPLICATION</t>
  </si>
  <si>
    <t>The application of these rates and charges shall be in accordance with the Licence of the Distributor and any Code or Order of the Ontario Energy Board, and amendments thereto as approved by the Ontario Energy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</si>
  <si>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</si>
  <si>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</si>
  <si>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Ontario Energy Board approval, such as the Global Adjustment and the HST.</t>
  </si>
  <si>
    <t>MONTHLY RATES AND CHARGES - Delivery Component</t>
  </si>
  <si>
    <t>Service Charge - Applicable only to customers that meet criteria (i) above</t>
  </si>
  <si>
    <t>Service Charge - Applicable only to customers that meet criteria (ii) above</t>
  </si>
  <si>
    <t>Smart Metering Entity Charge - effective until December 31, 2027</t>
  </si>
  <si>
    <t>Distribution Volumetric Rate - Applicable only to customers that meet criteria (ii) above</t>
  </si>
  <si>
    <t>$/kWh</t>
  </si>
  <si>
    <t>Retail Transmission Rate - Network Service Rate</t>
  </si>
  <si>
    <t>Retail Transmission Rate - Line and Transformation Connection Service Rate</t>
  </si>
  <si>
    <t>MONTHLY RATES AND CHARGES - Regulatory Component</t>
  </si>
  <si>
    <t>Wholesale Market Service Rate (WMS) - not including CBR</t>
  </si>
  <si>
    <t xml:space="preserve">Capacity Based Recovery (CBR) - Applicable for Class B Customers </t>
  </si>
  <si>
    <t>Rural or Remote Electricity Rate Protection Charge (RRRP)</t>
  </si>
  <si>
    <t>Standard Supply Service - Administrative Charge (if applicable)</t>
  </si>
  <si>
    <t>This classification refers to a Residential service with a demand equal to or greater than, or is forecast to be equal to or greater than, 50 kilowatts, and which is billed on a demand basis.  Class A and Class B consumers are defined in accordance with 0. Reg. 429/04. Further servicing details are available in the distributor’s Conditions of Service.</t>
  </si>
  <si>
    <t>If included in the following listing of monthly rates and charges, the rate rider for the disposition of WMS - Sub-account CBR Class B is not applicable to wholesale market participants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Class B customers.</t>
  </si>
  <si>
    <t>If included in the following listing of monthly rates and charges, the rate rider for the disposition of Global Adjustment is only applicable to non-RPP Class B customers. It is not applicable to WMP, customers that transitioned between Class A and Class B during the variance account accumulation period, or to customers that were in Class A for the entire period. Customers who transitioned are to be charged or refunded their share of the variance disposed through customer specific billing adjustments. This rate rider is to be consistently applied for the entire period to the sunset date of the rate rider. In addition, this rate rider is applicable to all new non-RPP Class B customers.</t>
  </si>
  <si>
    <t>Service Charge</t>
  </si>
  <si>
    <t>$/kW</t>
  </si>
  <si>
    <t xml:space="preserve">This classification includes all services supplied to single-family dwelling units for domestic purposes, which are occupied on a seasonal/intermittent basis.  A service is defined as Seasonal if occupancy is for a period of less than eight months of the year.  Class B consumers are defined in accordance with O. Reg. 429. Further servicing details are available in the distributor’s Conditions of Service.
</t>
  </si>
  <si>
    <t xml:space="preserve">Distribution Volumetric Rate </t>
  </si>
  <si>
    <t xml:space="preserve">This classification refers to an account for roadway lighting.  The consumption for these unmetered accounts will be based on the calculated connection load times the calculated hours of use established in the approved Ontario Energy Board street lighting load shape template. Class B consumers are defined in accordance with O. Reg. 429. Further servicing details are available in the distributor’s Conditions of Service.
</t>
  </si>
  <si>
    <t>microFIT SERVICE CLASSIFICATION</t>
  </si>
  <si>
    <t>This classification applies to an electricity generation facility contracted under the Independent Electricity System Operator’s microFIT program and connected to the distributor’s distribution system.  Further servicing details are available in the distributor’s Conditions of Service.</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</si>
  <si>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</si>
  <si>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</si>
  <si>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</si>
  <si>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&amp; energy</t>
  </si>
  <si>
    <t>SPECIFIC SERVICE CHARGES</t>
  </si>
  <si>
    <t>No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t>
  </si>
  <si>
    <t>It should be noted that this schedule does not list any charges, assessments or credits that are required by law to be invoiced by a distributor and that are not subject to Ontario Energy Board approval, such as the Global Adjustment, and the HST.</t>
  </si>
  <si>
    <t>Customer Administration</t>
  </si>
  <si>
    <t xml:space="preserve">Arrears certificate (credit reference) </t>
  </si>
  <si>
    <t>Statement of account</t>
  </si>
  <si>
    <t>Pulling post dated cheques</t>
  </si>
  <si>
    <t>Duplicate invoices for previous billing</t>
  </si>
  <si>
    <t>Request for other billing information</t>
  </si>
  <si>
    <t>Easement letter</t>
  </si>
  <si>
    <t>Income tax letter</t>
  </si>
  <si>
    <t>Notification charge</t>
  </si>
  <si>
    <t>Account history</t>
  </si>
  <si>
    <t>Credit reference/credit check (plus credit agency costs)</t>
  </si>
  <si>
    <t>Account set up charge/change of occupancy charge (plus credit agency costs if applicable)</t>
  </si>
  <si>
    <t>Returned cheque (plus bank charges)</t>
  </si>
  <si>
    <t>Charge to certify cheque</t>
  </si>
  <si>
    <t>Legal letter charge</t>
  </si>
  <si>
    <t>Special meter reads</t>
  </si>
  <si>
    <t>Meter dispute charge plus Measurement Canada fees (if meter found correct)</t>
  </si>
  <si>
    <t>Non-Payment of Account</t>
  </si>
  <si>
    <t xml:space="preserve"> Reconnection at meter - during regular hours</t>
  </si>
  <si>
    <t xml:space="preserve"> Reconnection at meter - after regular hours</t>
  </si>
  <si>
    <t xml:space="preserve"> Reconnection at pole - during regular hours</t>
  </si>
  <si>
    <t xml:space="preserve"> Reconnection at pole - after regular hours</t>
  </si>
  <si>
    <t>Other</t>
  </si>
  <si>
    <t xml:space="preserve">Specific charge for access to the power poles - per pole/year </t>
  </si>
  <si>
    <t>Service call - customer owned equipment</t>
  </si>
  <si>
    <t>Service call - after regular hours</t>
  </si>
  <si>
    <t xml:space="preserve">Temporary service install &amp; remove - overhead - no transformer </t>
  </si>
  <si>
    <t>Temporary service install &amp; remove - underground - no transformer</t>
  </si>
  <si>
    <t>Temporary service install &amp; remove - overhead - with transformer</t>
  </si>
  <si>
    <t>RETAIL SERVICE CHARGES (if applicable)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</si>
  <si>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Ontario Energy Board, and amendments thereto as approved by the Ontario Energy Board, or as specified herein.
</t>
  </si>
  <si>
    <t xml:space="preserve">It should be noted that this schedule does not list any charges, assessments or credits that are required by law to be invoiced by a distributor and that are not subject to Ontario Energy Board approval, such as the Global Adjustment and the HST.
</t>
  </si>
  <si>
    <t>Retail Service Charges refer to services provided by Algoma Power Inc. to retailers or customers related to the supply of competitive electricity and are defined in the 2006 Electricity Distribution Rate Handbook.</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</si>
  <si>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</si>
  <si>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</si>
  <si>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</si>
  <si>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</si>
  <si>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</si>
  <si>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</si>
  <si>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</si>
  <si>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</si>
  <si>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</si>
  <si>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</si>
  <si>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</si>
  <si>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</si>
  <si>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no charge</t>
  </si>
  <si>
    <t>More than twice a year, per request (plus incremental delivery costs)</t>
  </si>
  <si>
    <t>Notice of switch letter charge, per letter (unless the distributor has opted out of applying the charge as per the Ontario Energy Board's Decision and Order EB-2015-0304, issued on February 14, 2019)</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</si>
  <si>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</si>
  <si>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</si>
  <si>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t>
  </si>
  <si>
    <t xml:space="preserve">Total Loss Factor - Primary Metered Customer </t>
  </si>
  <si>
    <t/>
  </si>
  <si>
    <t>X</t>
  </si>
  <si>
    <t>Algoma Power Inc._Start</t>
  </si>
  <si>
    <t>Effective and Implementation Date January 1, 2025</t>
  </si>
  <si>
    <t>EB-2024-0007</t>
  </si>
  <si>
    <t>1_RESIDENTIAL R1 SERVICE CLASSIFICATION</t>
  </si>
  <si>
    <t>1_APPLICATION</t>
  </si>
  <si>
    <t>1_MRC_Del</t>
  </si>
  <si>
    <t>1_RESIDENTIAL R1 SERVICE CLASSIFICATION_MSC</t>
  </si>
  <si>
    <t>Rate Rider for Refund of Interim Licence Deferral Account (2025)
    - effective until December 31, 2025 - Applicable only for customers in the Township of Dubreuilville</t>
  </si>
  <si>
    <t>1_RESIDENTIAL R1 SERVICE CLASSIFICATION_FX_RR_1</t>
  </si>
  <si>
    <t>Rate Rider for Disposition of Deferral /Variance Accounts (Group 2) (2025)  - effective until December 31, 2025</t>
  </si>
  <si>
    <t>1_RESIDENTIAL R1 SERVICE CLASSIFICATION_FX_RR_2</t>
  </si>
  <si>
    <t>Rate Rider for Disposition of Accounts 1575 and 1576 (2025) - effective until December 31, 2025</t>
  </si>
  <si>
    <t>1_RESIDENTIAL R1 SERVICE CLASSIFICATION_DEFVAR_ALL</t>
  </si>
  <si>
    <t>1_RESIDENTIAL R1 SERVICE CLASSIFICATION_SME</t>
  </si>
  <si>
    <t>1_RESIDENTIAL R1 SERVICE CLASSIFICATION_DVC</t>
  </si>
  <si>
    <t>Rate Rider for Disposition of Capacity Based Recovery Account Applicable only for Class B Customers (2025) - effective until December 31, 2025</t>
  </si>
  <si>
    <t>1_RESIDENTIAL R1 SERVICE CLASSIFICATION_CBR</t>
  </si>
  <si>
    <t>Rate Rider for Disposition of Deferral /Variance Accounts (Group 1) (2025)  - effective until December 31, 2025</t>
  </si>
  <si>
    <t>1_RESIDENTIAL R1 SERVICE CLASSIFICATION_VR_RR_2</t>
  </si>
  <si>
    <t>Rate Rider for Disposition of Global Adjustment Account (2025) - effective until December 31, 2025 - Applicable only for Non-RPP Customers</t>
  </si>
  <si>
    <t>1_RESIDENTIAL R1 SERVICE CLASSIFICATION_GA_kwh</t>
  </si>
  <si>
    <t>1_RESIDENTIAL R1 SERVICE CLASSIFICATION_Retail Transmission Rate - Network Service Rate</t>
  </si>
  <si>
    <t>1_RESIDENTIAL R1 SERVICE CLASSIFICATION_Retail Transmission Rate - Line and Transformation Connection Service Rate</t>
  </si>
  <si>
    <t>1_MRC_Reg</t>
  </si>
  <si>
    <t>T</t>
  </si>
  <si>
    <t>1_RESIDENTIAL R1 SERVICE CLASSIFICATION_WMSR</t>
  </si>
  <si>
    <t>1_RESIDENTIAL R1 SERVICE CLASSIFICATION_RRRP</t>
  </si>
  <si>
    <t>1_RESIDENTIAL R1 SERVICE CLASSIFICATION_SSS</t>
  </si>
  <si>
    <t>2_RESIDENTIAL R2 SERVICE CLASSIFICATION</t>
  </si>
  <si>
    <t>2_APPLICATION</t>
  </si>
  <si>
    <t>2_MRC_Del</t>
  </si>
  <si>
    <t>2_RESIDENTIAL R2 SERVICE CLASSIFICATION_MSC</t>
  </si>
  <si>
    <t>2_RESIDENTIAL R2 SERVICE CLASSIFICATION_DVC</t>
  </si>
  <si>
    <t>2_RESIDENTIAL R2 SERVICE CLASSIFICATION_FX_RR_4</t>
  </si>
  <si>
    <t>2_RESIDENTIAL R2 SERVICE CLASSIFICATION_CBR</t>
  </si>
  <si>
    <t>2_RESIDENTIAL R2 SERVICE CLASSIFICATION_DEFVAR_ALL</t>
  </si>
  <si>
    <t>2_RESIDENTIAL R2 SERVICE CLASSIFICATION_VR_RR_6</t>
  </si>
  <si>
    <t>2_RESIDENTIAL R2 SERVICE CLASSIFICATION_VR_RR_7</t>
  </si>
  <si>
    <t>2_RESIDENTIAL R2 SERVICE CLASSIFICATION_GA_kwh</t>
  </si>
  <si>
    <t>2_RESIDENTIAL R2 SERVICE CLASSIFICATION_Retail Transmission Rate - Network Service Rate</t>
  </si>
  <si>
    <t>2_RESIDENTIAL R2 SERVICE CLASSIFICATION_Retail Transmission Rate - Line and Transformation Connection Service Rate</t>
  </si>
  <si>
    <t>2_MRC_Reg</t>
  </si>
  <si>
    <t>2_RESIDENTIAL R2 SERVICE CLASSIFICATION_WMSR</t>
  </si>
  <si>
    <t>2_RESIDENTIAL R2 SERVICE CLASSIFICATION_RRRP</t>
  </si>
  <si>
    <t>2_RESIDENTIAL R2 SERVICE CLASSIFICATION_SSS</t>
  </si>
  <si>
    <t>3_SEASONAL CUSTOMERS SERVICE CLASSIFICATION</t>
  </si>
  <si>
    <t>3_APPLICATION</t>
  </si>
  <si>
    <t>3_MRC_Del</t>
  </si>
  <si>
    <t>3_SEASONAL CUSTOMERS SERVICE CLASSIFICATION_MSC</t>
  </si>
  <si>
    <t>3_SEASONAL CUSTOMERS SERVICE CLASSIFICATION_FX_RR_5</t>
  </si>
  <si>
    <t>3_SEASONAL CUSTOMERS SERVICE CLASSIFICATION_DEFVAR_ALL</t>
  </si>
  <si>
    <t>3_SEASONAL CUSTOMERS SERVICE CLASSIFICATION_SME</t>
  </si>
  <si>
    <t>3_SEASONAL CUSTOMERS SERVICE CLASSIFICATION_DVC</t>
  </si>
  <si>
    <t>3_SEASONAL CUSTOMERS SERVICE CLASSIFICATION_CBR</t>
  </si>
  <si>
    <t>3_SEASONAL CUSTOMERS SERVICE CLASSIFICATION_VR_RR_10</t>
  </si>
  <si>
    <t>3_SEASONAL CUSTOMERS SERVICE CLASSIFICATION_GA_kwh</t>
  </si>
  <si>
    <t>3_SEASONAL CUSTOMERS SERVICE CLASSIFICATION_Retail Transmission Rate - Network Service Rate</t>
  </si>
  <si>
    <t>3_SEASONAL CUSTOMERS SERVICE CLASSIFICATION_Retail Transmission Rate - Line and Transformation Connection Service Rate</t>
  </si>
  <si>
    <t>3_MRC_Reg</t>
  </si>
  <si>
    <t>3_SEASONAL CUSTOMERS SERVICE CLASSIFICATION_WMSR</t>
  </si>
  <si>
    <t>3_SEASONAL CUSTOMERS SERVICE CLASSIFICATION_RRRP</t>
  </si>
  <si>
    <t>3_SEASONAL CUSTOMERS SERVICE CLASSIFICATION_SSS</t>
  </si>
  <si>
    <t>4_STREET LIGHTING SERVICE CLASSIFICATION</t>
  </si>
  <si>
    <t>4_APPLICATION</t>
  </si>
  <si>
    <t>4_MRC_Del</t>
  </si>
  <si>
    <t>Service Charge (per device)</t>
  </si>
  <si>
    <t>4_STREET LIGHTING SERVICE CLASSIFICATION_MSC</t>
  </si>
  <si>
    <t>4_STREET LIGHTING SERVICE CLASSIFICATION_DVC</t>
  </si>
  <si>
    <t>4_STREET LIGHTING SERVICE CLASSIFICATION_CBR</t>
  </si>
  <si>
    <t>4_STREET LIGHTING SERVICE CLASSIFICATION_DEFVAR_ALL</t>
  </si>
  <si>
    <t>4_STREET LIGHTING SERVICE CLASSIFICATION_VR_RR_14</t>
  </si>
  <si>
    <t>4_STREET LIGHTING SERVICE CLASSIFICATION_VR_RR_15</t>
  </si>
  <si>
    <t>4_STREET LIGHTING SERVICE CLASSIFICATION_GA_kwh</t>
  </si>
  <si>
    <t>4_STREET LIGHTING SERVICE CLASSIFICATION_Retail Transmission Rate - Network Service Rate</t>
  </si>
  <si>
    <t>4_STREET LIGHTING SERVICE CLASSIFICATION_Retail Transmission Rate - Line and Transformation Connection Service Rate</t>
  </si>
  <si>
    <t>4_MRC_Reg</t>
  </si>
  <si>
    <t>4_STREET LIGHTING SERVICE CLASSIFICATION_WMSR</t>
  </si>
  <si>
    <t>4_STREET LIGHTING SERVICE CLASSIFICATION_RRRP</t>
  </si>
  <si>
    <t>4_STREET LIGHTING SERVICE CLASSIFICATION_SSS</t>
  </si>
  <si>
    <t>5_microFIT SERVICE CLASSIFICATION</t>
  </si>
  <si>
    <t>5_APPLICATION</t>
  </si>
  <si>
    <t>5_MRC_Del</t>
  </si>
  <si>
    <t>5_microFIT SERVICE CLASSIFICATION_MSC</t>
  </si>
  <si>
    <t>Algoma Power Inc._ALLOWANCES</t>
  </si>
  <si>
    <t>Algoma Power Inc._SSC</t>
  </si>
  <si>
    <t>Algoma Power Inc._CA</t>
  </si>
  <si>
    <t>Algoma Power Inc._NPoA</t>
  </si>
  <si>
    <t xml:space="preserve"> Late payment - per month 
      (effective annual rate 19.56% per annum or 0.04896% compounded daily rate)</t>
  </si>
  <si>
    <t xml:space="preserve">      (with the exception of wireless attachments)</t>
  </si>
  <si>
    <t>Algoma Power Inc._RSC</t>
  </si>
  <si>
    <t xml:space="preserve">      Up to twice a year</t>
  </si>
  <si>
    <t>Algoma Power Inc._LFs</t>
  </si>
  <si>
    <t>Algoma Power Inc._End</t>
  </si>
  <si>
    <t>Update the following rates if an OEB Decision has been issued at the time of completing this application</t>
  </si>
  <si>
    <t>Regulatory Charges</t>
  </si>
  <si>
    <t>Effective Date of Regulatory Charges</t>
  </si>
  <si>
    <t>Time-of-Use RPP Prices and Percentages</t>
  </si>
  <si>
    <t xml:space="preserve">As of </t>
  </si>
  <si>
    <t>Off-Peak</t>
  </si>
  <si>
    <t>Mid-Peak</t>
  </si>
  <si>
    <t>On-Peak</t>
  </si>
  <si>
    <t>Ontario Electricity Rebate (OER)</t>
  </si>
  <si>
    <t>Smart Meter Entity Charge (SME)</t>
  </si>
  <si>
    <t>Distribution Rate Protection (DRP) Amount (Applicable to LDCs under the Distribution Rate Protection program):</t>
  </si>
  <si>
    <t>Miscellaneous Service Charges</t>
  </si>
  <si>
    <t>Wireline Pole Attachment Charge</t>
  </si>
  <si>
    <t>Unit</t>
  </si>
  <si>
    <t>Current charge</t>
  </si>
  <si>
    <t>Inflation factor *</t>
  </si>
  <si>
    <r>
      <t xml:space="preserve">Proposed charge ** </t>
    </r>
    <r>
      <rPr>
        <b/>
        <vertAlign val="superscript"/>
        <sz val="11"/>
        <color theme="0"/>
        <rFont val="Arial"/>
        <family val="2"/>
      </rPr>
      <t>/</t>
    </r>
    <r>
      <rPr>
        <b/>
        <sz val="11"/>
        <color theme="0"/>
        <rFont val="Arial"/>
        <family val="2"/>
      </rPr>
      <t xml:space="preserve"> ***</t>
    </r>
  </si>
  <si>
    <t>Specific charge for access to the power poles - per pole/year</t>
  </si>
  <si>
    <t>Retail Service Charges</t>
  </si>
  <si>
    <t>Inflation factor*</t>
  </si>
  <si>
    <t>Proposed charge ***</t>
  </si>
  <si>
    <t>Service Transaction Requests (STR)</t>
  </si>
  <si>
    <t xml:space="preserve">   Request fee, per request, applied to the requesting party</t>
  </si>
  <si>
    <t xml:space="preserve">   Processing fee, per request, applied to the requesting party</t>
  </si>
  <si>
    <t>Electronic Business Transaction (EBT) system, applied to the requesting party</t>
  </si>
  <si>
    <t xml:space="preserve">   up to twice a year</t>
  </si>
  <si>
    <t xml:space="preserve">   more than twice a year, per request (plus incremental delivery costs)</t>
  </si>
  <si>
    <t>* OEB approved inflation rate effective in 2026</t>
  </si>
  <si>
    <t>** applicable only to LDCs in which the province-wide pole attachment charge applies</t>
  </si>
  <si>
    <t>*** subject to change pending OEB order on miscellaneous service charges</t>
  </si>
  <si>
    <t>Effective and Implementation Date January 1, 2026</t>
  </si>
  <si>
    <t>EB-2025-0054</t>
  </si>
  <si>
    <t>Rate Rider for Disposition of Capacity Based Recovery Account Applicable only for Class B Customers (2026) - effective until December 31, 2026</t>
  </si>
  <si>
    <t>R1(i) applicability</t>
  </si>
  <si>
    <t>R1(ii) applicability</t>
  </si>
  <si>
    <t>yes</t>
  </si>
  <si>
    <t>no</t>
  </si>
  <si>
    <t xml:space="preserve">not for typical customer </t>
  </si>
  <si>
    <t xml:space="preserve">yes </t>
  </si>
  <si>
    <t>Reg</t>
  </si>
  <si>
    <t>Bill Section</t>
  </si>
  <si>
    <t>wighted TOU price</t>
  </si>
  <si>
    <t xml:space="preserve">not applicable to typical customer </t>
  </si>
  <si>
    <t>Average IESO Price</t>
  </si>
  <si>
    <t>Rate Rider for Cost of Capital DVA (2026) - effective until December 31, 2026</t>
  </si>
  <si>
    <t>Retail Transmission Rate - Network Service Rate - EV CHARGING</t>
  </si>
  <si>
    <t>Retail Transmission Rate - Line and Transformation Connection Service Rate - EV CHARGING</t>
  </si>
  <si>
    <t xml:space="preserve">Connections </t>
  </si>
  <si>
    <t>Rate Rider for Disposition of Global Adjustment Account (2026) - effective until December 31, 2026 - Applicable only for Non-RPP Customers - Approved on an Interim Basis</t>
  </si>
  <si>
    <t>Rate Rider for Disposition of Global Adjustment Account (2026) - effective until December 31, 2026 - Applicable only for Non-RPP Customers - Approved on and Interim Basis</t>
  </si>
  <si>
    <t>Rate Rider for Disposition of Deferral /Variance Accounts (Group 1) (2026)  - effective until December 31, 2026 - Approved on an Interim Basis</t>
  </si>
  <si>
    <t>Rate Rider for Disposition of Deferral /Variance Accounts (Group 1) (2026)  - effective until December 31, 2026  - Approved on an Interim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</si>
</sst>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164" formatCode="_(* #,##0.00_);_(* \(#,##0.00\);_(* &quot;-&quot;??_);_(@_)"/>
    <numFmt numFmtId="165" formatCode="_-* #,##0_-;\-* #,##0_-;_-* &quot;-&quot;??_-;_-@_-"/>
    <numFmt numFmtId="166" formatCode="_(&quot;$&quot;* #,##0.00_);_(&quot;$&quot;* \(#,##0.00\);_(&quot;$&quot;* &quot;-&quot;??_);_(@_)"/>
    <numFmt numFmtId="167" formatCode="0.0%"/>
    <numFmt numFmtId="168" formatCode="0.0000"/>
    <numFmt numFmtId="169" formatCode="_-&quot;$&quot;* #,##0.0000_-;\-&quot;$&quot;* #,##0.0000_-;_-&quot;$&quot;* &quot;-&quot;??_-;_-@_-"/>
    <numFmt numFmtId="170" formatCode="#,##0.00;[Red]\(#,##0.00\)"/>
    <numFmt numFmtId="171" formatCode="#,##0.0000;[Red]\(#,##0.0000\)"/>
    <numFmt numFmtId="172" formatCode="[$-409]mmmm\ d\,\ yyyy;@"/>
    <numFmt numFmtId="173" formatCode="[$-1009]mmmm\ d\,\ yyyy;@"/>
  </numFmts>
  <fonts count="47" x14ac:knownFonts="1">
    <font>
      <sz val="11"/>
      <color theme="1"/>
      <name val="Calibri"/>
      <family val="2"/>
      <scheme val="minor"/>
    </font>
    <font>
      <sz val="10"/>
      <name val="Arial"/>
      <family val="2"/>
    </font>
    <font>
      <sz val="16"/>
      <color indexed="12"/>
      <name val="Algerian"/>
      <family val="5"/>
    </font>
    <font>
      <b/>
      <sz val="10"/>
      <name val="Arial"/>
      <family val="2"/>
    </font>
    <font>
      <sz val="8"/>
      <name val="Arial"/>
      <family val="2"/>
    </font>
    <font>
      <sz val="14"/>
      <name val="Arial"/>
      <family val="2"/>
    </font>
    <font>
      <b/>
      <sz val="12"/>
      <name val="Arial"/>
      <family val="2"/>
    </font>
    <font>
      <b/>
      <sz val="14"/>
      <name val="Arial"/>
      <family val="2"/>
    </font>
    <font>
      <sz val="9.3000000000000007"/>
      <name val="Arial"/>
      <family val="2"/>
    </font>
    <font>
      <b/>
      <sz val="9.3000000000000007"/>
      <name val="Arial"/>
      <family val="2"/>
    </font>
    <font>
      <sz val="9.3000000000000007"/>
      <color theme="9" tint="-0.249977111117893"/>
      <name val="Arial"/>
      <family val="2"/>
    </font>
    <font>
      <b/>
      <i/>
      <sz val="9"/>
      <name val="Arial"/>
      <family val="2"/>
    </font>
    <font>
      <b/>
      <sz val="8"/>
      <name val="Arial"/>
      <family val="2"/>
    </font>
    <font>
      <b/>
      <sz val="10"/>
      <name val="Arial Black"/>
      <family val="2"/>
    </font>
    <font>
      <i/>
      <sz val="10"/>
      <name val="Arial"/>
      <family val="2"/>
    </font>
    <font>
      <b/>
      <sz val="10"/>
      <color rgb="FFFF0000"/>
      <name val="Arial"/>
      <family val="2"/>
    </font>
    <font>
      <b/>
      <sz val="9"/>
      <name val="Arial"/>
      <family val="2"/>
    </font>
    <font>
      <sz val="10"/>
      <color theme="1"/>
      <name val="Arial"/>
      <family val="2"/>
    </font>
    <font>
      <b/>
      <sz val="10"/>
      <color rgb="FF002060"/>
      <name val="Arial"/>
      <family val="2"/>
    </font>
    <font>
      <b/>
      <sz val="10"/>
      <color theme="1"/>
      <name val="Arial"/>
      <family val="2"/>
    </font>
    <font>
      <b/>
      <sz val="10"/>
      <color theme="3"/>
      <name val="Arial"/>
      <family val="2"/>
    </font>
    <font>
      <i/>
      <sz val="10"/>
      <color rgb="FFFF0000"/>
      <name val="Arial"/>
      <family val="2"/>
    </font>
    <font>
      <b/>
      <sz val="18"/>
      <color theme="1"/>
      <name val="Arial"/>
      <family val="2"/>
    </font>
    <font>
      <b/>
      <sz val="14"/>
      <color theme="1"/>
      <name val="Arial"/>
      <family val="2"/>
    </font>
    <font>
      <b/>
      <sz val="12"/>
      <color theme="1"/>
      <name val="Arial"/>
      <family val="2"/>
    </font>
    <font>
      <b/>
      <sz val="8"/>
      <color theme="1"/>
      <name val="Arial"/>
      <family val="2"/>
    </font>
    <font>
      <b/>
      <sz val="9"/>
      <color theme="1"/>
      <name val="Arial"/>
      <family val="2"/>
    </font>
    <font>
      <sz val="9"/>
      <name val="Arial"/>
      <family val="2"/>
    </font>
    <font>
      <sz val="9"/>
      <color theme="1"/>
      <name val="Arial"/>
      <family val="2"/>
    </font>
    <font>
      <sz val="8"/>
      <color theme="1"/>
      <name val="Arial"/>
      <family val="2"/>
    </font>
    <font>
      <sz val="8"/>
      <color rgb="FF000000"/>
      <name val="Arial"/>
      <family val="2"/>
    </font>
    <font>
      <sz val="14"/>
      <color theme="1"/>
      <name val="Calibri"/>
      <family val="2"/>
      <scheme val="minor"/>
    </font>
    <font>
      <sz val="11"/>
      <color theme="1"/>
      <name val="Calibri"/>
      <family val="2"/>
      <scheme val="minor"/>
    </font>
    <font>
      <b/>
      <sz val="11"/>
      <color theme="1"/>
      <name val="Calibri"/>
      <family val="2"/>
      <scheme val="minor"/>
    </font>
    <font>
      <sz val="18"/>
      <color theme="1"/>
      <name val="Arial"/>
      <family val="2"/>
    </font>
    <font>
      <sz val="14"/>
      <color theme="1"/>
      <name val="Arial"/>
      <family val="2"/>
    </font>
    <font>
      <sz val="12"/>
      <color theme="1"/>
      <name val="Arial"/>
      <family val="2"/>
    </font>
    <font>
      <b/>
      <i/>
      <sz val="10"/>
      <color theme="1"/>
      <name val="Arial"/>
      <family val="2"/>
    </font>
    <font>
      <sz val="12"/>
      <color theme="1"/>
      <name val="Calibri"/>
      <family val="2"/>
      <scheme val="minor"/>
    </font>
    <font>
      <b/>
      <sz val="11"/>
      <color theme="1"/>
      <name val="Arial"/>
      <family val="2"/>
    </font>
    <font>
      <sz val="11"/>
      <color theme="1"/>
      <name val="Arial"/>
      <family val="2"/>
    </font>
    <font>
      <b/>
      <i/>
      <sz val="11"/>
      <color theme="0"/>
      <name val="Arial"/>
      <family val="2"/>
    </font>
    <font>
      <b/>
      <sz val="11"/>
      <color theme="0"/>
      <name val="Arial"/>
      <family val="2"/>
    </font>
    <font>
      <b/>
      <vertAlign val="superscript"/>
      <sz val="11"/>
      <color theme="0"/>
      <name val="Arial"/>
      <family val="2"/>
    </font>
    <font>
      <b/>
      <i/>
      <sz val="11"/>
      <color theme="1"/>
      <name val="Arial"/>
      <family val="2"/>
    </font>
    <font>
      <i/>
      <sz val="11"/>
      <color theme="1"/>
      <name val="Arial"/>
      <family val="2"/>
    </font>
    <font>
      <i/>
      <sz val="11"/>
      <color theme="1"/>
      <name val="Calibri"/>
      <family val="2"/>
      <scheme val="minor"/>
    </font>
  </fonts>
  <fills count="1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5117038483843"/>
        <bgColor indexed="64"/>
      </patternFill>
    </fill>
    <fill>
      <patternFill patternType="solid">
        <fgColor theme="4" tint="0.7999511703848384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rgb="FFFFFF99"/>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theme="5" tint="0.79998168889431442"/>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auto="1"/>
      </left>
      <right style="medium">
        <color indexed="64"/>
      </right>
      <top/>
      <bottom style="medium">
        <color indexed="64"/>
      </bottom>
      <diagonal/>
    </border>
    <border>
      <left/>
      <right style="medium">
        <color auto="1"/>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xf numFmtId="0" fontId="1" fillId="0" borderId="0"/>
    <xf numFmtId="164"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44" fontId="32" fillId="0" borderId="0" applyFont="0" applyFill="0" applyBorder="0" applyAlignment="0" applyProtection="0"/>
    <xf numFmtId="9" fontId="32" fillId="0" borderId="0" applyFont="0" applyFill="0" applyBorder="0" applyAlignment="0" applyProtection="0"/>
  </cellStyleXfs>
  <cellXfs count="322">
    <xf numFmtId="0" fontId="0" fillId="0" borderId="0" xfId="0"/>
    <xf numFmtId="0" fontId="2" fillId="2" borderId="0" xfId="1" applyFont="1" applyFill="1" applyAlignment="1">
      <alignment vertical="top" wrapText="1"/>
    </xf>
    <xf numFmtId="0" fontId="3" fillId="0" borderId="0" xfId="1" applyFont="1"/>
    <xf numFmtId="0" fontId="4" fillId="0" borderId="0" xfId="1" applyFont="1" applyAlignment="1">
      <alignment horizontal="right" vertical="top"/>
    </xf>
    <xf numFmtId="0" fontId="1" fillId="2" borderId="0" xfId="1" applyFill="1"/>
    <xf numFmtId="0" fontId="5" fillId="2" borderId="0" xfId="1" applyFont="1" applyFill="1"/>
    <xf numFmtId="0" fontId="1" fillId="2" borderId="0" xfId="1" applyFill="1" applyAlignment="1">
      <alignment horizontal="left" indent="1"/>
    </xf>
    <xf numFmtId="0" fontId="6" fillId="2" borderId="0" xfId="1" applyFont="1" applyFill="1"/>
    <xf numFmtId="0" fontId="1" fillId="0" borderId="0" xfId="1"/>
    <xf numFmtId="0" fontId="7" fillId="0" borderId="0" xfId="1" applyFont="1"/>
    <xf numFmtId="0" fontId="6" fillId="0" borderId="0" xfId="1" applyFont="1"/>
    <xf numFmtId="0" fontId="3" fillId="0" borderId="4" xfId="1" applyFont="1" applyBorder="1" applyAlignment="1">
      <alignment horizontal="center" vertical="center"/>
    </xf>
    <xf numFmtId="0" fontId="3" fillId="0" borderId="4" xfId="1" applyFont="1" applyBorder="1" applyAlignment="1">
      <alignment horizontal="center" vertical="center" wrapText="1"/>
    </xf>
    <xf numFmtId="0" fontId="3" fillId="3" borderId="4" xfId="1" applyFont="1" applyFill="1" applyBorder="1" applyAlignment="1">
      <alignment horizontal="center" vertical="center" wrapText="1"/>
    </xf>
    <xf numFmtId="0" fontId="3" fillId="0" borderId="4" xfId="1" applyFont="1" applyBorder="1" applyAlignment="1">
      <alignment horizontal="center" wrapText="1"/>
    </xf>
    <xf numFmtId="0" fontId="14" fillId="4" borderId="1" xfId="1" applyFont="1" applyFill="1" applyBorder="1" applyAlignment="1" applyProtection="1">
      <alignment vertical="top"/>
      <protection locked="0"/>
    </xf>
    <xf numFmtId="0" fontId="1" fillId="4" borderId="2" xfId="1" applyFill="1" applyBorder="1" applyAlignment="1" applyProtection="1">
      <alignment vertical="top"/>
      <protection locked="0"/>
    </xf>
    <xf numFmtId="0" fontId="3" fillId="4" borderId="4" xfId="1" applyFont="1" applyFill="1" applyBorder="1" applyAlignment="1" applyProtection="1">
      <alignment horizontal="center" vertical="center"/>
      <protection locked="0"/>
    </xf>
    <xf numFmtId="0" fontId="1" fillId="5" borderId="4" xfId="1" applyFill="1" applyBorder="1" applyAlignment="1" applyProtection="1">
      <alignment horizontal="center" vertical="center"/>
      <protection locked="0"/>
    </xf>
    <xf numFmtId="0" fontId="1" fillId="4" borderId="4" xfId="1" applyFill="1" applyBorder="1" applyAlignment="1">
      <alignment horizontal="center" vertical="center"/>
    </xf>
    <xf numFmtId="165" fontId="0" fillId="0" borderId="4" xfId="2" applyNumberFormat="1" applyFont="1" applyBorder="1" applyAlignment="1" applyProtection="1">
      <alignment horizontal="center" vertical="center"/>
      <protection locked="0"/>
    </xf>
    <xf numFmtId="3" fontId="0" fillId="0" borderId="4" xfId="0" applyNumberFormat="1" applyBorder="1" applyProtection="1">
      <protection locked="0"/>
    </xf>
    <xf numFmtId="3" fontId="0" fillId="6" borderId="4" xfId="0" applyNumberFormat="1" applyFill="1" applyBorder="1" applyProtection="1">
      <protection locked="0"/>
    </xf>
    <xf numFmtId="0" fontId="14" fillId="7" borderId="1" xfId="1" applyFont="1" applyFill="1" applyBorder="1" applyAlignment="1" applyProtection="1">
      <alignment vertical="top"/>
      <protection locked="0"/>
    </xf>
    <xf numFmtId="0" fontId="1" fillId="7" borderId="2" xfId="1" applyFill="1" applyBorder="1" applyAlignment="1" applyProtection="1">
      <alignment vertical="top"/>
      <protection locked="0"/>
    </xf>
    <xf numFmtId="0" fontId="3" fillId="10" borderId="4" xfId="1" applyFont="1" applyFill="1" applyBorder="1" applyAlignment="1">
      <alignment horizontal="center" vertical="center"/>
    </xf>
    <xf numFmtId="0" fontId="1" fillId="0" borderId="4" xfId="1" applyBorder="1" applyAlignment="1">
      <alignment horizontal="center" vertical="center"/>
    </xf>
    <xf numFmtId="166" fontId="0" fillId="0" borderId="4" xfId="3" applyFont="1" applyBorder="1" applyAlignment="1" applyProtection="1">
      <alignment horizontal="center" vertical="center"/>
    </xf>
    <xf numFmtId="167" fontId="0" fillId="0" borderId="4" xfId="4" applyNumberFormat="1" applyFont="1" applyBorder="1" applyAlignment="1" applyProtection="1">
      <alignment horizontal="center" vertical="center"/>
    </xf>
    <xf numFmtId="0" fontId="1" fillId="11" borderId="0" xfId="1" applyFill="1" applyProtection="1">
      <protection locked="0"/>
    </xf>
    <xf numFmtId="0" fontId="3" fillId="0" borderId="0" xfId="1" applyFont="1" applyAlignment="1" applyProtection="1">
      <alignment horizontal="right" vertical="center"/>
      <protection locked="0"/>
    </xf>
    <xf numFmtId="0" fontId="1" fillId="0" borderId="0" xfId="1" applyProtection="1">
      <protection locked="0"/>
    </xf>
    <xf numFmtId="0" fontId="16" fillId="4" borderId="0" xfId="1" applyFont="1" applyFill="1" applyAlignment="1" applyProtection="1">
      <alignment vertical="top"/>
      <protection locked="0"/>
    </xf>
    <xf numFmtId="165" fontId="3" fillId="4" borderId="4" xfId="2" applyNumberFormat="1" applyFont="1" applyFill="1" applyBorder="1" applyAlignment="1" applyProtection="1">
      <alignment horizontal="center" vertical="center"/>
      <protection locked="0"/>
    </xf>
    <xf numFmtId="0" fontId="3" fillId="0" borderId="0" xfId="1" applyFont="1" applyProtection="1">
      <protection locked="0"/>
    </xf>
    <xf numFmtId="0" fontId="6" fillId="4" borderId="0" xfId="1" applyFont="1" applyFill="1" applyAlignment="1" applyProtection="1">
      <alignment vertical="center"/>
      <protection locked="0"/>
    </xf>
    <xf numFmtId="0" fontId="3" fillId="0" borderId="0" xfId="1" applyFont="1" applyAlignment="1" applyProtection="1">
      <alignment horizontal="center"/>
      <protection locked="0"/>
    </xf>
    <xf numFmtId="0" fontId="6" fillId="0" borderId="0" xfId="1" applyFont="1" applyAlignment="1" applyProtection="1">
      <alignment horizontal="center"/>
      <protection locked="0"/>
    </xf>
    <xf numFmtId="168" fontId="3" fillId="4" borderId="4" xfId="4" applyNumberFormat="1" applyFont="1" applyFill="1" applyBorder="1" applyProtection="1">
      <protection locked="0"/>
    </xf>
    <xf numFmtId="0" fontId="3" fillId="0" borderId="14" xfId="1" applyFont="1" applyBorder="1" applyAlignment="1" applyProtection="1">
      <alignment horizontal="center"/>
      <protection locked="0"/>
    </xf>
    <xf numFmtId="0" fontId="3" fillId="0" borderId="9" xfId="1" applyFont="1" applyBorder="1" applyAlignment="1" applyProtection="1">
      <alignment horizontal="center"/>
      <protection locked="0"/>
    </xf>
    <xf numFmtId="0" fontId="3" fillId="0" borderId="7" xfId="1" applyFont="1" applyBorder="1" applyAlignment="1" applyProtection="1">
      <alignment horizontal="center"/>
      <protection locked="0"/>
    </xf>
    <xf numFmtId="0" fontId="3" fillId="0" borderId="13" xfId="1" quotePrefix="1" applyFont="1" applyBorder="1" applyAlignment="1" applyProtection="1">
      <alignment horizontal="center"/>
      <protection locked="0"/>
    </xf>
    <xf numFmtId="0" fontId="3" fillId="0" borderId="12" xfId="1" quotePrefix="1" applyFont="1" applyBorder="1" applyAlignment="1" applyProtection="1">
      <alignment horizontal="center"/>
      <protection locked="0"/>
    </xf>
    <xf numFmtId="0" fontId="1" fillId="0" borderId="0" xfId="1" applyAlignment="1">
      <alignment vertical="top"/>
    </xf>
    <xf numFmtId="0" fontId="1" fillId="4" borderId="0" xfId="1" applyFill="1" applyAlignment="1" applyProtection="1">
      <alignment vertical="top"/>
      <protection locked="0"/>
    </xf>
    <xf numFmtId="0" fontId="1" fillId="0" borderId="15" xfId="1" applyBorder="1" applyAlignment="1" applyProtection="1">
      <alignment vertical="center"/>
      <protection locked="0"/>
    </xf>
    <xf numFmtId="166" fontId="17" fillId="0" borderId="9" xfId="3" applyFont="1" applyBorder="1" applyAlignment="1" applyProtection="1">
      <alignment vertical="center"/>
      <protection locked="0"/>
    </xf>
    <xf numFmtId="0" fontId="18" fillId="0" borderId="9" xfId="1" applyFont="1" applyBorder="1" applyAlignment="1" applyProtection="1">
      <alignment vertical="center"/>
      <protection locked="0"/>
    </xf>
    <xf numFmtId="166" fontId="18" fillId="0" borderId="9" xfId="3" applyFont="1" applyBorder="1" applyAlignment="1" applyProtection="1">
      <alignment vertical="center"/>
      <protection locked="0"/>
    </xf>
    <xf numFmtId="166" fontId="1" fillId="0" borderId="15" xfId="1" applyNumberFormat="1" applyBorder="1" applyAlignment="1" applyProtection="1">
      <alignment vertical="center"/>
      <protection locked="0"/>
    </xf>
    <xf numFmtId="10" fontId="17" fillId="0" borderId="9" xfId="4" applyNumberFormat="1" applyFont="1" applyBorder="1" applyAlignment="1" applyProtection="1">
      <alignment vertical="center"/>
      <protection locked="0"/>
    </xf>
    <xf numFmtId="0" fontId="18" fillId="0" borderId="15" xfId="1" applyFont="1" applyBorder="1" applyAlignment="1" applyProtection="1">
      <alignment vertical="center"/>
      <protection locked="0"/>
    </xf>
    <xf numFmtId="0" fontId="3" fillId="10" borderId="1" xfId="1" applyFont="1" applyFill="1" applyBorder="1" applyAlignment="1" applyProtection="1">
      <alignment vertical="top"/>
      <protection locked="0"/>
    </xf>
    <xf numFmtId="0" fontId="1" fillId="10" borderId="2" xfId="1" applyFill="1" applyBorder="1" applyAlignment="1" applyProtection="1">
      <alignment vertical="top"/>
      <protection locked="0"/>
    </xf>
    <xf numFmtId="0" fontId="3" fillId="10" borderId="4" xfId="1" applyFont="1" applyFill="1" applyBorder="1" applyAlignment="1" applyProtection="1">
      <alignment vertical="center"/>
      <protection locked="0"/>
    </xf>
    <xf numFmtId="166" fontId="19" fillId="10" borderId="3" xfId="3" applyFont="1" applyFill="1" applyBorder="1" applyAlignment="1" applyProtection="1">
      <alignment vertical="center"/>
      <protection locked="0"/>
    </xf>
    <xf numFmtId="0" fontId="3" fillId="10" borderId="3" xfId="1" applyFont="1" applyFill="1" applyBorder="1" applyAlignment="1" applyProtection="1">
      <alignment vertical="center"/>
      <protection locked="0"/>
    </xf>
    <xf numFmtId="166" fontId="3" fillId="10" borderId="4" xfId="1" applyNumberFormat="1" applyFont="1" applyFill="1" applyBorder="1" applyAlignment="1" applyProtection="1">
      <alignment vertical="center"/>
      <protection locked="0"/>
    </xf>
    <xf numFmtId="10" fontId="3" fillId="10" borderId="3" xfId="4" applyNumberFormat="1" applyFont="1" applyFill="1" applyBorder="1" applyAlignment="1" applyProtection="1">
      <alignment vertical="center"/>
      <protection locked="0"/>
    </xf>
    <xf numFmtId="0" fontId="1" fillId="0" borderId="0" xfId="1" applyAlignment="1">
      <alignment vertical="top" wrapText="1"/>
    </xf>
    <xf numFmtId="165" fontId="1" fillId="12" borderId="15" xfId="2" applyNumberFormat="1" applyFont="1" applyFill="1" applyBorder="1" applyAlignment="1" applyProtection="1">
      <alignment vertical="center"/>
      <protection locked="0"/>
    </xf>
    <xf numFmtId="165" fontId="18" fillId="12" borderId="15" xfId="2" applyNumberFormat="1" applyFont="1" applyFill="1" applyBorder="1" applyAlignment="1" applyProtection="1">
      <alignment vertical="center"/>
      <protection locked="0"/>
    </xf>
    <xf numFmtId="165" fontId="1" fillId="0" borderId="15" xfId="2" applyNumberFormat="1" applyFont="1" applyFill="1" applyBorder="1" applyAlignment="1" applyProtection="1">
      <alignment vertical="center"/>
      <protection locked="0"/>
    </xf>
    <xf numFmtId="165" fontId="18" fillId="0" borderId="15" xfId="2" applyNumberFormat="1" applyFont="1" applyFill="1" applyBorder="1" applyAlignment="1" applyProtection="1">
      <alignment vertical="center"/>
      <protection locked="0"/>
    </xf>
    <xf numFmtId="0" fontId="3" fillId="10" borderId="1" xfId="1" applyFont="1" applyFill="1" applyBorder="1" applyAlignment="1" applyProtection="1">
      <alignment vertical="top" wrapText="1"/>
      <protection locked="0"/>
    </xf>
    <xf numFmtId="0" fontId="1" fillId="10" borderId="2" xfId="1" applyFill="1" applyBorder="1" applyProtection="1">
      <protection locked="0"/>
    </xf>
    <xf numFmtId="0" fontId="1" fillId="10" borderId="4" xfId="1" applyFill="1" applyBorder="1" applyAlignment="1" applyProtection="1">
      <alignment vertical="center"/>
      <protection locked="0"/>
    </xf>
    <xf numFmtId="166" fontId="3" fillId="10" borderId="3" xfId="1" applyNumberFormat="1" applyFont="1" applyFill="1" applyBorder="1" applyAlignment="1" applyProtection="1">
      <alignment vertical="center"/>
      <protection locked="0"/>
    </xf>
    <xf numFmtId="0" fontId="1" fillId="10" borderId="3" xfId="1" applyFill="1" applyBorder="1" applyAlignment="1" applyProtection="1">
      <alignment vertical="center"/>
      <protection locked="0"/>
    </xf>
    <xf numFmtId="0" fontId="1" fillId="0" borderId="0" xfId="1" applyAlignment="1">
      <alignment vertical="center"/>
    </xf>
    <xf numFmtId="0" fontId="21" fillId="0" borderId="0" xfId="1" applyFont="1" applyProtection="1">
      <protection locked="0"/>
    </xf>
    <xf numFmtId="0" fontId="1" fillId="0" borderId="11" xfId="1" applyBorder="1" applyAlignment="1">
      <alignment vertical="center" wrapText="1"/>
    </xf>
    <xf numFmtId="0" fontId="1" fillId="0" borderId="0" xfId="1" applyAlignment="1" applyProtection="1">
      <alignment vertical="top" wrapText="1"/>
      <protection locked="0"/>
    </xf>
    <xf numFmtId="166" fontId="1" fillId="0" borderId="9" xfId="3" applyFont="1" applyBorder="1" applyAlignment="1" applyProtection="1">
      <alignment vertical="center"/>
      <protection locked="0"/>
    </xf>
    <xf numFmtId="0" fontId="1" fillId="0" borderId="0" xfId="1" applyAlignment="1" applyProtection="1">
      <alignment vertical="top"/>
      <protection locked="0"/>
    </xf>
    <xf numFmtId="169" fontId="3" fillId="0" borderId="15" xfId="3" applyNumberFormat="1" applyFont="1" applyFill="1" applyBorder="1" applyAlignment="1" applyProtection="1">
      <alignment horizontal="left" vertical="center"/>
      <protection locked="0"/>
    </xf>
    <xf numFmtId="165" fontId="1" fillId="4" borderId="15" xfId="2" applyNumberFormat="1" applyFont="1" applyFill="1" applyBorder="1" applyAlignment="1" applyProtection="1">
      <alignment vertical="center"/>
      <protection locked="0"/>
    </xf>
    <xf numFmtId="169" fontId="18" fillId="0" borderId="15" xfId="3" applyNumberFormat="1" applyFont="1" applyFill="1" applyBorder="1" applyAlignment="1" applyProtection="1">
      <alignment horizontal="left" vertical="center"/>
      <protection locked="0"/>
    </xf>
    <xf numFmtId="165" fontId="18" fillId="4" borderId="15" xfId="2" applyNumberFormat="1" applyFont="1" applyFill="1" applyBorder="1" applyAlignment="1" applyProtection="1">
      <alignment vertical="center"/>
      <protection locked="0"/>
    </xf>
    <xf numFmtId="0" fontId="1" fillId="13" borderId="16" xfId="1" applyFill="1" applyBorder="1" applyProtection="1">
      <protection locked="0"/>
    </xf>
    <xf numFmtId="0" fontId="1" fillId="13" borderId="17" xfId="1" applyFill="1" applyBorder="1" applyAlignment="1" applyProtection="1">
      <alignment vertical="top"/>
      <protection locked="0"/>
    </xf>
    <xf numFmtId="0" fontId="1" fillId="13" borderId="19" xfId="1" applyFill="1" applyBorder="1" applyAlignment="1" applyProtection="1">
      <alignment vertical="center"/>
      <protection locked="0"/>
    </xf>
    <xf numFmtId="166" fontId="1" fillId="13" borderId="17" xfId="3" applyFont="1" applyFill="1" applyBorder="1" applyAlignment="1" applyProtection="1">
      <alignment vertical="center"/>
      <protection locked="0"/>
    </xf>
    <xf numFmtId="0" fontId="1" fillId="13" borderId="18" xfId="1" applyFill="1" applyBorder="1" applyAlignment="1" applyProtection="1">
      <alignment vertical="center"/>
      <protection locked="0"/>
    </xf>
    <xf numFmtId="166" fontId="1" fillId="13" borderId="18" xfId="1" applyNumberFormat="1" applyFill="1" applyBorder="1" applyAlignment="1" applyProtection="1">
      <alignment vertical="center"/>
      <protection locked="0"/>
    </xf>
    <xf numFmtId="10" fontId="1" fillId="13" borderId="20" xfId="4" applyNumberFormat="1" applyFont="1" applyFill="1" applyBorder="1" applyAlignment="1" applyProtection="1">
      <alignment vertical="center"/>
      <protection locked="0"/>
    </xf>
    <xf numFmtId="0" fontId="3" fillId="0" borderId="0" xfId="1" applyFont="1" applyAlignment="1" applyProtection="1">
      <alignment vertical="top"/>
      <protection locked="0"/>
    </xf>
    <xf numFmtId="9" fontId="1" fillId="0" borderId="0" xfId="1" applyNumberFormat="1" applyAlignment="1" applyProtection="1">
      <alignment vertical="center"/>
      <protection locked="0"/>
    </xf>
    <xf numFmtId="166" fontId="3" fillId="0" borderId="8" xfId="1" applyNumberFormat="1" applyFont="1" applyBorder="1" applyAlignment="1" applyProtection="1">
      <alignment vertical="center"/>
      <protection locked="0"/>
    </xf>
    <xf numFmtId="9" fontId="3" fillId="0" borderId="15" xfId="1" applyNumberFormat="1" applyFont="1" applyBorder="1" applyAlignment="1" applyProtection="1">
      <alignment vertical="center"/>
      <protection locked="0"/>
    </xf>
    <xf numFmtId="166" fontId="3" fillId="0" borderId="15" xfId="1" applyNumberFormat="1" applyFont="1" applyBorder="1" applyAlignment="1" applyProtection="1">
      <alignment vertical="center"/>
      <protection locked="0"/>
    </xf>
    <xf numFmtId="10" fontId="3" fillId="0" borderId="9" xfId="4" applyNumberFormat="1" applyFont="1" applyFill="1" applyBorder="1" applyAlignment="1" applyProtection="1">
      <alignment vertical="center"/>
      <protection locked="0"/>
    </xf>
    <xf numFmtId="0" fontId="1" fillId="0" borderId="0" xfId="1" applyAlignment="1" applyProtection="1">
      <alignment horizontal="left" vertical="top" indent="1"/>
      <protection locked="0"/>
    </xf>
    <xf numFmtId="0" fontId="1" fillId="0" borderId="0" xfId="1" applyAlignment="1" applyProtection="1">
      <alignment vertical="center"/>
      <protection locked="0"/>
    </xf>
    <xf numFmtId="166" fontId="1" fillId="0" borderId="8" xfId="1" applyNumberFormat="1" applyBorder="1" applyAlignment="1" applyProtection="1">
      <alignment vertical="center"/>
      <protection locked="0"/>
    </xf>
    <xf numFmtId="9" fontId="1" fillId="0" borderId="15" xfId="1" applyNumberFormat="1" applyBorder="1" applyAlignment="1" applyProtection="1">
      <alignment vertical="center"/>
      <protection locked="0"/>
    </xf>
    <xf numFmtId="10" fontId="1" fillId="0" borderId="9" xfId="4" applyNumberFormat="1" applyFont="1" applyFill="1" applyBorder="1" applyAlignment="1" applyProtection="1">
      <alignment vertical="center"/>
      <protection locked="0"/>
    </xf>
    <xf numFmtId="0" fontId="1" fillId="14" borderId="11" xfId="1" applyFill="1" applyBorder="1" applyAlignment="1" applyProtection="1">
      <alignment vertical="center"/>
      <protection locked="0"/>
    </xf>
    <xf numFmtId="166" fontId="3" fillId="14" borderId="8" xfId="1" applyNumberFormat="1" applyFont="1" applyFill="1" applyBorder="1" applyAlignment="1" applyProtection="1">
      <alignment vertical="center"/>
      <protection locked="0"/>
    </xf>
    <xf numFmtId="0" fontId="3" fillId="14" borderId="13" xfId="1" applyFont="1" applyFill="1" applyBorder="1" applyAlignment="1" applyProtection="1">
      <alignment vertical="center"/>
      <protection locked="0"/>
    </xf>
    <xf numFmtId="166" fontId="3" fillId="14" borderId="10" xfId="1" applyNumberFormat="1" applyFont="1" applyFill="1" applyBorder="1" applyAlignment="1" applyProtection="1">
      <alignment vertical="center"/>
      <protection locked="0"/>
    </xf>
    <xf numFmtId="166" fontId="3" fillId="14" borderId="13" xfId="1" applyNumberFormat="1" applyFont="1" applyFill="1" applyBorder="1" applyAlignment="1" applyProtection="1">
      <alignment vertical="center"/>
      <protection locked="0"/>
    </xf>
    <xf numFmtId="10" fontId="3" fillId="14" borderId="12" xfId="4" applyNumberFormat="1" applyFont="1" applyFill="1" applyBorder="1" applyAlignment="1" applyProtection="1">
      <alignment vertical="center"/>
      <protection locked="0"/>
    </xf>
    <xf numFmtId="0" fontId="1" fillId="14" borderId="0" xfId="1" applyFill="1" applyAlignment="1" applyProtection="1">
      <alignment vertical="center"/>
      <protection locked="0"/>
    </xf>
    <xf numFmtId="0" fontId="3" fillId="14" borderId="15" xfId="1" applyFont="1" applyFill="1" applyBorder="1" applyAlignment="1" applyProtection="1">
      <alignment vertical="center"/>
      <protection locked="0"/>
    </xf>
    <xf numFmtId="166" fontId="3" fillId="14" borderId="15" xfId="1" applyNumberFormat="1" applyFont="1" applyFill="1" applyBorder="1" applyAlignment="1" applyProtection="1">
      <alignment vertical="center"/>
      <protection locked="0"/>
    </xf>
    <xf numFmtId="10" fontId="3" fillId="14" borderId="9" xfId="4" applyNumberFormat="1" applyFont="1" applyFill="1" applyBorder="1" applyAlignment="1" applyProtection="1">
      <alignment vertical="center"/>
      <protection locked="0"/>
    </xf>
    <xf numFmtId="0" fontId="1" fillId="13" borderId="17" xfId="1" applyFill="1" applyBorder="1" applyAlignment="1" applyProtection="1">
      <alignment vertical="center"/>
      <protection locked="0"/>
    </xf>
    <xf numFmtId="166" fontId="1" fillId="13" borderId="21" xfId="3" applyFont="1" applyFill="1" applyBorder="1" applyAlignment="1" applyProtection="1">
      <alignment vertical="center"/>
      <protection locked="0"/>
    </xf>
    <xf numFmtId="166" fontId="1" fillId="13" borderId="19" xfId="1" applyNumberFormat="1" applyFill="1" applyBorder="1" applyAlignment="1" applyProtection="1">
      <alignment vertical="center"/>
      <protection locked="0"/>
    </xf>
    <xf numFmtId="166" fontId="1" fillId="13" borderId="21" xfId="3" applyFill="1" applyBorder="1" applyAlignment="1" applyProtection="1">
      <alignment vertical="center"/>
      <protection locked="0"/>
    </xf>
    <xf numFmtId="10" fontId="1" fillId="13" borderId="20" xfId="4" applyNumberFormat="1" applyFill="1" applyBorder="1" applyAlignment="1" applyProtection="1">
      <alignment vertical="center"/>
      <protection locked="0"/>
    </xf>
    <xf numFmtId="0" fontId="27" fillId="4" borderId="0" xfId="0" applyFont="1" applyFill="1" applyAlignment="1" applyProtection="1">
      <alignment horizontal="left" vertical="top" wrapText="1"/>
      <protection locked="0"/>
    </xf>
    <xf numFmtId="0" fontId="28" fillId="4" borderId="0" xfId="0" applyFont="1" applyFill="1" applyAlignment="1">
      <alignment horizontal="left" vertical="top" wrapText="1"/>
    </xf>
    <xf numFmtId="0" fontId="19" fillId="4" borderId="0" xfId="0" applyFont="1" applyFill="1" applyAlignment="1" applyProtection="1">
      <alignment horizontal="left" vertical="top"/>
      <protection locked="0"/>
    </xf>
    <xf numFmtId="0" fontId="28" fillId="4" borderId="0" xfId="0" applyFont="1" applyFill="1" applyAlignment="1">
      <alignment horizontal="left" vertical="top"/>
    </xf>
    <xf numFmtId="0" fontId="19" fillId="4" borderId="0" xfId="0" applyFont="1" applyFill="1" applyAlignment="1" applyProtection="1">
      <alignment horizontal="left"/>
      <protection locked="0"/>
    </xf>
    <xf numFmtId="0" fontId="28" fillId="4" borderId="0" xfId="0" applyFont="1" applyFill="1" applyAlignment="1">
      <alignment horizontal="left"/>
    </xf>
    <xf numFmtId="0" fontId="29" fillId="4" borderId="0" xfId="0" applyFont="1" applyFill="1" applyAlignment="1" applyProtection="1">
      <alignment horizontal="left" wrapText="1"/>
      <protection locked="0"/>
    </xf>
    <xf numFmtId="0" fontId="29" fillId="4" borderId="0" xfId="0" applyFont="1" applyFill="1" applyAlignment="1">
      <alignment horizontal="left"/>
    </xf>
    <xf numFmtId="0" fontId="29" fillId="4" borderId="0" xfId="0" applyFont="1" applyFill="1" applyAlignment="1">
      <alignment horizontal="left" wrapText="1"/>
    </xf>
    <xf numFmtId="0" fontId="19" fillId="4" borderId="0" xfId="0" applyFont="1" applyFill="1" applyAlignment="1" applyProtection="1">
      <alignment horizontal="left" wrapText="1"/>
      <protection locked="0"/>
    </xf>
    <xf numFmtId="0" fontId="29" fillId="4" borderId="0" xfId="0" applyFont="1" applyFill="1" applyAlignment="1" applyProtection="1">
      <alignment horizontal="left"/>
      <protection locked="0"/>
    </xf>
    <xf numFmtId="0" fontId="4" fillId="4" borderId="0" xfId="0" applyFont="1" applyFill="1" applyAlignment="1" applyProtection="1">
      <alignment horizontal="left"/>
      <protection locked="0"/>
    </xf>
    <xf numFmtId="171" fontId="27" fillId="4" borderId="0" xfId="0" applyNumberFormat="1" applyFont="1" applyFill="1" applyAlignment="1" applyProtection="1">
      <alignment horizontal="left" vertical="top" wrapText="1"/>
      <protection locked="0"/>
    </xf>
    <xf numFmtId="0" fontId="30" fillId="4" borderId="0" xfId="0" applyFont="1" applyFill="1" applyAlignment="1">
      <alignment horizontal="left"/>
    </xf>
    <xf numFmtId="0" fontId="17" fillId="4" borderId="0" xfId="0" applyFont="1" applyFill="1" applyAlignment="1" applyProtection="1">
      <alignment horizontal="left" wrapText="1"/>
      <protection locked="0"/>
    </xf>
    <xf numFmtId="0" fontId="31" fillId="4" borderId="0" xfId="0" applyFont="1" applyFill="1" applyAlignment="1" applyProtection="1">
      <alignment horizontal="left" vertical="center"/>
      <protection locked="0"/>
    </xf>
    <xf numFmtId="0" fontId="5" fillId="4" borderId="0" xfId="5" applyFont="1" applyFill="1" applyAlignment="1">
      <alignment vertical="center"/>
    </xf>
    <xf numFmtId="171" fontId="28" fillId="4" borderId="0" xfId="0" applyNumberFormat="1" applyFont="1" applyFill="1" applyAlignment="1">
      <alignment horizontal="left" vertical="top" wrapText="1"/>
    </xf>
    <xf numFmtId="0" fontId="1" fillId="4" borderId="0" xfId="5" applyFill="1" applyAlignment="1">
      <alignment vertical="center"/>
    </xf>
    <xf numFmtId="0" fontId="4" fillId="4" borderId="0" xfId="6" applyFont="1" applyFill="1" applyAlignment="1" applyProtection="1">
      <alignment horizontal="left" wrapText="1" indent="2"/>
      <protection locked="0"/>
    </xf>
    <xf numFmtId="15" fontId="3" fillId="4" borderId="0" xfId="5" applyNumberFormat="1" applyFont="1" applyFill="1" applyAlignment="1">
      <alignment vertical="center"/>
    </xf>
    <xf numFmtId="0" fontId="29" fillId="4" borderId="0" xfId="0" applyFont="1" applyFill="1" applyAlignment="1">
      <alignment vertical="center"/>
    </xf>
    <xf numFmtId="0" fontId="5" fillId="4" borderId="0" xfId="5" applyFont="1" applyFill="1"/>
    <xf numFmtId="0" fontId="4" fillId="4" borderId="0" xfId="0" applyFont="1" applyFill="1" applyAlignment="1">
      <alignment horizontal="left"/>
    </xf>
    <xf numFmtId="165" fontId="1" fillId="0" borderId="15" xfId="1" applyNumberFormat="1" applyBorder="1" applyAlignment="1" applyProtection="1">
      <alignment vertical="center"/>
      <protection locked="0"/>
    </xf>
    <xf numFmtId="165" fontId="18" fillId="0" borderId="9" xfId="1" applyNumberFormat="1" applyFont="1" applyBorder="1" applyAlignment="1" applyProtection="1">
      <alignment vertical="center"/>
      <protection locked="0"/>
    </xf>
    <xf numFmtId="166" fontId="0" fillId="0" borderId="4" xfId="3" applyFont="1" applyFill="1" applyBorder="1" applyAlignment="1" applyProtection="1">
      <alignment horizontal="center" vertical="center"/>
    </xf>
    <xf numFmtId="167" fontId="0" fillId="0" borderId="4" xfId="4" applyNumberFormat="1" applyFont="1" applyFill="1" applyBorder="1" applyAlignment="1" applyProtection="1">
      <alignment horizontal="center" vertical="center"/>
    </xf>
    <xf numFmtId="10" fontId="0" fillId="0" borderId="4" xfId="4" applyNumberFormat="1" applyFont="1" applyFill="1" applyBorder="1" applyAlignment="1" applyProtection="1">
      <alignment horizontal="center" vertical="center"/>
    </xf>
    <xf numFmtId="0" fontId="34" fillId="0" borderId="0" xfId="0" applyFont="1" applyAlignment="1">
      <alignment horizontal="left" vertical="top" wrapText="1"/>
    </xf>
    <xf numFmtId="0" fontId="35" fillId="0" borderId="0" xfId="0" applyFont="1" applyAlignment="1">
      <alignment horizontal="left" vertical="top" wrapText="1"/>
    </xf>
    <xf numFmtId="0" fontId="36" fillId="0" borderId="0" xfId="0" applyFont="1" applyAlignment="1">
      <alignment horizontal="left" vertical="top" wrapText="1"/>
    </xf>
    <xf numFmtId="0" fontId="17" fillId="0" borderId="0" xfId="0" applyFont="1" applyAlignment="1">
      <alignment horizontal="left" vertical="top" wrapText="1"/>
    </xf>
    <xf numFmtId="0" fontId="29" fillId="0" borderId="0" xfId="0" applyFont="1" applyAlignment="1">
      <alignment horizontal="left" vertical="top" wrapText="1"/>
    </xf>
    <xf numFmtId="0" fontId="28" fillId="0" borderId="0" xfId="0" applyFont="1" applyAlignment="1">
      <alignment horizontal="left" vertical="top" wrapText="1"/>
    </xf>
    <xf numFmtId="170" fontId="29" fillId="0" borderId="0" xfId="0" applyNumberFormat="1" applyFont="1" applyAlignment="1">
      <alignment horizontal="right"/>
    </xf>
    <xf numFmtId="171" fontId="29" fillId="0" borderId="0" xfId="0" applyNumberFormat="1" applyFont="1" applyAlignment="1">
      <alignment horizontal="right"/>
    </xf>
    <xf numFmtId="0" fontId="29" fillId="0" borderId="0" xfId="0" applyFont="1" applyAlignment="1" applyProtection="1">
      <alignment horizontal="left"/>
      <protection locked="0"/>
    </xf>
    <xf numFmtId="171" fontId="4" fillId="0" borderId="0" xfId="0" applyNumberFormat="1" applyFont="1" applyAlignment="1" applyProtection="1">
      <alignment horizontal="right"/>
      <protection locked="0"/>
    </xf>
    <xf numFmtId="170" fontId="4" fillId="0" borderId="0" xfId="0" applyNumberFormat="1" applyFont="1" applyAlignment="1" applyProtection="1">
      <alignment horizontal="right"/>
      <protection locked="0"/>
    </xf>
    <xf numFmtId="0" fontId="31" fillId="0" borderId="0" xfId="0" applyFont="1"/>
    <xf numFmtId="0" fontId="23" fillId="0" borderId="0" xfId="0" applyFont="1" applyAlignment="1" applyProtection="1">
      <alignment horizontal="left"/>
      <protection locked="0"/>
    </xf>
    <xf numFmtId="0" fontId="31" fillId="0" borderId="0" xfId="0" applyFont="1" applyAlignment="1" applyProtection="1">
      <alignment horizontal="left" vertical="center"/>
      <protection locked="0"/>
    </xf>
    <xf numFmtId="0" fontId="23" fillId="0" borderId="0" xfId="0" applyFont="1" applyAlignment="1">
      <alignment horizontal="left"/>
    </xf>
    <xf numFmtId="0" fontId="5" fillId="0" borderId="0" xfId="5" applyFont="1" applyAlignment="1">
      <alignment horizontal="left" vertical="center"/>
    </xf>
    <xf numFmtId="15" fontId="3" fillId="0" borderId="0" xfId="5" applyNumberFormat="1" applyFont="1" applyAlignment="1">
      <alignment horizontal="left"/>
    </xf>
    <xf numFmtId="0" fontId="1" fillId="0" borderId="0" xfId="5" applyAlignment="1">
      <alignment horizontal="left" vertical="center"/>
    </xf>
    <xf numFmtId="0" fontId="29" fillId="0" borderId="0" xfId="0" applyFont="1" applyAlignment="1">
      <alignment vertical="center"/>
    </xf>
    <xf numFmtId="0" fontId="29" fillId="0" borderId="0" xfId="0" applyFont="1" applyAlignment="1">
      <alignment horizontal="right"/>
    </xf>
    <xf numFmtId="15" fontId="7" fillId="0" borderId="0" xfId="5" applyNumberFormat="1" applyFont="1" applyAlignment="1">
      <alignment horizontal="left"/>
    </xf>
    <xf numFmtId="0" fontId="5" fillId="0" borderId="0" xfId="5" applyFont="1" applyAlignment="1">
      <alignment horizontal="left" indent="2"/>
    </xf>
    <xf numFmtId="0" fontId="4" fillId="4" borderId="0" xfId="5" applyFont="1" applyFill="1" applyAlignment="1" applyProtection="1">
      <alignment horizontal="left" vertical="center"/>
      <protection locked="0"/>
    </xf>
    <xf numFmtId="170" fontId="29" fillId="0" borderId="0" xfId="0" applyNumberFormat="1" applyFont="1" applyAlignment="1">
      <alignment horizontal="right" vertical="center"/>
    </xf>
    <xf numFmtId="0" fontId="4" fillId="4" borderId="0" xfId="0" applyFont="1" applyFill="1" applyAlignment="1">
      <alignment vertical="center"/>
    </xf>
    <xf numFmtId="0" fontId="29" fillId="0" borderId="0" xfId="0" applyFont="1" applyAlignment="1">
      <alignment horizontal="right" vertical="center"/>
    </xf>
    <xf numFmtId="0" fontId="29" fillId="4" borderId="0" xfId="7" applyFont="1" applyFill="1" applyAlignment="1" applyProtection="1">
      <alignment horizontal="left" vertical="center" wrapText="1"/>
      <protection locked="0"/>
    </xf>
    <xf numFmtId="0" fontId="33" fillId="0" borderId="0" xfId="0" applyFont="1"/>
    <xf numFmtId="0" fontId="19" fillId="0" borderId="22" xfId="0" applyFont="1" applyBorder="1" applyAlignment="1">
      <alignment horizontal="left" vertical="center" wrapText="1"/>
    </xf>
    <xf numFmtId="0" fontId="0" fillId="0" borderId="19" xfId="0" applyBorder="1"/>
    <xf numFmtId="172" fontId="19" fillId="0" borderId="22" xfId="0" applyNumberFormat="1" applyFont="1" applyBorder="1" applyAlignment="1">
      <alignment horizontal="center" vertical="center"/>
    </xf>
    <xf numFmtId="0" fontId="17" fillId="0" borderId="23" xfId="0" applyFont="1" applyBorder="1" applyAlignment="1">
      <alignment vertical="center" wrapText="1"/>
    </xf>
    <xf numFmtId="0" fontId="17" fillId="0" borderId="24" xfId="0" applyFont="1" applyBorder="1" applyAlignment="1">
      <alignment horizontal="center" vertical="center"/>
    </xf>
    <xf numFmtId="171" fontId="17" fillId="0" borderId="25" xfId="0" applyNumberFormat="1" applyFont="1" applyBorder="1" applyAlignment="1">
      <alignment vertical="center"/>
    </xf>
    <xf numFmtId="0" fontId="17" fillId="0" borderId="16" xfId="0" applyFont="1" applyBorder="1" applyAlignment="1">
      <alignment vertical="center" wrapText="1"/>
    </xf>
    <xf numFmtId="0" fontId="17" fillId="0" borderId="22" xfId="0" applyFont="1" applyBorder="1" applyAlignment="1">
      <alignment horizontal="center" vertical="center"/>
    </xf>
    <xf numFmtId="171" fontId="17" fillId="0" borderId="20" xfId="0" applyNumberFormat="1" applyFont="1" applyBorder="1" applyAlignment="1">
      <alignment vertical="center"/>
    </xf>
    <xf numFmtId="170" fontId="17" fillId="0" borderId="20" xfId="0" applyNumberFormat="1" applyFont="1" applyBorder="1" applyAlignment="1">
      <alignment vertical="center"/>
    </xf>
    <xf numFmtId="0" fontId="0" fillId="0" borderId="26" xfId="0" applyBorder="1" applyAlignment="1">
      <alignment wrapText="1"/>
    </xf>
    <xf numFmtId="171" fontId="0" fillId="0" borderId="27" xfId="0" applyNumberFormat="1" applyBorder="1"/>
    <xf numFmtId="9" fontId="0" fillId="0" borderId="27" xfId="9" applyFont="1" applyBorder="1"/>
    <xf numFmtId="10" fontId="38" fillId="0" borderId="3" xfId="0" quotePrefix="1" applyNumberFormat="1" applyFont="1" applyBorder="1" applyAlignment="1">
      <alignment wrapText="1"/>
    </xf>
    <xf numFmtId="0" fontId="0" fillId="0" borderId="0" xfId="0" applyAlignment="1">
      <alignment wrapText="1"/>
    </xf>
    <xf numFmtId="171" fontId="0" fillId="0" borderId="0" xfId="0" applyNumberFormat="1"/>
    <xf numFmtId="0" fontId="33" fillId="0" borderId="0" xfId="0" applyFont="1" applyAlignment="1">
      <alignment wrapText="1"/>
    </xf>
    <xf numFmtId="170" fontId="0" fillId="0" borderId="27" xfId="0" applyNumberFormat="1" applyBorder="1"/>
    <xf numFmtId="0" fontId="39" fillId="0" borderId="0" xfId="0" applyFont="1"/>
    <xf numFmtId="0" fontId="40" fillId="0" borderId="0" xfId="0" applyFont="1"/>
    <xf numFmtId="0" fontId="41" fillId="15" borderId="0" xfId="0" applyFont="1" applyFill="1"/>
    <xf numFmtId="0" fontId="42" fillId="15" borderId="0" xfId="0" applyFont="1" applyFill="1" applyAlignment="1">
      <alignment horizontal="center" vertical="center"/>
    </xf>
    <xf numFmtId="0" fontId="42" fillId="15" borderId="0" xfId="0" applyFont="1" applyFill="1" applyAlignment="1">
      <alignment horizontal="center" vertical="center" wrapText="1"/>
    </xf>
    <xf numFmtId="0" fontId="42" fillId="15" borderId="0" xfId="0" applyFont="1" applyFill="1"/>
    <xf numFmtId="0" fontId="40" fillId="0" borderId="4" xfId="0" applyFont="1" applyBorder="1" applyAlignment="1">
      <alignment vertical="center" wrapText="1"/>
    </xf>
    <xf numFmtId="0" fontId="40" fillId="0" borderId="4" xfId="0" quotePrefix="1" applyFont="1" applyBorder="1" applyAlignment="1">
      <alignment horizontal="center"/>
    </xf>
    <xf numFmtId="170" fontId="0" fillId="0" borderId="4" xfId="0" applyNumberFormat="1" applyBorder="1"/>
    <xf numFmtId="0" fontId="40" fillId="0" borderId="0" xfId="0" applyFont="1" applyAlignment="1">
      <alignment vertical="center" wrapText="1"/>
    </xf>
    <xf numFmtId="0" fontId="40" fillId="0" borderId="0" xfId="0" applyFont="1" applyAlignment="1">
      <alignment horizontal="center"/>
    </xf>
    <xf numFmtId="0" fontId="44" fillId="0" borderId="0" xfId="0" applyFont="1" applyAlignment="1">
      <alignment vertical="center" wrapText="1"/>
    </xf>
    <xf numFmtId="0" fontId="45" fillId="0" borderId="0" xfId="0" applyFont="1" applyAlignment="1">
      <alignment horizontal="center"/>
    </xf>
    <xf numFmtId="0" fontId="39" fillId="0" borderId="0" xfId="0" applyFont="1" applyAlignment="1">
      <alignment horizontal="center" vertical="center"/>
    </xf>
    <xf numFmtId="164" fontId="38" fillId="0" borderId="4" xfId="8" quotePrefix="1" applyNumberFormat="1" applyFont="1" applyBorder="1" applyAlignment="1" applyProtection="1">
      <alignment wrapText="1"/>
    </xf>
    <xf numFmtId="0" fontId="40" fillId="0" borderId="4" xfId="0" applyFont="1" applyBorder="1" applyAlignment="1">
      <alignment horizontal="center"/>
    </xf>
    <xf numFmtId="0" fontId="38" fillId="0" borderId="4" xfId="0" quotePrefix="1" applyFont="1" applyBorder="1" applyAlignment="1">
      <alignment wrapText="1"/>
    </xf>
    <xf numFmtId="0" fontId="38" fillId="0" borderId="4" xfId="0" quotePrefix="1" applyFont="1" applyBorder="1" applyAlignment="1">
      <alignment horizontal="right" wrapText="1"/>
    </xf>
    <xf numFmtId="10" fontId="38" fillId="0" borderId="4" xfId="0" quotePrefix="1" applyNumberFormat="1" applyFont="1" applyBorder="1" applyAlignment="1">
      <alignment wrapText="1"/>
    </xf>
    <xf numFmtId="170" fontId="29" fillId="3" borderId="0" xfId="0" applyNumberFormat="1" applyFont="1" applyFill="1" applyAlignment="1">
      <alignment horizontal="right"/>
    </xf>
    <xf numFmtId="171" fontId="29" fillId="3" borderId="0" xfId="0" applyNumberFormat="1" applyFont="1" applyFill="1" applyAlignment="1">
      <alignment horizontal="right"/>
    </xf>
    <xf numFmtId="170" fontId="29" fillId="14" borderId="0" xfId="0" applyNumberFormat="1" applyFont="1" applyFill="1" applyAlignment="1">
      <alignment horizontal="right" vertical="center"/>
    </xf>
    <xf numFmtId="0" fontId="29" fillId="14" borderId="0" xfId="0" applyFont="1" applyFill="1" applyAlignment="1">
      <alignment horizontal="right" vertical="center"/>
    </xf>
    <xf numFmtId="170" fontId="29" fillId="14" borderId="0" xfId="0" applyNumberFormat="1" applyFont="1" applyFill="1" applyAlignment="1">
      <alignment horizontal="right"/>
    </xf>
    <xf numFmtId="0" fontId="1" fillId="14" borderId="0" xfId="5" applyFill="1" applyAlignment="1">
      <alignment horizontal="left" vertical="center"/>
    </xf>
    <xf numFmtId="0" fontId="29" fillId="14" borderId="0" xfId="0" applyFont="1" applyFill="1" applyAlignment="1">
      <alignment vertical="center"/>
    </xf>
    <xf numFmtId="0" fontId="29" fillId="14" borderId="0" xfId="0" applyFont="1" applyFill="1" applyAlignment="1">
      <alignment horizontal="right"/>
    </xf>
    <xf numFmtId="171" fontId="29" fillId="14" borderId="0" xfId="0" applyNumberFormat="1" applyFont="1" applyFill="1" applyAlignment="1">
      <alignment horizontal="right"/>
    </xf>
    <xf numFmtId="171" fontId="4" fillId="14" borderId="0" xfId="0" applyNumberFormat="1" applyFont="1" applyFill="1" applyAlignment="1" applyProtection="1">
      <alignment horizontal="right"/>
      <protection locked="0"/>
    </xf>
    <xf numFmtId="170" fontId="4" fillId="14" borderId="0" xfId="0" applyNumberFormat="1" applyFont="1" applyFill="1" applyAlignment="1" applyProtection="1">
      <alignment horizontal="right"/>
      <protection locked="0"/>
    </xf>
    <xf numFmtId="0" fontId="2" fillId="0" borderId="0" xfId="1" applyFont="1" applyAlignment="1">
      <alignment vertical="top" wrapText="1"/>
    </xf>
    <xf numFmtId="0" fontId="5" fillId="0" borderId="0" xfId="1" applyFont="1"/>
    <xf numFmtId="0" fontId="1" fillId="0" borderId="3" xfId="1" applyBorder="1" applyAlignment="1" applyProtection="1">
      <alignment vertical="top"/>
      <protection locked="0"/>
    </xf>
    <xf numFmtId="0" fontId="3" fillId="0" borderId="0" xfId="1" applyFont="1" applyAlignment="1" applyProtection="1">
      <alignment horizontal="left"/>
      <protection locked="0"/>
    </xf>
    <xf numFmtId="166" fontId="3" fillId="0" borderId="15" xfId="3" applyFont="1" applyFill="1" applyBorder="1" applyAlignment="1" applyProtection="1">
      <alignment horizontal="left" vertical="center"/>
      <protection locked="0"/>
    </xf>
    <xf numFmtId="169" fontId="3" fillId="0" borderId="4" xfId="3" applyNumberFormat="1" applyFont="1" applyFill="1" applyBorder="1" applyAlignment="1" applyProtection="1">
      <alignment horizontal="left" vertical="center"/>
      <protection locked="0"/>
    </xf>
    <xf numFmtId="44" fontId="3" fillId="0" borderId="15" xfId="3" applyNumberFormat="1" applyFont="1" applyFill="1" applyBorder="1" applyAlignment="1" applyProtection="1">
      <alignment horizontal="left" vertical="center"/>
      <protection locked="0"/>
    </xf>
    <xf numFmtId="0" fontId="3" fillId="0" borderId="4" xfId="1" applyFont="1" applyBorder="1" applyAlignment="1" applyProtection="1">
      <alignment horizontal="left" vertical="center"/>
      <protection locked="0"/>
    </xf>
    <xf numFmtId="169" fontId="1" fillId="0" borderId="18" xfId="3" applyNumberFormat="1" applyFont="1" applyFill="1" applyBorder="1" applyAlignment="1" applyProtection="1">
      <alignment vertical="top"/>
      <protection locked="0"/>
    </xf>
    <xf numFmtId="9" fontId="1" fillId="0" borderId="15" xfId="1" applyNumberFormat="1" applyBorder="1" applyAlignment="1" applyProtection="1">
      <alignment vertical="top"/>
      <protection locked="0"/>
    </xf>
    <xf numFmtId="167" fontId="1" fillId="0" borderId="15" xfId="1" applyNumberFormat="1" applyBorder="1" applyAlignment="1" applyProtection="1">
      <alignment vertical="top"/>
      <protection locked="0"/>
    </xf>
    <xf numFmtId="0" fontId="1" fillId="0" borderId="13" xfId="1" applyBorder="1" applyAlignment="1" applyProtection="1">
      <alignment vertical="top"/>
      <protection locked="0"/>
    </xf>
    <xf numFmtId="0" fontId="1" fillId="0" borderId="15" xfId="1" applyBorder="1" applyAlignment="1" applyProtection="1">
      <alignment vertical="top"/>
      <protection locked="0"/>
    </xf>
    <xf numFmtId="169" fontId="1" fillId="0" borderId="19" xfId="3" applyNumberFormat="1" applyFont="1" applyFill="1" applyBorder="1" applyAlignment="1" applyProtection="1">
      <alignment vertical="top"/>
      <protection locked="0"/>
    </xf>
    <xf numFmtId="169" fontId="1" fillId="0" borderId="19" xfId="3" applyNumberFormat="1" applyFill="1" applyBorder="1" applyAlignment="1" applyProtection="1">
      <alignment vertical="top"/>
      <protection locked="0"/>
    </xf>
    <xf numFmtId="0" fontId="1" fillId="0" borderId="0" xfId="1" applyAlignment="1">
      <alignment horizontal="left" indent="1"/>
    </xf>
    <xf numFmtId="0" fontId="1" fillId="0" borderId="4" xfId="1" applyBorder="1" applyAlignment="1" applyProtection="1">
      <alignment horizontal="center" vertical="center"/>
      <protection locked="0"/>
    </xf>
    <xf numFmtId="0" fontId="16" fillId="0" borderId="0" xfId="1" applyFont="1" applyAlignment="1" applyProtection="1">
      <alignment vertical="top"/>
      <protection locked="0"/>
    </xf>
    <xf numFmtId="166" fontId="18" fillId="0" borderId="15" xfId="3" applyFont="1" applyFill="1" applyBorder="1" applyAlignment="1" applyProtection="1">
      <alignment horizontal="left" vertical="center"/>
      <protection locked="0"/>
    </xf>
    <xf numFmtId="169" fontId="20" fillId="0" borderId="4" xfId="3" applyNumberFormat="1" applyFont="1" applyFill="1" applyBorder="1" applyAlignment="1" applyProtection="1">
      <alignment horizontal="left" vertical="center"/>
      <protection locked="0"/>
    </xf>
    <xf numFmtId="44" fontId="18" fillId="0" borderId="15" xfId="3" applyNumberFormat="1" applyFont="1" applyFill="1" applyBorder="1" applyAlignment="1" applyProtection="1">
      <alignment horizontal="left" vertical="center"/>
      <protection locked="0"/>
    </xf>
    <xf numFmtId="0" fontId="20" fillId="0" borderId="4" xfId="1" applyFont="1" applyBorder="1" applyAlignment="1" applyProtection="1">
      <alignment horizontal="left" vertical="center"/>
      <protection locked="0"/>
    </xf>
    <xf numFmtId="0" fontId="3" fillId="0" borderId="13" xfId="1" applyFont="1" applyBorder="1" applyAlignment="1" applyProtection="1">
      <alignment vertical="center"/>
      <protection locked="0"/>
    </xf>
    <xf numFmtId="0" fontId="3" fillId="0" borderId="15" xfId="1" applyFont="1" applyBorder="1" applyAlignment="1" applyProtection="1">
      <alignment vertical="center"/>
      <protection locked="0"/>
    </xf>
    <xf numFmtId="166" fontId="3" fillId="14" borderId="15" xfId="3" applyFont="1" applyFill="1" applyBorder="1" applyAlignment="1" applyProtection="1">
      <alignment horizontal="left" vertical="center"/>
      <protection locked="0"/>
    </xf>
    <xf numFmtId="44" fontId="3" fillId="14" borderId="15" xfId="3" applyNumberFormat="1" applyFont="1" applyFill="1" applyBorder="1" applyAlignment="1" applyProtection="1">
      <alignment horizontal="left" vertical="center"/>
      <protection locked="0"/>
    </xf>
    <xf numFmtId="0" fontId="0" fillId="14" borderId="0" xfId="0" applyFill="1"/>
    <xf numFmtId="169" fontId="3" fillId="14" borderId="15" xfId="3" applyNumberFormat="1" applyFont="1" applyFill="1" applyBorder="1" applyAlignment="1" applyProtection="1">
      <alignment horizontal="left" vertical="center"/>
      <protection locked="0"/>
    </xf>
    <xf numFmtId="9" fontId="1" fillId="14" borderId="15" xfId="1" applyNumberFormat="1" applyFill="1" applyBorder="1" applyAlignment="1" applyProtection="1">
      <alignment vertical="top"/>
      <protection locked="0"/>
    </xf>
    <xf numFmtId="167" fontId="1" fillId="14" borderId="15" xfId="1" applyNumberFormat="1" applyFill="1" applyBorder="1" applyAlignment="1" applyProtection="1">
      <alignment vertical="top"/>
      <protection locked="0"/>
    </xf>
    <xf numFmtId="0" fontId="46" fillId="0" borderId="0" xfId="0" applyFont="1" applyAlignment="1">
      <alignment wrapText="1"/>
    </xf>
    <xf numFmtId="0" fontId="46" fillId="0" borderId="0" xfId="0" applyFont="1"/>
    <xf numFmtId="168" fontId="46" fillId="0" borderId="0" xfId="0" applyNumberFormat="1" applyFont="1"/>
    <xf numFmtId="166" fontId="18" fillId="14" borderId="15" xfId="3" applyFont="1" applyFill="1" applyBorder="1" applyAlignment="1" applyProtection="1">
      <alignment horizontal="left" vertical="center"/>
      <protection locked="0"/>
    </xf>
    <xf numFmtId="44" fontId="18" fillId="14" borderId="15" xfId="3" applyNumberFormat="1" applyFont="1" applyFill="1" applyBorder="1" applyAlignment="1" applyProtection="1">
      <alignment horizontal="left" vertical="center"/>
      <protection locked="0"/>
    </xf>
    <xf numFmtId="169" fontId="18" fillId="14" borderId="15" xfId="3" applyNumberFormat="1" applyFont="1" applyFill="1" applyBorder="1" applyAlignment="1" applyProtection="1">
      <alignment horizontal="left" vertical="center"/>
      <protection locked="0"/>
    </xf>
    <xf numFmtId="169" fontId="20" fillId="14" borderId="15" xfId="3" applyNumberFormat="1" applyFont="1" applyFill="1" applyBorder="1" applyAlignment="1" applyProtection="1">
      <alignment horizontal="left" vertical="center"/>
      <protection locked="0"/>
    </xf>
    <xf numFmtId="171" fontId="29" fillId="16" borderId="0" xfId="0" applyNumberFormat="1" applyFont="1" applyFill="1" applyAlignment="1">
      <alignment horizontal="right"/>
    </xf>
    <xf numFmtId="0" fontId="3" fillId="4" borderId="0" xfId="1" applyFont="1" applyFill="1" applyAlignment="1" applyProtection="1">
      <alignment horizontal="left" vertical="top"/>
      <protection locked="0"/>
    </xf>
    <xf numFmtId="3" fontId="3" fillId="4" borderId="13" xfId="1" applyNumberFormat="1" applyFont="1" applyFill="1" applyBorder="1" applyAlignment="1" applyProtection="1">
      <alignment horizontal="left" vertical="top"/>
      <protection locked="0"/>
    </xf>
    <xf numFmtId="3" fontId="1" fillId="0" borderId="15" xfId="1" applyNumberFormat="1" applyBorder="1" applyAlignment="1" applyProtection="1">
      <alignment vertical="center"/>
      <protection locked="0"/>
    </xf>
    <xf numFmtId="3" fontId="18" fillId="0" borderId="9" xfId="1" applyNumberFormat="1" applyFont="1" applyBorder="1" applyAlignment="1" applyProtection="1">
      <alignment vertical="center"/>
      <protection locked="0"/>
    </xf>
    <xf numFmtId="0" fontId="29" fillId="4" borderId="0" xfId="0" applyFont="1" applyFill="1" applyAlignment="1">
      <alignment horizontal="left" vertical="top" wrapText="1"/>
    </xf>
    <xf numFmtId="171" fontId="29" fillId="4" borderId="0" xfId="0" applyNumberFormat="1" applyFont="1" applyFill="1" applyAlignment="1">
      <alignment horizontal="left" vertical="top" wrapText="1"/>
    </xf>
    <xf numFmtId="0" fontId="29" fillId="4" borderId="0" xfId="0" applyFont="1" applyFill="1" applyAlignment="1" applyProtection="1">
      <alignment horizontal="left" wrapText="1"/>
      <protection locked="0"/>
    </xf>
    <xf numFmtId="0" fontId="28" fillId="4" borderId="0" xfId="0" applyFont="1" applyFill="1" applyAlignment="1">
      <alignment horizontal="left" vertical="top" wrapText="1"/>
    </xf>
    <xf numFmtId="171" fontId="28" fillId="4" borderId="0" xfId="0" applyNumberFormat="1" applyFont="1" applyFill="1" applyAlignment="1">
      <alignment horizontal="left" vertical="top" wrapText="1"/>
    </xf>
    <xf numFmtId="0" fontId="4" fillId="4" borderId="0" xfId="6" applyFont="1" applyFill="1" applyAlignment="1" applyProtection="1">
      <alignment horizontal="left" wrapText="1" indent="2"/>
      <protection locked="0"/>
    </xf>
    <xf numFmtId="0" fontId="29" fillId="4" borderId="0" xfId="0" applyFont="1" applyFill="1" applyAlignment="1">
      <alignment horizontal="left" wrapText="1" indent="2"/>
    </xf>
    <xf numFmtId="0" fontId="22" fillId="4" borderId="0" xfId="0" applyFont="1" applyFill="1" applyAlignment="1">
      <alignment horizontal="center" vertical="top" wrapText="1"/>
    </xf>
    <xf numFmtId="0" fontId="24" fillId="4" borderId="0" xfId="0" applyFont="1" applyFill="1" applyAlignment="1">
      <alignment horizontal="center" vertical="top" wrapText="1"/>
    </xf>
    <xf numFmtId="0" fontId="19" fillId="4" borderId="0" xfId="0" applyFont="1" applyFill="1" applyAlignment="1">
      <alignment horizontal="center" vertical="top" wrapText="1"/>
    </xf>
    <xf numFmtId="0" fontId="23" fillId="4" borderId="0" xfId="0" applyFont="1" applyFill="1" applyAlignment="1">
      <alignment horizontal="center" vertical="top" wrapText="1"/>
    </xf>
    <xf numFmtId="0" fontId="23" fillId="4" borderId="0" xfId="0" applyFont="1" applyFill="1" applyAlignment="1" applyProtection="1">
      <alignment horizontal="left" vertical="top" wrapText="1"/>
      <protection locked="0"/>
    </xf>
    <xf numFmtId="0" fontId="26" fillId="4" borderId="0" xfId="0" applyFont="1" applyFill="1" applyAlignment="1" applyProtection="1">
      <alignment horizontal="left" vertical="top" wrapText="1"/>
      <protection locked="0"/>
    </xf>
    <xf numFmtId="0" fontId="27" fillId="4" borderId="0" xfId="0" applyFont="1" applyFill="1" applyAlignment="1" applyProtection="1">
      <alignment horizontal="left" vertical="top" wrapText="1"/>
      <protection locked="0"/>
    </xf>
    <xf numFmtId="0" fontId="19" fillId="4" borderId="0" xfId="0" applyFont="1" applyFill="1" applyAlignment="1" applyProtection="1">
      <alignment horizontal="left" vertical="top"/>
      <protection locked="0"/>
    </xf>
    <xf numFmtId="0" fontId="28" fillId="4" borderId="0" xfId="0" applyFont="1" applyFill="1" applyAlignment="1">
      <alignment horizontal="left" vertical="top"/>
    </xf>
    <xf numFmtId="0" fontId="29" fillId="0" borderId="0" xfId="0" applyFont="1" applyAlignment="1" applyProtection="1">
      <alignment horizontal="left" wrapText="1"/>
      <protection locked="0"/>
    </xf>
    <xf numFmtId="0" fontId="29" fillId="0" borderId="0" xfId="0" applyFont="1" applyAlignment="1">
      <alignment horizontal="left" wrapText="1"/>
    </xf>
    <xf numFmtId="0" fontId="25" fillId="4" borderId="0" xfId="0" applyFont="1" applyFill="1" applyAlignment="1">
      <alignment horizontal="right" vertical="top"/>
    </xf>
    <xf numFmtId="0" fontId="19" fillId="4" borderId="0" xfId="0" applyFont="1" applyFill="1" applyAlignment="1" applyProtection="1">
      <alignment horizontal="left"/>
      <protection locked="0"/>
    </xf>
    <xf numFmtId="0" fontId="28" fillId="4" borderId="0" xfId="0" applyFont="1" applyFill="1" applyAlignment="1">
      <alignment horizontal="left"/>
    </xf>
    <xf numFmtId="0" fontId="19" fillId="4" borderId="0" xfId="0" applyFont="1" applyFill="1" applyAlignment="1" applyProtection="1">
      <alignment horizontal="left" wrapText="1"/>
      <protection locked="0"/>
    </xf>
    <xf numFmtId="0" fontId="29" fillId="4" borderId="0" xfId="0" applyFont="1" applyFill="1" applyAlignment="1">
      <alignment horizontal="left" wrapText="1"/>
    </xf>
    <xf numFmtId="171" fontId="27" fillId="4" borderId="0" xfId="0" applyNumberFormat="1" applyFont="1" applyFill="1" applyAlignment="1" applyProtection="1">
      <alignment horizontal="left" vertical="top" wrapText="1"/>
      <protection locked="0"/>
    </xf>
    <xf numFmtId="171" fontId="23" fillId="4" borderId="0" xfId="0" applyNumberFormat="1" applyFont="1" applyFill="1" applyAlignment="1" applyProtection="1">
      <alignment horizontal="left" vertical="top" wrapText="1"/>
      <protection locked="0"/>
    </xf>
    <xf numFmtId="0" fontId="29" fillId="4" borderId="0" xfId="0" applyFont="1" applyFill="1" applyAlignment="1" applyProtection="1">
      <alignment horizontal="left" wrapText="1" indent="6"/>
      <protection locked="0"/>
    </xf>
    <xf numFmtId="0" fontId="29" fillId="4" borderId="0" xfId="7" applyFont="1" applyFill="1" applyAlignment="1" applyProtection="1">
      <alignment horizontal="left" vertical="center" wrapText="1"/>
      <protection locked="0"/>
    </xf>
    <xf numFmtId="0" fontId="37" fillId="9" borderId="0" xfId="0" applyFont="1" applyFill="1" applyAlignment="1">
      <alignment horizontal="center" vertical="center" wrapText="1"/>
    </xf>
    <xf numFmtId="173" fontId="0" fillId="0" borderId="16" xfId="0" applyNumberFormat="1" applyBorder="1" applyAlignment="1">
      <alignment horizontal="center" wrapText="1"/>
    </xf>
    <xf numFmtId="173" fontId="0" fillId="0" borderId="17" xfId="0" applyNumberFormat="1" applyBorder="1" applyAlignment="1">
      <alignment horizontal="center" wrapText="1"/>
    </xf>
    <xf numFmtId="173" fontId="0" fillId="0" borderId="18" xfId="0" applyNumberFormat="1" applyBorder="1" applyAlignment="1">
      <alignment horizontal="center" wrapText="1"/>
    </xf>
    <xf numFmtId="0" fontId="25" fillId="3" borderId="0" xfId="0" applyFont="1" applyFill="1" applyAlignment="1">
      <alignment horizontal="right" vertical="top"/>
    </xf>
    <xf numFmtId="0" fontId="7" fillId="0" borderId="0" xfId="1" applyFont="1" applyAlignment="1">
      <alignment horizontal="center"/>
    </xf>
    <xf numFmtId="0" fontId="8" fillId="0" borderId="0" xfId="1" applyFont="1" applyAlignment="1">
      <alignment horizontal="left" vertical="top" wrapText="1"/>
    </xf>
    <xf numFmtId="0" fontId="3" fillId="0" borderId="1" xfId="1" applyFont="1" applyBorder="1" applyAlignment="1">
      <alignment horizontal="left" vertical="center" wrapText="1"/>
    </xf>
    <xf numFmtId="0" fontId="3" fillId="0" borderId="2" xfId="1" applyFont="1" applyBorder="1" applyAlignment="1">
      <alignment horizontal="left" vertical="center"/>
    </xf>
    <xf numFmtId="0" fontId="3" fillId="0" borderId="3" xfId="1" applyFont="1" applyBorder="1" applyAlignment="1">
      <alignment horizontal="left" vertical="center"/>
    </xf>
    <xf numFmtId="0" fontId="1" fillId="4" borderId="4" xfId="1" applyFill="1" applyBorder="1" applyAlignment="1">
      <alignment horizontal="left" vertical="top"/>
    </xf>
    <xf numFmtId="0" fontId="3" fillId="8" borderId="4" xfId="1" applyFont="1" applyFill="1" applyBorder="1" applyAlignment="1">
      <alignment horizontal="center" vertical="center"/>
    </xf>
    <xf numFmtId="0" fontId="3" fillId="9" borderId="4" xfId="1" applyFont="1" applyFill="1" applyBorder="1" applyAlignment="1">
      <alignment horizontal="center" vertical="center"/>
    </xf>
    <xf numFmtId="0" fontId="3" fillId="0" borderId="5" xfId="1" applyFont="1" applyBorder="1" applyAlignment="1">
      <alignment horizontal="left" vertical="center" wrapText="1"/>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0" xfId="1" applyFont="1" applyAlignment="1">
      <alignment horizontal="lef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4" xfId="1" applyFont="1" applyBorder="1" applyAlignment="1">
      <alignment horizontal="center" vertical="center"/>
    </xf>
    <xf numFmtId="0" fontId="15" fillId="4" borderId="4" xfId="1" applyFont="1" applyFill="1" applyBorder="1" applyAlignment="1" applyProtection="1">
      <alignment horizontal="left" vertical="top"/>
      <protection locked="0"/>
    </xf>
    <xf numFmtId="0" fontId="3" fillId="4" borderId="13" xfId="1" applyFont="1" applyFill="1" applyBorder="1" applyAlignment="1" applyProtection="1">
      <alignment horizontal="left" vertical="top"/>
      <protection locked="0"/>
    </xf>
    <xf numFmtId="0" fontId="3" fillId="0" borderId="1" xfId="1" applyFont="1" applyBorder="1" applyAlignment="1" applyProtection="1">
      <alignment horizontal="center"/>
      <protection locked="0"/>
    </xf>
    <xf numFmtId="0" fontId="3" fillId="0" borderId="2" xfId="1" applyFont="1" applyBorder="1" applyAlignment="1" applyProtection="1">
      <alignment horizontal="center"/>
      <protection locked="0"/>
    </xf>
    <xf numFmtId="0" fontId="3" fillId="0" borderId="3" xfId="1" applyFont="1" applyBorder="1" applyAlignment="1" applyProtection="1">
      <alignment horizontal="center"/>
      <protection locked="0"/>
    </xf>
    <xf numFmtId="0" fontId="3" fillId="4" borderId="0" xfId="1" applyFont="1" applyFill="1" applyAlignment="1" applyProtection="1">
      <alignment horizontal="center" wrapText="1"/>
      <protection locked="0"/>
    </xf>
    <xf numFmtId="0" fontId="1" fillId="4" borderId="0" xfId="1" applyFill="1" applyAlignment="1" applyProtection="1">
      <alignment horizontal="center" wrapText="1"/>
      <protection locked="0"/>
    </xf>
    <xf numFmtId="0" fontId="3" fillId="0" borderId="15" xfId="1" applyFont="1" applyBorder="1" applyAlignment="1" applyProtection="1">
      <alignment horizontal="center" wrapText="1"/>
      <protection locked="0"/>
    </xf>
    <xf numFmtId="0" fontId="1" fillId="0" borderId="13" xfId="1" applyBorder="1" applyAlignment="1" applyProtection="1">
      <alignment wrapText="1"/>
      <protection locked="0"/>
    </xf>
    <xf numFmtId="0" fontId="3" fillId="0" borderId="9" xfId="1" applyFont="1" applyBorder="1" applyAlignment="1" applyProtection="1">
      <alignment horizontal="center" wrapText="1"/>
      <protection locked="0"/>
    </xf>
    <xf numFmtId="0" fontId="1" fillId="0" borderId="12" xfId="1" applyBorder="1" applyAlignment="1" applyProtection="1">
      <alignment wrapText="1"/>
      <protection locked="0"/>
    </xf>
    <xf numFmtId="0" fontId="3" fillId="14" borderId="0" xfId="1" applyFont="1" applyFill="1" applyAlignment="1" applyProtection="1">
      <alignment horizontal="left" vertical="top" wrapText="1"/>
      <protection locked="0"/>
    </xf>
  </cellXfs>
  <cellStyles count="10">
    <cellStyle name="Comma 4" xfId="2" xr:uid="{AAC04D39-4B7E-4B9E-A5E4-83014A50072B}"/>
    <cellStyle name="Currency" xfId="8" builtinId="4"/>
    <cellStyle name="Currency 2" xfId="3" xr:uid="{D0BBD049-E3A9-4BF8-AD44-4F2C53EC7C46}"/>
    <cellStyle name="Normal" xfId="0" builtinId="0"/>
    <cellStyle name="Normal 10 12" xfId="7" xr:uid="{7DB7E8E8-9999-4A08-82CC-FC6B224D76D6}"/>
    <cellStyle name="Normal 2" xfId="1" xr:uid="{9EAE797C-3A49-40FF-AAB6-60E5AEDB6845}"/>
    <cellStyle name="Normal_lists_1 2" xfId="6" xr:uid="{216B9644-78EE-40EF-ADB0-6EFDD090165D}"/>
    <cellStyle name="Normal_Sheet4 2" xfId="5" xr:uid="{DB8DEE4A-0F5E-442F-8598-7AE86F20AB59}"/>
    <cellStyle name="Percent" xfId="9" builtinId="5"/>
    <cellStyle name="Percent 2" xfId="4" xr:uid="{72AD4257-C393-4D3C-BF6F-3AD55FDF5CB7}"/>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57150</xdr:rowOff>
    </xdr:from>
    <xdr:to>
      <xdr:col>10</xdr:col>
      <xdr:colOff>1438275</xdr:colOff>
      <xdr:row>8</xdr:row>
      <xdr:rowOff>1884</xdr:rowOff>
    </xdr:to>
    <xdr:pic>
      <xdr:nvPicPr>
        <xdr:cNvPr id="2" name="Picture 1">
          <a:extLst>
            <a:ext uri="{FF2B5EF4-FFF2-40B4-BE49-F238E27FC236}">
              <a16:creationId xmlns:a16="http://schemas.microsoft.com/office/drawing/2014/main" id="{7A0C30AA-24C4-4686-9362-AA78BD19809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 y="57150"/>
          <a:ext cx="13525500" cy="1421109"/>
        </a:xfrm>
        <a:prstGeom prst="rect">
          <a:avLst/>
        </a:prstGeom>
        <a:ln>
          <a:noFill/>
        </a:ln>
        <a:effectLst>
          <a:softEdge rad="112500"/>
        </a:effectLst>
      </xdr:spPr>
    </xdr:pic>
    <xdr:clientData/>
  </xdr:twoCellAnchor>
  <xdr:twoCellAnchor>
    <xdr:from>
      <xdr:col>0</xdr:col>
      <xdr:colOff>1814300</xdr:colOff>
      <xdr:row>1</xdr:row>
      <xdr:rowOff>47154</xdr:rowOff>
    </xdr:from>
    <xdr:to>
      <xdr:col>9</xdr:col>
      <xdr:colOff>508335</xdr:colOff>
      <xdr:row>4</xdr:row>
      <xdr:rowOff>18168</xdr:rowOff>
    </xdr:to>
    <xdr:sp macro="" textlink="">
      <xdr:nvSpPr>
        <xdr:cNvPr id="3" name="Rectangle 2">
          <a:extLst>
            <a:ext uri="{FF2B5EF4-FFF2-40B4-BE49-F238E27FC236}">
              <a16:creationId xmlns:a16="http://schemas.microsoft.com/office/drawing/2014/main" id="{7D4D152A-D6A9-4BED-B40F-66FE1A649110}"/>
            </a:ext>
          </a:extLst>
        </xdr:cNvPr>
        <xdr:cNvSpPr/>
      </xdr:nvSpPr>
      <xdr:spPr>
        <a:xfrm>
          <a:off x="2042900" y="323379"/>
          <a:ext cx="9533485" cy="65681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Incentive Rate-setting Mechanism Rate Generator </a:t>
          </a:r>
          <a:b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br>
          <a:r>
            <a:rPr lang="en-CA" sz="28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for 2024 Filers</a:t>
          </a:r>
        </a:p>
        <a:p>
          <a:pPr algn="ctr" rtl="0"/>
          <a:endParaRPr lang="en-CA" sz="28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16357</xdr:colOff>
      <xdr:row>1</xdr:row>
      <xdr:rowOff>6409</xdr:rowOff>
    </xdr:from>
    <xdr:to>
      <xdr:col>0</xdr:col>
      <xdr:colOff>407593</xdr:colOff>
      <xdr:row>3</xdr:row>
      <xdr:rowOff>20475</xdr:rowOff>
    </xdr:to>
    <xdr:pic>
      <xdr:nvPicPr>
        <xdr:cNvPr id="4" name="Picture 3">
          <a:extLst>
            <a:ext uri="{FF2B5EF4-FFF2-40B4-BE49-F238E27FC236}">
              <a16:creationId xmlns:a16="http://schemas.microsoft.com/office/drawing/2014/main" id="{F7D19A87-A227-404E-AC23-A494D7846C7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44957" y="282634"/>
          <a:ext cx="391236" cy="471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358613</xdr:colOff>
      <xdr:row>0</xdr:row>
      <xdr:rowOff>165301</xdr:rowOff>
    </xdr:from>
    <xdr:to>
      <xdr:col>1</xdr:col>
      <xdr:colOff>640216</xdr:colOff>
      <xdr:row>2</xdr:row>
      <xdr:rowOff>135597</xdr:rowOff>
    </xdr:to>
    <xdr:sp macro="" textlink="">
      <xdr:nvSpPr>
        <xdr:cNvPr id="5" name="Rectangle 4">
          <a:extLst>
            <a:ext uri="{FF2B5EF4-FFF2-40B4-BE49-F238E27FC236}">
              <a16:creationId xmlns:a16="http://schemas.microsoft.com/office/drawing/2014/main" id="{3DFB4790-5AB3-4138-A1CE-CBD6520FE01A}"/>
            </a:ext>
          </a:extLst>
        </xdr:cNvPr>
        <xdr:cNvSpPr/>
      </xdr:nvSpPr>
      <xdr:spPr>
        <a:xfrm>
          <a:off x="587213" y="165301"/>
          <a:ext cx="2596178" cy="4751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34BAB-91BD-4955-8054-74685312EC36}">
  <sheetPr filterMode="1"/>
  <dimension ref="A2:BC232"/>
  <sheetViews>
    <sheetView view="pageBreakPreview" zoomScale="60" zoomScaleNormal="100" workbookViewId="0">
      <selection activeCell="BC39" sqref="BC39:BC42"/>
    </sheetView>
  </sheetViews>
  <sheetFormatPr defaultRowHeight="14.5" x14ac:dyDescent="0.35"/>
  <cols>
    <col min="1" max="1" width="57.81640625" bestFit="1" customWidth="1"/>
    <col min="2" max="2" width="16.453125" customWidth="1"/>
    <col min="3" max="3" width="6.26953125" customWidth="1"/>
    <col min="4" max="4" width="10.453125" customWidth="1"/>
    <col min="5" max="5" width="9.26953125" hidden="1" customWidth="1"/>
    <col min="6" max="6" width="16.54296875" hidden="1" customWidth="1"/>
    <col min="7" max="7" width="47.7265625" hidden="1" customWidth="1"/>
    <col min="8" max="8" width="14" hidden="1" customWidth="1"/>
    <col min="9" max="9" width="10" hidden="1" customWidth="1"/>
    <col min="10" max="10" width="29.7265625" hidden="1" customWidth="1"/>
    <col min="11" max="12" width="18.26953125" hidden="1" customWidth="1"/>
    <col min="13" max="14" width="9.26953125" hidden="1" customWidth="1"/>
    <col min="15" max="15" width="26.7265625" hidden="1" customWidth="1"/>
    <col min="16" max="16" width="34.26953125" hidden="1" customWidth="1"/>
    <col min="17" max="23" width="9.26953125" hidden="1" customWidth="1"/>
    <col min="24" max="24" width="58.26953125" hidden="1" customWidth="1"/>
    <col min="25" max="25" width="75.453125" hidden="1" customWidth="1"/>
    <col min="26" max="26" width="87.54296875" hidden="1" customWidth="1"/>
    <col min="27" max="52" width="9.26953125" hidden="1" customWidth="1"/>
    <col min="53" max="53" width="10.81640625" bestFit="1" customWidth="1"/>
    <col min="54" max="54" width="16.54296875" bestFit="1" customWidth="1"/>
    <col min="55" max="55" width="17.26953125" bestFit="1" customWidth="1"/>
  </cols>
  <sheetData>
    <row r="2" spans="1:44" ht="23" x14ac:dyDescent="0.35">
      <c r="A2" s="267" t="s">
        <v>83</v>
      </c>
      <c r="B2" s="267"/>
      <c r="C2" s="267"/>
      <c r="D2" s="267"/>
      <c r="E2" t="s">
        <v>177</v>
      </c>
      <c r="F2" t="s">
        <v>178</v>
      </c>
      <c r="G2" t="s">
        <v>83</v>
      </c>
      <c r="I2">
        <v>5</v>
      </c>
      <c r="Z2" s="142" t="s">
        <v>83</v>
      </c>
    </row>
    <row r="3" spans="1:44" ht="18" x14ac:dyDescent="0.35">
      <c r="A3" s="270" t="s">
        <v>84</v>
      </c>
      <c r="B3" s="270"/>
      <c r="C3" s="270"/>
      <c r="D3" s="270"/>
      <c r="Z3" s="143" t="s">
        <v>84</v>
      </c>
    </row>
    <row r="4" spans="1:44" ht="15.5" x14ac:dyDescent="0.35">
      <c r="A4" s="268" t="s">
        <v>179</v>
      </c>
      <c r="B4" s="268"/>
      <c r="C4" s="268"/>
      <c r="D4" s="268"/>
      <c r="O4">
        <v>45658</v>
      </c>
      <c r="Z4" s="144" t="s">
        <v>179</v>
      </c>
    </row>
    <row r="5" spans="1:44" x14ac:dyDescent="0.35">
      <c r="A5" s="269" t="s">
        <v>85</v>
      </c>
      <c r="B5" s="269"/>
      <c r="C5" s="269"/>
      <c r="D5" s="269"/>
      <c r="Z5" s="145" t="s">
        <v>85</v>
      </c>
    </row>
    <row r="6" spans="1:44" x14ac:dyDescent="0.35">
      <c r="A6" s="269" t="s">
        <v>86</v>
      </c>
      <c r="B6" s="269"/>
      <c r="C6" s="269"/>
      <c r="D6" s="269"/>
      <c r="Z6" s="145" t="s">
        <v>86</v>
      </c>
    </row>
    <row r="7" spans="1:44" x14ac:dyDescent="0.35">
      <c r="A7" s="278" t="s">
        <v>180</v>
      </c>
      <c r="B7" s="278"/>
      <c r="C7" s="278"/>
      <c r="D7" s="278"/>
      <c r="G7" t="s">
        <v>180</v>
      </c>
      <c r="Z7" s="146" t="s">
        <v>180</v>
      </c>
      <c r="AR7" t="s">
        <v>177</v>
      </c>
    </row>
    <row r="8" spans="1:44" ht="17.5" x14ac:dyDescent="0.35">
      <c r="A8" s="271" t="s">
        <v>12</v>
      </c>
      <c r="B8" s="272"/>
      <c r="C8" s="272"/>
      <c r="D8" s="272"/>
      <c r="G8" t="s">
        <v>181</v>
      </c>
      <c r="Z8" s="143" t="s">
        <v>12</v>
      </c>
    </row>
    <row r="9" spans="1:44" ht="80.5" x14ac:dyDescent="0.35">
      <c r="A9" s="273" t="s">
        <v>87</v>
      </c>
      <c r="B9" s="273"/>
      <c r="C9" s="273"/>
      <c r="D9" s="273"/>
      <c r="G9" t="s">
        <v>181</v>
      </c>
      <c r="Z9" s="147" t="s">
        <v>87</v>
      </c>
    </row>
    <row r="10" spans="1:44" ht="34.5" x14ac:dyDescent="0.35">
      <c r="A10" s="273" t="s">
        <v>88</v>
      </c>
      <c r="B10" s="263"/>
      <c r="C10" s="263"/>
      <c r="D10" s="263"/>
      <c r="G10" t="s">
        <v>181</v>
      </c>
      <c r="Z10" s="147" t="s">
        <v>88</v>
      </c>
    </row>
    <row r="11" spans="1:44" x14ac:dyDescent="0.35">
      <c r="A11" s="113"/>
      <c r="B11" s="114"/>
      <c r="C11" s="114"/>
      <c r="D11" s="114"/>
    </row>
    <row r="12" spans="1:44" x14ac:dyDescent="0.35">
      <c r="A12" s="274" t="s">
        <v>89</v>
      </c>
      <c r="B12" s="275"/>
      <c r="C12" s="275"/>
      <c r="D12" s="275"/>
      <c r="G12" t="s">
        <v>182</v>
      </c>
      <c r="Z12" s="145" t="s">
        <v>89</v>
      </c>
    </row>
    <row r="13" spans="1:44" x14ac:dyDescent="0.35">
      <c r="A13" s="115"/>
      <c r="B13" s="116"/>
      <c r="C13" s="116"/>
      <c r="D13" s="116"/>
    </row>
    <row r="14" spans="1:44" ht="34.5" x14ac:dyDescent="0.35">
      <c r="A14" s="273" t="s">
        <v>90</v>
      </c>
      <c r="B14" s="273"/>
      <c r="C14" s="273"/>
      <c r="D14" s="273"/>
      <c r="G14" t="s">
        <v>181</v>
      </c>
      <c r="Z14" s="147" t="s">
        <v>90</v>
      </c>
    </row>
    <row r="15" spans="1:44" x14ac:dyDescent="0.35">
      <c r="A15" s="113"/>
      <c r="B15" s="113"/>
      <c r="C15" s="113"/>
      <c r="D15" s="113"/>
    </row>
    <row r="16" spans="1:44" ht="46" x14ac:dyDescent="0.35">
      <c r="A16" s="273" t="s">
        <v>91</v>
      </c>
      <c r="B16" s="273"/>
      <c r="C16" s="273"/>
      <c r="D16" s="273"/>
      <c r="G16" t="s">
        <v>181</v>
      </c>
      <c r="Z16" s="147" t="s">
        <v>91</v>
      </c>
    </row>
    <row r="17" spans="1:55" x14ac:dyDescent="0.35">
      <c r="A17" s="113"/>
      <c r="B17" s="113"/>
      <c r="C17" s="113"/>
      <c r="D17" s="113"/>
    </row>
    <row r="18" spans="1:55" ht="46" x14ac:dyDescent="0.35">
      <c r="A18" s="273" t="s">
        <v>92</v>
      </c>
      <c r="B18" s="273"/>
      <c r="C18" s="273"/>
      <c r="D18" s="273"/>
      <c r="G18" t="s">
        <v>181</v>
      </c>
      <c r="Z18" s="147" t="s">
        <v>92</v>
      </c>
    </row>
    <row r="19" spans="1:55" ht="42" customHeight="1" x14ac:dyDescent="0.35">
      <c r="A19" s="113"/>
      <c r="B19" s="113"/>
      <c r="C19" s="113"/>
      <c r="D19" s="113"/>
    </row>
    <row r="20" spans="1:55" ht="34.5" x14ac:dyDescent="0.35">
      <c r="A20" s="273" t="s">
        <v>93</v>
      </c>
      <c r="B20" s="273"/>
      <c r="C20" s="273"/>
      <c r="D20" s="273"/>
      <c r="G20" t="s">
        <v>181</v>
      </c>
      <c r="Z20" s="147" t="s">
        <v>93</v>
      </c>
    </row>
    <row r="21" spans="1:55" ht="41.25" customHeight="1" x14ac:dyDescent="0.35">
      <c r="A21" s="113"/>
      <c r="B21" s="113"/>
      <c r="C21" s="113"/>
      <c r="D21" s="113"/>
    </row>
    <row r="22" spans="1:55" ht="34.5" customHeight="1" x14ac:dyDescent="0.35">
      <c r="A22" s="279" t="s">
        <v>94</v>
      </c>
      <c r="B22" s="280"/>
      <c r="C22" s="280"/>
      <c r="D22" s="280"/>
      <c r="G22" t="s">
        <v>183</v>
      </c>
      <c r="Z22" s="145" t="s">
        <v>94</v>
      </c>
    </row>
    <row r="23" spans="1:55" x14ac:dyDescent="0.35">
      <c r="A23" s="117"/>
      <c r="B23" s="118"/>
      <c r="C23" s="118"/>
      <c r="D23" s="118"/>
      <c r="BA23" t="s">
        <v>311</v>
      </c>
      <c r="BB23" t="s">
        <v>304</v>
      </c>
      <c r="BC23" t="s">
        <v>305</v>
      </c>
    </row>
    <row r="24" spans="1:55" hidden="1" x14ac:dyDescent="0.35">
      <c r="A24" s="262" t="s">
        <v>95</v>
      </c>
      <c r="B24" s="262"/>
      <c r="C24" s="120" t="s">
        <v>28</v>
      </c>
      <c r="D24" s="148">
        <v>67.36</v>
      </c>
      <c r="G24" t="s">
        <v>181</v>
      </c>
      <c r="H24" t="s">
        <v>24</v>
      </c>
      <c r="L24" t="s">
        <v>184</v>
      </c>
      <c r="Y24" s="146" t="s">
        <v>95</v>
      </c>
      <c r="BA24" t="s">
        <v>24</v>
      </c>
      <c r="BB24" s="244" t="s">
        <v>306</v>
      </c>
      <c r="BC24" t="s">
        <v>307</v>
      </c>
    </row>
    <row r="25" spans="1:55" x14ac:dyDescent="0.35">
      <c r="A25" s="262" t="s">
        <v>96</v>
      </c>
      <c r="B25" s="262"/>
      <c r="C25" s="120" t="s">
        <v>28</v>
      </c>
      <c r="D25" s="148">
        <v>30.21</v>
      </c>
      <c r="G25" t="s">
        <v>181</v>
      </c>
      <c r="H25" t="s">
        <v>24</v>
      </c>
      <c r="L25" t="s">
        <v>184</v>
      </c>
      <c r="Y25" s="146" t="s">
        <v>96</v>
      </c>
      <c r="BA25" t="s">
        <v>24</v>
      </c>
      <c r="BB25" t="s">
        <v>307</v>
      </c>
      <c r="BC25" s="244" t="s">
        <v>306</v>
      </c>
    </row>
    <row r="26" spans="1:55" ht="20" hidden="1" x14ac:dyDescent="0.35">
      <c r="A26" s="276" t="s">
        <v>185</v>
      </c>
      <c r="B26" s="277"/>
      <c r="C26" s="120" t="s">
        <v>28</v>
      </c>
      <c r="D26" s="148">
        <v>-6.7</v>
      </c>
      <c r="G26" t="s">
        <v>181</v>
      </c>
      <c r="H26" t="s">
        <v>24</v>
      </c>
      <c r="L26" t="s">
        <v>186</v>
      </c>
      <c r="P26">
        <v>46022</v>
      </c>
      <c r="Q26" t="s">
        <v>177</v>
      </c>
      <c r="Y26" s="146" t="s">
        <v>185</v>
      </c>
      <c r="BA26" t="s">
        <v>24</v>
      </c>
      <c r="BB26" t="s">
        <v>308</v>
      </c>
      <c r="BC26" t="s">
        <v>308</v>
      </c>
    </row>
    <row r="27" spans="1:55" x14ac:dyDescent="0.35">
      <c r="A27" s="276" t="s">
        <v>187</v>
      </c>
      <c r="B27" s="277"/>
      <c r="C27" s="120" t="s">
        <v>28</v>
      </c>
      <c r="D27" s="148">
        <v>-1.65</v>
      </c>
      <c r="G27" t="s">
        <v>181</v>
      </c>
      <c r="H27" t="s">
        <v>25</v>
      </c>
      <c r="L27" t="s">
        <v>188</v>
      </c>
      <c r="P27">
        <v>46022</v>
      </c>
      <c r="Q27" t="s">
        <v>177</v>
      </c>
      <c r="Y27" s="146" t="s">
        <v>187</v>
      </c>
      <c r="BA27" t="s">
        <v>24</v>
      </c>
      <c r="BB27" s="244" t="s">
        <v>306</v>
      </c>
      <c r="BC27" s="244" t="s">
        <v>306</v>
      </c>
    </row>
    <row r="28" spans="1:55" x14ac:dyDescent="0.35">
      <c r="A28" s="276" t="s">
        <v>189</v>
      </c>
      <c r="B28" s="277"/>
      <c r="C28" s="120" t="s">
        <v>28</v>
      </c>
      <c r="D28" s="148">
        <v>0.3</v>
      </c>
      <c r="G28" t="s">
        <v>181</v>
      </c>
      <c r="H28" t="s">
        <v>24</v>
      </c>
      <c r="L28" t="s">
        <v>190</v>
      </c>
      <c r="P28">
        <v>46022</v>
      </c>
      <c r="Q28" t="s">
        <v>177</v>
      </c>
      <c r="Y28" s="146" t="s">
        <v>189</v>
      </c>
      <c r="BA28" t="s">
        <v>24</v>
      </c>
      <c r="BB28" s="244" t="s">
        <v>306</v>
      </c>
      <c r="BC28" s="244" t="s">
        <v>306</v>
      </c>
    </row>
    <row r="29" spans="1:55" x14ac:dyDescent="0.35">
      <c r="A29" s="262" t="s">
        <v>97</v>
      </c>
      <c r="B29" s="262"/>
      <c r="C29" s="120" t="s">
        <v>28</v>
      </c>
      <c r="D29" s="148">
        <v>0.42</v>
      </c>
      <c r="G29" t="s">
        <v>181</v>
      </c>
      <c r="H29" t="s">
        <v>25</v>
      </c>
      <c r="L29" t="s">
        <v>191</v>
      </c>
      <c r="Y29" s="146" t="s">
        <v>97</v>
      </c>
      <c r="BA29" t="s">
        <v>25</v>
      </c>
      <c r="BB29" s="244" t="s">
        <v>306</v>
      </c>
      <c r="BC29" s="244" t="s">
        <v>306</v>
      </c>
    </row>
    <row r="30" spans="1:55" x14ac:dyDescent="0.35">
      <c r="A30" s="262" t="s">
        <v>98</v>
      </c>
      <c r="B30" s="262"/>
      <c r="C30" s="124" t="s">
        <v>99</v>
      </c>
      <c r="D30" s="149">
        <v>4.2500000000000003E-2</v>
      </c>
      <c r="G30" t="s">
        <v>181</v>
      </c>
      <c r="H30" t="s">
        <v>24</v>
      </c>
      <c r="L30" t="s">
        <v>192</v>
      </c>
      <c r="Y30" s="146" t="s">
        <v>98</v>
      </c>
      <c r="BA30" t="s">
        <v>24</v>
      </c>
      <c r="BB30" t="s">
        <v>307</v>
      </c>
      <c r="BC30" s="244" t="s">
        <v>306</v>
      </c>
    </row>
    <row r="31" spans="1:55" ht="20" x14ac:dyDescent="0.35">
      <c r="A31" s="276" t="s">
        <v>193</v>
      </c>
      <c r="B31" s="277"/>
      <c r="C31" s="120" t="s">
        <v>99</v>
      </c>
      <c r="D31" s="149">
        <v>2.0000000000000001E-4</v>
      </c>
      <c r="G31" t="s">
        <v>181</v>
      </c>
      <c r="H31" t="s">
        <v>25</v>
      </c>
      <c r="L31" t="s">
        <v>194</v>
      </c>
      <c r="P31">
        <v>46022</v>
      </c>
      <c r="Q31" t="s">
        <v>177</v>
      </c>
      <c r="Y31" s="146" t="s">
        <v>193</v>
      </c>
      <c r="BA31" t="s">
        <v>25</v>
      </c>
      <c r="BB31" s="244" t="s">
        <v>306</v>
      </c>
      <c r="BC31" s="244" t="s">
        <v>306</v>
      </c>
    </row>
    <row r="32" spans="1:55" x14ac:dyDescent="0.35">
      <c r="A32" s="276" t="s">
        <v>195</v>
      </c>
      <c r="B32" s="277"/>
      <c r="C32" s="120" t="s">
        <v>99</v>
      </c>
      <c r="D32" s="149">
        <v>2.0000000000000001E-4</v>
      </c>
      <c r="G32" t="s">
        <v>181</v>
      </c>
      <c r="H32" t="s">
        <v>25</v>
      </c>
      <c r="L32" t="s">
        <v>196</v>
      </c>
      <c r="P32">
        <v>46022</v>
      </c>
      <c r="Q32" t="s">
        <v>177</v>
      </c>
      <c r="Y32" s="146" t="s">
        <v>195</v>
      </c>
      <c r="BA32" t="s">
        <v>25</v>
      </c>
      <c r="BB32" s="244" t="s">
        <v>306</v>
      </c>
      <c r="BC32" s="244" t="s">
        <v>306</v>
      </c>
    </row>
    <row r="33" spans="1:55" ht="20" hidden="1" x14ac:dyDescent="0.35">
      <c r="A33" s="276" t="s">
        <v>197</v>
      </c>
      <c r="B33" s="277"/>
      <c r="C33" s="120" t="s">
        <v>99</v>
      </c>
      <c r="D33" s="149">
        <v>-1.1599999999999999E-2</v>
      </c>
      <c r="G33" t="s">
        <v>181</v>
      </c>
      <c r="H33" t="s">
        <v>25</v>
      </c>
      <c r="L33" t="s">
        <v>198</v>
      </c>
      <c r="P33">
        <v>46022</v>
      </c>
      <c r="Q33" t="s">
        <v>177</v>
      </c>
      <c r="Y33" s="146" t="s">
        <v>197</v>
      </c>
      <c r="BA33" t="s">
        <v>25</v>
      </c>
      <c r="BB33" t="s">
        <v>308</v>
      </c>
      <c r="BC33" t="s">
        <v>308</v>
      </c>
    </row>
    <row r="34" spans="1:55" x14ac:dyDescent="0.35">
      <c r="A34" s="262" t="s">
        <v>100</v>
      </c>
      <c r="B34" s="262"/>
      <c r="C34" s="120" t="s">
        <v>99</v>
      </c>
      <c r="D34" s="149">
        <v>1.17E-2</v>
      </c>
      <c r="G34" t="s">
        <v>181</v>
      </c>
      <c r="H34" t="s">
        <v>26</v>
      </c>
      <c r="L34" t="s">
        <v>199</v>
      </c>
      <c r="Y34" s="146" t="s">
        <v>100</v>
      </c>
      <c r="BA34" t="s">
        <v>26</v>
      </c>
      <c r="BB34" s="244" t="s">
        <v>306</v>
      </c>
      <c r="BC34" s="244" t="s">
        <v>306</v>
      </c>
    </row>
    <row r="35" spans="1:55" x14ac:dyDescent="0.35">
      <c r="A35" s="262" t="s">
        <v>101</v>
      </c>
      <c r="B35" s="262"/>
      <c r="C35" s="120" t="s">
        <v>99</v>
      </c>
      <c r="D35" s="149">
        <v>8.5000000000000006E-3</v>
      </c>
      <c r="G35" t="s">
        <v>181</v>
      </c>
      <c r="H35" t="s">
        <v>26</v>
      </c>
      <c r="L35" t="s">
        <v>200</v>
      </c>
      <c r="Y35" s="146" t="s">
        <v>101</v>
      </c>
      <c r="BA35" t="s">
        <v>26</v>
      </c>
      <c r="BB35" s="244" t="s">
        <v>306</v>
      </c>
      <c r="BC35" s="244" t="s">
        <v>306</v>
      </c>
    </row>
    <row r="36" spans="1:55" x14ac:dyDescent="0.35">
      <c r="A36" s="119"/>
      <c r="B36" s="119"/>
      <c r="C36" s="120"/>
      <c r="D36" s="149"/>
    </row>
    <row r="37" spans="1:55" x14ac:dyDescent="0.35">
      <c r="A37" s="281" t="s">
        <v>102</v>
      </c>
      <c r="B37" s="282"/>
      <c r="C37" s="123"/>
      <c r="D37" s="150"/>
      <c r="G37" t="s">
        <v>201</v>
      </c>
      <c r="Y37" s="145" t="s">
        <v>102</v>
      </c>
    </row>
    <row r="38" spans="1:55" x14ac:dyDescent="0.35">
      <c r="A38" s="122"/>
      <c r="B38" s="121"/>
      <c r="C38" s="123"/>
      <c r="D38" s="150"/>
    </row>
    <row r="39" spans="1:55" x14ac:dyDescent="0.35">
      <c r="A39" s="262" t="s">
        <v>103</v>
      </c>
      <c r="B39" s="262"/>
      <c r="C39" s="124" t="s">
        <v>99</v>
      </c>
      <c r="D39" s="151">
        <v>4.1000000000000003E-3</v>
      </c>
      <c r="G39" t="s">
        <v>181</v>
      </c>
      <c r="H39" t="s">
        <v>202</v>
      </c>
      <c r="L39" t="s">
        <v>203</v>
      </c>
      <c r="Y39" s="146" t="s">
        <v>103</v>
      </c>
      <c r="BA39" t="s">
        <v>310</v>
      </c>
      <c r="BB39" s="244"/>
      <c r="BC39" s="244"/>
    </row>
    <row r="40" spans="1:55" x14ac:dyDescent="0.35">
      <c r="A40" s="262" t="s">
        <v>104</v>
      </c>
      <c r="B40" s="262"/>
      <c r="C40" s="124" t="s">
        <v>99</v>
      </c>
      <c r="D40" s="151">
        <v>4.0000000000000002E-4</v>
      </c>
      <c r="G40" t="s">
        <v>181</v>
      </c>
      <c r="H40" t="s">
        <v>202</v>
      </c>
      <c r="L40" t="s">
        <v>203</v>
      </c>
      <c r="Y40" s="146" t="s">
        <v>104</v>
      </c>
      <c r="BA40" t="s">
        <v>310</v>
      </c>
      <c r="BB40" s="244"/>
      <c r="BC40" s="244"/>
    </row>
    <row r="41" spans="1:55" x14ac:dyDescent="0.35">
      <c r="A41" s="262" t="s">
        <v>105</v>
      </c>
      <c r="B41" s="262"/>
      <c r="C41" s="124" t="s">
        <v>99</v>
      </c>
      <c r="D41" s="151">
        <v>1.5E-3</v>
      </c>
      <c r="G41" t="s">
        <v>181</v>
      </c>
      <c r="H41" t="s">
        <v>202</v>
      </c>
      <c r="L41" t="s">
        <v>204</v>
      </c>
      <c r="Y41" s="146" t="s">
        <v>105</v>
      </c>
      <c r="BA41" t="s">
        <v>310</v>
      </c>
      <c r="BB41" s="244"/>
      <c r="BC41" s="244"/>
    </row>
    <row r="42" spans="1:55" x14ac:dyDescent="0.35">
      <c r="A42" s="262" t="s">
        <v>106</v>
      </c>
      <c r="B42" s="262"/>
      <c r="C42" s="124" t="s">
        <v>28</v>
      </c>
      <c r="D42" s="152">
        <v>0.25</v>
      </c>
      <c r="G42" t="s">
        <v>181</v>
      </c>
      <c r="H42" t="s">
        <v>202</v>
      </c>
      <c r="L42" t="s">
        <v>205</v>
      </c>
      <c r="Y42" s="146" t="s">
        <v>106</v>
      </c>
      <c r="AR42" t="s">
        <v>177</v>
      </c>
      <c r="BA42" t="s">
        <v>310</v>
      </c>
      <c r="BB42" s="244"/>
      <c r="BC42" s="244"/>
    </row>
    <row r="43" spans="1:55" ht="18.5" x14ac:dyDescent="0.45">
      <c r="A43" s="271" t="s">
        <v>15</v>
      </c>
      <c r="B43" s="271"/>
      <c r="C43" s="271"/>
      <c r="D43" s="271"/>
      <c r="E43" s="153"/>
      <c r="F43" s="153"/>
      <c r="G43" s="153" t="s">
        <v>206</v>
      </c>
      <c r="H43" s="153"/>
      <c r="I43" s="153"/>
      <c r="J43" s="153"/>
      <c r="K43" s="153"/>
      <c r="L43" s="153"/>
      <c r="M43" s="153"/>
      <c r="N43" s="153"/>
      <c r="O43" s="153"/>
      <c r="P43" s="153"/>
      <c r="Q43" s="153"/>
      <c r="R43" s="153"/>
      <c r="S43" s="153"/>
      <c r="T43" s="153"/>
      <c r="U43" s="153"/>
      <c r="V43" s="153"/>
      <c r="W43" s="153"/>
      <c r="X43" s="153"/>
      <c r="Y43" s="153"/>
      <c r="Z43" s="143" t="s">
        <v>15</v>
      </c>
      <c r="AA43" s="153"/>
      <c r="AB43" s="153"/>
      <c r="AC43" s="153"/>
      <c r="AD43" s="153"/>
      <c r="AE43" s="153"/>
      <c r="AF43" s="153"/>
      <c r="AG43" s="153"/>
      <c r="AH43" s="153"/>
      <c r="AI43" s="153"/>
      <c r="AJ43" s="153"/>
      <c r="AK43" s="153"/>
      <c r="AL43" s="153"/>
      <c r="AM43" s="153"/>
      <c r="AN43" s="153"/>
      <c r="AO43" s="153"/>
      <c r="AP43" s="153"/>
      <c r="AQ43" s="153"/>
      <c r="AR43" s="153"/>
      <c r="AS43" s="153"/>
      <c r="AT43" s="153"/>
      <c r="AU43" s="153"/>
      <c r="AV43" s="153"/>
      <c r="AW43" s="153"/>
      <c r="AX43" s="153"/>
      <c r="AY43" s="153"/>
      <c r="AZ43" s="153"/>
      <c r="BA43" s="153"/>
    </row>
    <row r="44" spans="1:55" ht="46" x14ac:dyDescent="0.35">
      <c r="A44" s="273" t="s">
        <v>107</v>
      </c>
      <c r="B44" s="273"/>
      <c r="C44" s="273"/>
      <c r="D44" s="283"/>
      <c r="G44" t="s">
        <v>206</v>
      </c>
      <c r="Z44" s="147" t="s">
        <v>107</v>
      </c>
    </row>
    <row r="45" spans="1:55" x14ac:dyDescent="0.35">
      <c r="A45" s="113"/>
      <c r="B45" s="113"/>
      <c r="C45" s="113"/>
      <c r="D45" s="125"/>
    </row>
    <row r="46" spans="1:55" x14ac:dyDescent="0.35">
      <c r="A46" s="274" t="s">
        <v>89</v>
      </c>
      <c r="B46" s="275"/>
      <c r="C46" s="275"/>
      <c r="D46" s="275"/>
      <c r="G46" t="s">
        <v>207</v>
      </c>
      <c r="Z46" s="145" t="s">
        <v>89</v>
      </c>
    </row>
    <row r="47" spans="1:55" x14ac:dyDescent="0.35">
      <c r="A47" s="115"/>
      <c r="B47" s="116"/>
      <c r="C47" s="116"/>
      <c r="D47" s="116"/>
    </row>
    <row r="48" spans="1:55" ht="34.5" x14ac:dyDescent="0.35">
      <c r="A48" s="273" t="s">
        <v>90</v>
      </c>
      <c r="B48" s="273"/>
      <c r="C48" s="273"/>
      <c r="D48" s="273"/>
      <c r="G48" t="s">
        <v>206</v>
      </c>
      <c r="Z48" s="147" t="s">
        <v>90</v>
      </c>
    </row>
    <row r="49" spans="1:54" x14ac:dyDescent="0.35">
      <c r="A49" s="113"/>
      <c r="B49" s="113"/>
      <c r="C49" s="113"/>
      <c r="D49" s="113"/>
    </row>
    <row r="50" spans="1:54" ht="46" x14ac:dyDescent="0.35">
      <c r="A50" s="273" t="s">
        <v>91</v>
      </c>
      <c r="B50" s="273"/>
      <c r="C50" s="273"/>
      <c r="D50" s="273"/>
      <c r="G50" t="s">
        <v>206</v>
      </c>
      <c r="Z50" s="147" t="s">
        <v>91</v>
      </c>
    </row>
    <row r="51" spans="1:54" x14ac:dyDescent="0.35">
      <c r="A51" s="113"/>
      <c r="B51" s="113"/>
      <c r="C51" s="113"/>
      <c r="D51" s="113"/>
    </row>
    <row r="52" spans="1:54" ht="29.25" customHeight="1" x14ac:dyDescent="0.35">
      <c r="A52" s="273" t="s">
        <v>92</v>
      </c>
      <c r="B52" s="273"/>
      <c r="C52" s="273"/>
      <c r="D52" s="273"/>
      <c r="G52" t="s">
        <v>206</v>
      </c>
      <c r="Z52" s="147" t="s">
        <v>92</v>
      </c>
    </row>
    <row r="53" spans="1:54" x14ac:dyDescent="0.35">
      <c r="A53" s="113"/>
      <c r="B53" s="113"/>
      <c r="C53" s="113"/>
      <c r="D53" s="113"/>
    </row>
    <row r="54" spans="1:54" ht="48.75" customHeight="1" x14ac:dyDescent="0.35">
      <c r="A54" s="273" t="s">
        <v>108</v>
      </c>
      <c r="B54" s="273"/>
      <c r="C54" s="273"/>
      <c r="D54" s="273"/>
      <c r="G54" t="s">
        <v>206</v>
      </c>
      <c r="Z54" s="147" t="s">
        <v>108</v>
      </c>
    </row>
    <row r="55" spans="1:54" x14ac:dyDescent="0.35">
      <c r="A55" s="113"/>
      <c r="B55" s="113"/>
      <c r="C55" s="113"/>
      <c r="D55" s="113"/>
    </row>
    <row r="56" spans="1:54" ht="35.25" customHeight="1" x14ac:dyDescent="0.35">
      <c r="A56" s="273" t="s">
        <v>109</v>
      </c>
      <c r="B56" s="273"/>
      <c r="C56" s="273"/>
      <c r="D56" s="273"/>
      <c r="G56" t="s">
        <v>206</v>
      </c>
      <c r="Z56" s="147" t="s">
        <v>109</v>
      </c>
    </row>
    <row r="57" spans="1:54" ht="35.25" customHeight="1" x14ac:dyDescent="0.35">
      <c r="A57" s="113"/>
      <c r="B57" s="113"/>
      <c r="C57" s="113"/>
      <c r="D57" s="113"/>
    </row>
    <row r="58" spans="1:54" ht="32.25" customHeight="1" x14ac:dyDescent="0.35">
      <c r="A58" s="273" t="s">
        <v>93</v>
      </c>
      <c r="B58" s="273"/>
      <c r="C58" s="273"/>
      <c r="D58" s="273"/>
      <c r="G58" t="s">
        <v>206</v>
      </c>
      <c r="Z58" s="147" t="s">
        <v>93</v>
      </c>
    </row>
    <row r="59" spans="1:54" x14ac:dyDescent="0.35">
      <c r="A59" s="113"/>
      <c r="B59" s="113"/>
      <c r="C59" s="113"/>
      <c r="D59" s="113"/>
    </row>
    <row r="60" spans="1:54" x14ac:dyDescent="0.35">
      <c r="A60" s="279" t="s">
        <v>94</v>
      </c>
      <c r="B60" s="280"/>
      <c r="C60" s="280"/>
      <c r="D60" s="280"/>
      <c r="G60" t="s">
        <v>208</v>
      </c>
      <c r="Z60" s="145" t="s">
        <v>94</v>
      </c>
    </row>
    <row r="61" spans="1:54" x14ac:dyDescent="0.35">
      <c r="A61" s="117"/>
      <c r="B61" s="118"/>
      <c r="C61" s="118"/>
      <c r="D61" s="118"/>
    </row>
    <row r="62" spans="1:54" x14ac:dyDescent="0.35">
      <c r="A62" s="282" t="s">
        <v>110</v>
      </c>
      <c r="B62" s="282"/>
      <c r="C62" s="126" t="s">
        <v>28</v>
      </c>
      <c r="D62" s="211">
        <v>777.31</v>
      </c>
      <c r="G62" t="s">
        <v>206</v>
      </c>
      <c r="H62" t="s">
        <v>24</v>
      </c>
      <c r="L62" t="s">
        <v>209</v>
      </c>
      <c r="Y62" s="146" t="s">
        <v>110</v>
      </c>
      <c r="BA62" t="s">
        <v>24</v>
      </c>
    </row>
    <row r="63" spans="1:54" x14ac:dyDescent="0.35">
      <c r="A63" s="282" t="s">
        <v>48</v>
      </c>
      <c r="B63" s="282"/>
      <c r="C63" s="126" t="s">
        <v>111</v>
      </c>
      <c r="D63" s="215">
        <v>4.0275999999999996</v>
      </c>
      <c r="G63" t="s">
        <v>206</v>
      </c>
      <c r="H63" t="s">
        <v>24</v>
      </c>
      <c r="L63" t="s">
        <v>210</v>
      </c>
      <c r="Y63" s="146" t="s">
        <v>48</v>
      </c>
      <c r="BA63" t="s">
        <v>24</v>
      </c>
    </row>
    <row r="64" spans="1:54" ht="20" x14ac:dyDescent="0.35">
      <c r="A64" s="276" t="s">
        <v>185</v>
      </c>
      <c r="B64" s="277"/>
      <c r="C64" s="120" t="s">
        <v>28</v>
      </c>
      <c r="D64" s="148">
        <v>-6.7</v>
      </c>
      <c r="G64" t="s">
        <v>206</v>
      </c>
      <c r="H64" t="s">
        <v>24</v>
      </c>
      <c r="L64" t="s">
        <v>211</v>
      </c>
      <c r="P64">
        <v>46022</v>
      </c>
      <c r="Q64" t="s">
        <v>177</v>
      </c>
      <c r="Y64" s="146" t="s">
        <v>185</v>
      </c>
      <c r="BA64" t="s">
        <v>24</v>
      </c>
      <c r="BB64" t="s">
        <v>313</v>
      </c>
    </row>
    <row r="65" spans="1:54" ht="20" x14ac:dyDescent="0.35">
      <c r="A65" s="277" t="s">
        <v>193</v>
      </c>
      <c r="B65" s="277"/>
      <c r="C65" s="126" t="s">
        <v>111</v>
      </c>
      <c r="D65" s="215">
        <v>0.19320000000000001</v>
      </c>
      <c r="G65" t="s">
        <v>206</v>
      </c>
      <c r="H65" t="s">
        <v>25</v>
      </c>
      <c r="L65" t="s">
        <v>212</v>
      </c>
      <c r="P65">
        <v>46022</v>
      </c>
      <c r="Q65" t="s">
        <v>177</v>
      </c>
      <c r="Y65" s="146" t="s">
        <v>193</v>
      </c>
      <c r="BA65" t="s">
        <v>25</v>
      </c>
    </row>
    <row r="66" spans="1:54" x14ac:dyDescent="0.35">
      <c r="A66" s="277" t="s">
        <v>189</v>
      </c>
      <c r="B66" s="277"/>
      <c r="C66" s="126" t="s">
        <v>111</v>
      </c>
      <c r="D66" s="215">
        <v>0.13800000000000001</v>
      </c>
      <c r="G66" t="s">
        <v>206</v>
      </c>
      <c r="H66" t="s">
        <v>24</v>
      </c>
      <c r="L66" t="s">
        <v>213</v>
      </c>
      <c r="P66">
        <v>46022</v>
      </c>
      <c r="Q66" t="s">
        <v>177</v>
      </c>
      <c r="Y66" s="146" t="s">
        <v>189</v>
      </c>
      <c r="BA66" t="s">
        <v>24</v>
      </c>
    </row>
    <row r="67" spans="1:54" x14ac:dyDescent="0.35">
      <c r="A67" s="277" t="s">
        <v>195</v>
      </c>
      <c r="B67" s="277"/>
      <c r="C67" s="126" t="s">
        <v>111</v>
      </c>
      <c r="D67" s="215">
        <v>6.2799999999999995E-2</v>
      </c>
      <c r="G67" t="s">
        <v>206</v>
      </c>
      <c r="H67" t="s">
        <v>25</v>
      </c>
      <c r="L67" t="s">
        <v>214</v>
      </c>
      <c r="P67">
        <v>46022</v>
      </c>
      <c r="Q67" t="s">
        <v>177</v>
      </c>
      <c r="Y67" s="146" t="s">
        <v>195</v>
      </c>
      <c r="BA67" t="s">
        <v>25</v>
      </c>
    </row>
    <row r="68" spans="1:54" x14ac:dyDescent="0.35">
      <c r="A68" s="277" t="s">
        <v>187</v>
      </c>
      <c r="B68" s="277"/>
      <c r="C68" s="126" t="s">
        <v>111</v>
      </c>
      <c r="D68" s="215">
        <v>-1.3160000000000001</v>
      </c>
      <c r="G68" t="s">
        <v>206</v>
      </c>
      <c r="H68" t="s">
        <v>25</v>
      </c>
      <c r="L68" t="s">
        <v>215</v>
      </c>
      <c r="P68">
        <v>46022</v>
      </c>
      <c r="Q68" t="s">
        <v>177</v>
      </c>
      <c r="Y68" s="146" t="s">
        <v>187</v>
      </c>
      <c r="BA68" t="s">
        <v>24</v>
      </c>
    </row>
    <row r="69" spans="1:54" ht="20" x14ac:dyDescent="0.35">
      <c r="A69" s="276" t="s">
        <v>197</v>
      </c>
      <c r="B69" s="277"/>
      <c r="C69" s="120" t="s">
        <v>99</v>
      </c>
      <c r="D69" s="215">
        <v>-1.1599999999999999E-2</v>
      </c>
      <c r="G69" t="s">
        <v>206</v>
      </c>
      <c r="H69" t="s">
        <v>25</v>
      </c>
      <c r="L69" t="s">
        <v>216</v>
      </c>
      <c r="P69">
        <v>46022</v>
      </c>
      <c r="Q69" t="s">
        <v>177</v>
      </c>
      <c r="Y69" s="146" t="s">
        <v>197</v>
      </c>
      <c r="BA69" t="s">
        <v>25</v>
      </c>
    </row>
    <row r="70" spans="1:54" x14ac:dyDescent="0.35">
      <c r="A70" s="282" t="s">
        <v>100</v>
      </c>
      <c r="B70" s="282"/>
      <c r="C70" s="126" t="s">
        <v>111</v>
      </c>
      <c r="D70" s="215">
        <v>4.4756</v>
      </c>
      <c r="G70" t="s">
        <v>206</v>
      </c>
      <c r="H70" t="s">
        <v>26</v>
      </c>
      <c r="L70" t="s">
        <v>217</v>
      </c>
      <c r="Y70" s="146" t="s">
        <v>100</v>
      </c>
      <c r="BA70" t="s">
        <v>26</v>
      </c>
      <c r="BB70" s="244"/>
    </row>
    <row r="71" spans="1:54" x14ac:dyDescent="0.35">
      <c r="A71" s="282" t="s">
        <v>101</v>
      </c>
      <c r="B71" s="282"/>
      <c r="C71" s="126" t="s">
        <v>111</v>
      </c>
      <c r="D71" s="215">
        <v>3.2406000000000001</v>
      </c>
      <c r="G71" t="s">
        <v>206</v>
      </c>
      <c r="H71" t="s">
        <v>26</v>
      </c>
      <c r="L71" t="s">
        <v>218</v>
      </c>
      <c r="Y71" s="146" t="s">
        <v>101</v>
      </c>
      <c r="BA71" t="s">
        <v>26</v>
      </c>
    </row>
    <row r="72" spans="1:54" x14ac:dyDescent="0.35">
      <c r="A72" s="121"/>
      <c r="B72" s="121"/>
      <c r="C72" s="126"/>
      <c r="D72" s="149"/>
    </row>
    <row r="73" spans="1:54" x14ac:dyDescent="0.35">
      <c r="A73" s="281" t="s">
        <v>102</v>
      </c>
      <c r="B73" s="282"/>
      <c r="C73" s="123"/>
      <c r="D73" s="150"/>
      <c r="G73" t="s">
        <v>219</v>
      </c>
      <c r="Y73" s="145" t="s">
        <v>102</v>
      </c>
    </row>
    <row r="74" spans="1:54" x14ac:dyDescent="0.35">
      <c r="A74" s="122"/>
      <c r="B74" s="121"/>
      <c r="C74" s="123"/>
      <c r="D74" s="150"/>
    </row>
    <row r="75" spans="1:54" x14ac:dyDescent="0.35">
      <c r="A75" s="262" t="s">
        <v>103</v>
      </c>
      <c r="B75" s="262"/>
      <c r="C75" s="124" t="s">
        <v>99</v>
      </c>
      <c r="D75" s="216">
        <v>4.1000000000000003E-3</v>
      </c>
      <c r="G75" t="s">
        <v>206</v>
      </c>
      <c r="H75" t="s">
        <v>202</v>
      </c>
      <c r="L75" t="s">
        <v>220</v>
      </c>
      <c r="Y75" s="146" t="s">
        <v>103</v>
      </c>
      <c r="BA75" t="s">
        <v>310</v>
      </c>
    </row>
    <row r="76" spans="1:54" x14ac:dyDescent="0.35">
      <c r="A76" s="262" t="s">
        <v>104</v>
      </c>
      <c r="B76" s="262"/>
      <c r="C76" s="124" t="s">
        <v>99</v>
      </c>
      <c r="D76" s="216">
        <v>4.0000000000000002E-4</v>
      </c>
      <c r="G76" t="s">
        <v>206</v>
      </c>
      <c r="H76" t="s">
        <v>202</v>
      </c>
      <c r="L76" t="s">
        <v>220</v>
      </c>
      <c r="Y76" s="146" t="s">
        <v>104</v>
      </c>
      <c r="BA76" t="s">
        <v>310</v>
      </c>
    </row>
    <row r="77" spans="1:54" x14ac:dyDescent="0.35">
      <c r="A77" s="262" t="s">
        <v>105</v>
      </c>
      <c r="B77" s="262"/>
      <c r="C77" s="124" t="s">
        <v>99</v>
      </c>
      <c r="D77" s="216">
        <v>1.5E-3</v>
      </c>
      <c r="G77" t="s">
        <v>206</v>
      </c>
      <c r="H77" t="s">
        <v>202</v>
      </c>
      <c r="L77" t="s">
        <v>221</v>
      </c>
      <c r="Y77" s="146" t="s">
        <v>105</v>
      </c>
      <c r="BA77" t="s">
        <v>310</v>
      </c>
    </row>
    <row r="78" spans="1:54" x14ac:dyDescent="0.35">
      <c r="A78" s="262" t="s">
        <v>106</v>
      </c>
      <c r="B78" s="262"/>
      <c r="C78" s="124" t="s">
        <v>28</v>
      </c>
      <c r="D78" s="217">
        <v>0.25</v>
      </c>
      <c r="G78" t="s">
        <v>206</v>
      </c>
      <c r="H78" t="s">
        <v>202</v>
      </c>
      <c r="L78" t="s">
        <v>222</v>
      </c>
      <c r="Y78" s="146" t="s">
        <v>106</v>
      </c>
      <c r="AR78" t="s">
        <v>177</v>
      </c>
      <c r="BA78" t="s">
        <v>310</v>
      </c>
    </row>
    <row r="79" spans="1:54" ht="18.5" x14ac:dyDescent="0.45">
      <c r="A79" s="271" t="s">
        <v>18</v>
      </c>
      <c r="B79" s="271"/>
      <c r="C79" s="271"/>
      <c r="D79" s="284"/>
      <c r="E79" s="153"/>
      <c r="F79" s="153"/>
      <c r="G79" s="153" t="s">
        <v>223</v>
      </c>
      <c r="H79" s="153"/>
      <c r="I79" s="153"/>
      <c r="J79" s="153"/>
      <c r="K79" s="153"/>
      <c r="L79" s="153"/>
      <c r="M79" s="153"/>
      <c r="N79" s="153"/>
      <c r="O79" s="153"/>
      <c r="P79" s="153"/>
      <c r="Q79" s="153"/>
      <c r="R79" s="153"/>
      <c r="S79" s="153"/>
      <c r="T79" s="153"/>
      <c r="U79" s="153"/>
      <c r="V79" s="153"/>
      <c r="W79" s="153"/>
      <c r="X79" s="153"/>
      <c r="Y79" s="153"/>
      <c r="Z79" s="143" t="s">
        <v>18</v>
      </c>
      <c r="AA79" s="153"/>
      <c r="AB79" s="153"/>
      <c r="AC79" s="153"/>
      <c r="AD79" s="153"/>
      <c r="AE79" s="153"/>
      <c r="AF79" s="153"/>
      <c r="AG79" s="153"/>
      <c r="AH79" s="153"/>
      <c r="AI79" s="153"/>
      <c r="AJ79" s="153"/>
      <c r="AK79" s="153"/>
      <c r="AL79" s="153"/>
      <c r="AM79" s="153"/>
      <c r="AN79" s="153"/>
      <c r="AO79" s="153"/>
      <c r="AP79" s="153"/>
      <c r="AQ79" s="153"/>
      <c r="AR79" s="153"/>
      <c r="AS79" s="153"/>
      <c r="AT79" s="153"/>
      <c r="AU79" s="153"/>
      <c r="AV79" s="153"/>
      <c r="AW79" s="153"/>
      <c r="AX79" s="153"/>
      <c r="AY79" s="153"/>
      <c r="AZ79" s="153"/>
      <c r="BA79" s="153"/>
    </row>
    <row r="80" spans="1:54" ht="57.5" x14ac:dyDescent="0.35">
      <c r="A80" s="273" t="s">
        <v>112</v>
      </c>
      <c r="B80" s="273"/>
      <c r="C80" s="273"/>
      <c r="D80" s="283"/>
      <c r="G80" t="s">
        <v>223</v>
      </c>
      <c r="Z80" s="147" t="s">
        <v>112</v>
      </c>
    </row>
    <row r="81" spans="1:53" x14ac:dyDescent="0.35">
      <c r="A81" s="113"/>
      <c r="B81" s="113"/>
      <c r="C81" s="113"/>
      <c r="D81" s="125"/>
    </row>
    <row r="82" spans="1:53" x14ac:dyDescent="0.35">
      <c r="A82" s="274" t="s">
        <v>89</v>
      </c>
      <c r="B82" s="275"/>
      <c r="C82" s="275"/>
      <c r="D82" s="275"/>
      <c r="G82" t="s">
        <v>224</v>
      </c>
      <c r="Z82" s="145" t="s">
        <v>89</v>
      </c>
    </row>
    <row r="83" spans="1:53" x14ac:dyDescent="0.35">
      <c r="A83" s="115"/>
      <c r="B83" s="116"/>
      <c r="C83" s="116"/>
      <c r="D83" s="116"/>
    </row>
    <row r="84" spans="1:53" ht="34.5" customHeight="1" x14ac:dyDescent="0.35">
      <c r="A84" s="273" t="s">
        <v>90</v>
      </c>
      <c r="B84" s="273"/>
      <c r="C84" s="273"/>
      <c r="D84" s="273"/>
      <c r="G84" t="s">
        <v>223</v>
      </c>
      <c r="Z84" s="147" t="s">
        <v>90</v>
      </c>
    </row>
    <row r="85" spans="1:53" ht="34.5" customHeight="1" x14ac:dyDescent="0.35">
      <c r="A85" s="113"/>
      <c r="B85" s="113"/>
      <c r="C85" s="113"/>
      <c r="D85" s="113"/>
    </row>
    <row r="86" spans="1:53" ht="34.5" customHeight="1" x14ac:dyDescent="0.35">
      <c r="A86" s="273" t="s">
        <v>91</v>
      </c>
      <c r="B86" s="273"/>
      <c r="C86" s="273"/>
      <c r="D86" s="273"/>
      <c r="G86" t="s">
        <v>223</v>
      </c>
      <c r="Z86" s="147" t="s">
        <v>91</v>
      </c>
    </row>
    <row r="87" spans="1:53" x14ac:dyDescent="0.35">
      <c r="A87" s="113"/>
      <c r="B87" s="113"/>
      <c r="C87" s="113"/>
      <c r="D87" s="113"/>
    </row>
    <row r="88" spans="1:53" ht="32.25" customHeight="1" x14ac:dyDescent="0.35">
      <c r="A88" s="273" t="s">
        <v>92</v>
      </c>
      <c r="B88" s="273"/>
      <c r="C88" s="273"/>
      <c r="D88" s="273"/>
      <c r="G88" t="s">
        <v>223</v>
      </c>
      <c r="Z88" s="147" t="s">
        <v>92</v>
      </c>
    </row>
    <row r="89" spans="1:53" ht="25.5" customHeight="1" x14ac:dyDescent="0.35">
      <c r="A89" s="113"/>
      <c r="B89" s="113"/>
      <c r="C89" s="113"/>
      <c r="D89" s="113"/>
    </row>
    <row r="90" spans="1:53" ht="28.5" customHeight="1" x14ac:dyDescent="0.35">
      <c r="A90" s="273" t="s">
        <v>93</v>
      </c>
      <c r="B90" s="273"/>
      <c r="C90" s="273"/>
      <c r="D90" s="273"/>
      <c r="G90" t="s">
        <v>223</v>
      </c>
      <c r="Z90" s="147" t="s">
        <v>93</v>
      </c>
    </row>
    <row r="91" spans="1:53" ht="28.5" customHeight="1" x14ac:dyDescent="0.35">
      <c r="A91" s="113"/>
      <c r="B91" s="113"/>
      <c r="C91" s="113"/>
      <c r="D91" s="113"/>
    </row>
    <row r="92" spans="1:53" ht="23.25" customHeight="1" x14ac:dyDescent="0.35">
      <c r="A92" s="279" t="s">
        <v>94</v>
      </c>
      <c r="B92" s="280"/>
      <c r="C92" s="280"/>
      <c r="D92" s="280"/>
      <c r="G92" t="s">
        <v>225</v>
      </c>
      <c r="Z92" s="145" t="s">
        <v>94</v>
      </c>
    </row>
    <row r="93" spans="1:53" ht="33" customHeight="1" x14ac:dyDescent="0.35">
      <c r="A93" s="117"/>
      <c r="B93" s="118"/>
      <c r="C93" s="118"/>
      <c r="D93" s="118"/>
    </row>
    <row r="94" spans="1:53" x14ac:dyDescent="0.35">
      <c r="A94" s="262" t="s">
        <v>110</v>
      </c>
      <c r="B94" s="262"/>
      <c r="C94" s="124" t="s">
        <v>28</v>
      </c>
      <c r="D94" s="211">
        <v>99.05</v>
      </c>
      <c r="G94" t="s">
        <v>223</v>
      </c>
      <c r="H94" t="s">
        <v>24</v>
      </c>
      <c r="L94" t="s">
        <v>226</v>
      </c>
      <c r="Y94" s="146" t="s">
        <v>110</v>
      </c>
      <c r="BA94" t="s">
        <v>24</v>
      </c>
    </row>
    <row r="95" spans="1:53" x14ac:dyDescent="0.35">
      <c r="A95" s="276" t="s">
        <v>187</v>
      </c>
      <c r="B95" s="277"/>
      <c r="C95" s="124" t="s">
        <v>28</v>
      </c>
      <c r="D95" s="211">
        <v>-3.8</v>
      </c>
      <c r="G95" t="s">
        <v>223</v>
      </c>
      <c r="H95" t="s">
        <v>25</v>
      </c>
      <c r="L95" t="s">
        <v>227</v>
      </c>
      <c r="P95">
        <v>46022</v>
      </c>
      <c r="Q95" t="s">
        <v>177</v>
      </c>
      <c r="Y95" s="146" t="s">
        <v>187</v>
      </c>
      <c r="BA95" t="s">
        <v>24</v>
      </c>
    </row>
    <row r="96" spans="1:53" x14ac:dyDescent="0.35">
      <c r="A96" s="276" t="s">
        <v>189</v>
      </c>
      <c r="B96" s="277"/>
      <c r="C96" s="124" t="s">
        <v>28</v>
      </c>
      <c r="D96" s="211">
        <v>0.05</v>
      </c>
      <c r="G96" t="s">
        <v>223</v>
      </c>
      <c r="H96" t="s">
        <v>24</v>
      </c>
      <c r="L96" t="s">
        <v>228</v>
      </c>
      <c r="P96">
        <v>46022</v>
      </c>
      <c r="Q96" t="s">
        <v>177</v>
      </c>
      <c r="Y96" s="146" t="s">
        <v>189</v>
      </c>
      <c r="BA96" t="s">
        <v>24</v>
      </c>
    </row>
    <row r="97" spans="1:54" x14ac:dyDescent="0.35">
      <c r="A97" s="262" t="s">
        <v>97</v>
      </c>
      <c r="B97" s="262"/>
      <c r="C97" s="120" t="s">
        <v>28</v>
      </c>
      <c r="D97" s="211">
        <v>0.42</v>
      </c>
      <c r="G97" t="s">
        <v>223</v>
      </c>
      <c r="H97" t="s">
        <v>25</v>
      </c>
      <c r="L97" t="s">
        <v>229</v>
      </c>
      <c r="Y97" s="146" t="s">
        <v>97</v>
      </c>
      <c r="BA97" t="s">
        <v>25</v>
      </c>
    </row>
    <row r="98" spans="1:54" x14ac:dyDescent="0.35">
      <c r="A98" s="262" t="s">
        <v>113</v>
      </c>
      <c r="B98" s="262"/>
      <c r="C98" s="124" t="s">
        <v>99</v>
      </c>
      <c r="D98" s="215">
        <v>4.5900000000000003E-2</v>
      </c>
      <c r="G98" t="s">
        <v>223</v>
      </c>
      <c r="H98" t="s">
        <v>24</v>
      </c>
      <c r="L98" t="s">
        <v>230</v>
      </c>
      <c r="Y98" s="146" t="s">
        <v>113</v>
      </c>
      <c r="BA98" t="s">
        <v>24</v>
      </c>
    </row>
    <row r="99" spans="1:54" ht="20" x14ac:dyDescent="0.35">
      <c r="A99" s="276" t="s">
        <v>193</v>
      </c>
      <c r="B99" s="277"/>
      <c r="C99" s="124" t="s">
        <v>99</v>
      </c>
      <c r="D99" s="215">
        <v>2.0000000000000001E-4</v>
      </c>
      <c r="G99" t="s">
        <v>223</v>
      </c>
      <c r="H99" t="s">
        <v>25</v>
      </c>
      <c r="L99" t="s">
        <v>231</v>
      </c>
      <c r="P99">
        <v>46022</v>
      </c>
      <c r="Q99" t="s">
        <v>177</v>
      </c>
      <c r="Y99" s="146" t="s">
        <v>193</v>
      </c>
      <c r="BA99" t="s">
        <v>25</v>
      </c>
    </row>
    <row r="100" spans="1:54" x14ac:dyDescent="0.35">
      <c r="A100" s="276" t="s">
        <v>195</v>
      </c>
      <c r="B100" s="277"/>
      <c r="C100" s="124" t="s">
        <v>99</v>
      </c>
      <c r="D100" s="215">
        <v>-4.0000000000000002E-4</v>
      </c>
      <c r="G100" t="s">
        <v>223</v>
      </c>
      <c r="H100" t="s">
        <v>25</v>
      </c>
      <c r="L100" t="s">
        <v>232</v>
      </c>
      <c r="P100">
        <v>46022</v>
      </c>
      <c r="Q100" t="s">
        <v>177</v>
      </c>
      <c r="Y100" s="146" t="s">
        <v>195</v>
      </c>
      <c r="BA100" t="s">
        <v>25</v>
      </c>
    </row>
    <row r="101" spans="1:54" ht="20" x14ac:dyDescent="0.35">
      <c r="A101" s="276" t="s">
        <v>197</v>
      </c>
      <c r="B101" s="277"/>
      <c r="C101" s="120" t="s">
        <v>99</v>
      </c>
      <c r="D101" s="149">
        <v>-1.1599999999999999E-2</v>
      </c>
      <c r="G101" t="s">
        <v>223</v>
      </c>
      <c r="H101" t="s">
        <v>25</v>
      </c>
      <c r="L101" t="s">
        <v>233</v>
      </c>
      <c r="P101">
        <v>46022</v>
      </c>
      <c r="Q101" t="s">
        <v>177</v>
      </c>
      <c r="Y101" s="146" t="s">
        <v>197</v>
      </c>
      <c r="BA101" t="s">
        <v>25</v>
      </c>
      <c r="BB101" t="s">
        <v>313</v>
      </c>
    </row>
    <row r="102" spans="1:54" x14ac:dyDescent="0.35">
      <c r="A102" s="262" t="s">
        <v>100</v>
      </c>
      <c r="B102" s="262"/>
      <c r="C102" s="124" t="s">
        <v>99</v>
      </c>
      <c r="D102" s="215">
        <v>1.17E-2</v>
      </c>
      <c r="G102" t="s">
        <v>223</v>
      </c>
      <c r="H102" t="s">
        <v>26</v>
      </c>
      <c r="L102" t="s">
        <v>234</v>
      </c>
      <c r="Y102" s="146" t="s">
        <v>100</v>
      </c>
      <c r="BA102" t="s">
        <v>26</v>
      </c>
    </row>
    <row r="103" spans="1:54" x14ac:dyDescent="0.35">
      <c r="A103" s="262" t="s">
        <v>101</v>
      </c>
      <c r="B103" s="262"/>
      <c r="C103" s="124" t="s">
        <v>99</v>
      </c>
      <c r="D103" s="215">
        <v>8.5000000000000006E-3</v>
      </c>
      <c r="G103" t="s">
        <v>223</v>
      </c>
      <c r="H103" t="s">
        <v>26</v>
      </c>
      <c r="L103" t="s">
        <v>235</v>
      </c>
      <c r="Y103" s="146" t="s">
        <v>101</v>
      </c>
      <c r="BA103" t="s">
        <v>26</v>
      </c>
    </row>
    <row r="104" spans="1:54" x14ac:dyDescent="0.35">
      <c r="A104" s="119"/>
      <c r="B104" s="119"/>
      <c r="C104" s="124"/>
      <c r="D104" s="149"/>
    </row>
    <row r="105" spans="1:54" x14ac:dyDescent="0.35">
      <c r="A105" s="281" t="s">
        <v>102</v>
      </c>
      <c r="B105" s="282"/>
      <c r="C105" s="123"/>
      <c r="D105" s="150"/>
      <c r="G105" t="s">
        <v>236</v>
      </c>
      <c r="Y105" s="145" t="s">
        <v>102</v>
      </c>
    </row>
    <row r="106" spans="1:54" x14ac:dyDescent="0.35">
      <c r="A106" s="122"/>
      <c r="B106" s="121"/>
      <c r="C106" s="123"/>
      <c r="D106" s="150"/>
    </row>
    <row r="107" spans="1:54" x14ac:dyDescent="0.35">
      <c r="A107" s="262" t="s">
        <v>103</v>
      </c>
      <c r="B107" s="262"/>
      <c r="C107" s="124" t="s">
        <v>99</v>
      </c>
      <c r="D107" s="216">
        <v>4.1000000000000003E-3</v>
      </c>
      <c r="G107" t="s">
        <v>223</v>
      </c>
      <c r="H107" t="s">
        <v>202</v>
      </c>
      <c r="L107" t="s">
        <v>237</v>
      </c>
      <c r="Y107" s="146" t="s">
        <v>103</v>
      </c>
      <c r="BA107" t="s">
        <v>310</v>
      </c>
    </row>
    <row r="108" spans="1:54" x14ac:dyDescent="0.35">
      <c r="A108" s="262" t="s">
        <v>104</v>
      </c>
      <c r="B108" s="262"/>
      <c r="C108" s="124" t="s">
        <v>99</v>
      </c>
      <c r="D108" s="216">
        <v>4.0000000000000002E-4</v>
      </c>
      <c r="G108" t="s">
        <v>223</v>
      </c>
      <c r="H108" t="s">
        <v>202</v>
      </c>
      <c r="L108" t="s">
        <v>237</v>
      </c>
      <c r="Y108" s="146" t="s">
        <v>104</v>
      </c>
      <c r="BA108" t="s">
        <v>310</v>
      </c>
    </row>
    <row r="109" spans="1:54" x14ac:dyDescent="0.35">
      <c r="A109" s="262" t="s">
        <v>105</v>
      </c>
      <c r="B109" s="262"/>
      <c r="C109" s="124" t="s">
        <v>99</v>
      </c>
      <c r="D109" s="216">
        <v>1.5E-3</v>
      </c>
      <c r="G109" t="s">
        <v>223</v>
      </c>
      <c r="H109" t="s">
        <v>202</v>
      </c>
      <c r="L109" t="s">
        <v>238</v>
      </c>
      <c r="Y109" s="146" t="s">
        <v>105</v>
      </c>
      <c r="BA109" t="s">
        <v>310</v>
      </c>
    </row>
    <row r="110" spans="1:54" x14ac:dyDescent="0.35">
      <c r="A110" s="262" t="s">
        <v>106</v>
      </c>
      <c r="B110" s="262"/>
      <c r="C110" s="124" t="s">
        <v>28</v>
      </c>
      <c r="D110" s="217">
        <v>0.25</v>
      </c>
      <c r="G110" t="s">
        <v>223</v>
      </c>
      <c r="H110" t="s">
        <v>202</v>
      </c>
      <c r="L110" t="s">
        <v>239</v>
      </c>
      <c r="Y110" s="146" t="s">
        <v>106</v>
      </c>
      <c r="AR110" t="s">
        <v>177</v>
      </c>
      <c r="BA110" t="s">
        <v>310</v>
      </c>
    </row>
    <row r="111" spans="1:54" ht="18.5" x14ac:dyDescent="0.45">
      <c r="A111" s="271" t="s">
        <v>19</v>
      </c>
      <c r="B111" s="271"/>
      <c r="C111" s="271"/>
      <c r="D111" s="284"/>
      <c r="E111" s="153"/>
      <c r="F111" s="153"/>
      <c r="G111" s="153" t="s">
        <v>240</v>
      </c>
      <c r="H111" s="153"/>
      <c r="I111" s="153"/>
      <c r="J111" s="153"/>
      <c r="K111" s="153"/>
      <c r="L111" s="153"/>
      <c r="M111" s="153"/>
      <c r="N111" s="153"/>
      <c r="O111" s="153"/>
      <c r="P111" s="153"/>
      <c r="Q111" s="153"/>
      <c r="R111" s="153"/>
      <c r="S111" s="153"/>
      <c r="T111" s="153"/>
      <c r="U111" s="153"/>
      <c r="V111" s="153"/>
      <c r="W111" s="153"/>
      <c r="X111" s="153"/>
      <c r="Y111" s="153"/>
      <c r="Z111" s="143" t="s">
        <v>19</v>
      </c>
      <c r="AA111" s="153"/>
      <c r="AB111" s="153"/>
      <c r="AC111" s="153"/>
      <c r="AD111" s="153"/>
      <c r="AE111" s="153"/>
      <c r="AF111" s="153"/>
      <c r="AG111" s="153"/>
      <c r="AH111" s="153"/>
      <c r="AI111" s="153"/>
      <c r="AJ111" s="153"/>
      <c r="AK111" s="153"/>
      <c r="AL111" s="153"/>
      <c r="AM111" s="153"/>
      <c r="AN111" s="153"/>
      <c r="AO111" s="153"/>
      <c r="AP111" s="153"/>
      <c r="AQ111" s="153"/>
      <c r="AR111" s="153"/>
      <c r="AS111" s="153"/>
      <c r="AT111" s="153"/>
      <c r="AU111" s="153"/>
      <c r="AV111" s="153"/>
      <c r="AW111" s="153"/>
      <c r="AX111" s="153"/>
      <c r="AY111" s="153"/>
      <c r="AZ111" s="153"/>
      <c r="BA111" s="153"/>
    </row>
    <row r="112" spans="1:54" ht="69" x14ac:dyDescent="0.35">
      <c r="A112" s="273" t="s">
        <v>114</v>
      </c>
      <c r="B112" s="273"/>
      <c r="C112" s="273"/>
      <c r="D112" s="283"/>
      <c r="G112" t="s">
        <v>240</v>
      </c>
      <c r="Z112" s="147" t="s">
        <v>114</v>
      </c>
    </row>
    <row r="113" spans="1:53" x14ac:dyDescent="0.35">
      <c r="A113" s="113"/>
      <c r="B113" s="113"/>
      <c r="C113" s="113"/>
      <c r="D113" s="125"/>
    </row>
    <row r="114" spans="1:53" x14ac:dyDescent="0.35">
      <c r="A114" s="274" t="s">
        <v>89</v>
      </c>
      <c r="B114" s="275"/>
      <c r="C114" s="275"/>
      <c r="D114" s="275"/>
      <c r="G114" t="s">
        <v>241</v>
      </c>
      <c r="Z114" s="145" t="s">
        <v>89</v>
      </c>
    </row>
    <row r="115" spans="1:53" x14ac:dyDescent="0.35">
      <c r="A115" s="115"/>
      <c r="B115" s="116"/>
      <c r="C115" s="116"/>
      <c r="D115" s="116"/>
    </row>
    <row r="116" spans="1:53" ht="34.5" x14ac:dyDescent="0.35">
      <c r="A116" s="273" t="s">
        <v>90</v>
      </c>
      <c r="B116" s="273"/>
      <c r="C116" s="273"/>
      <c r="D116" s="273"/>
      <c r="G116" t="s">
        <v>240</v>
      </c>
      <c r="Z116" s="147" t="s">
        <v>90</v>
      </c>
    </row>
    <row r="117" spans="1:53" x14ac:dyDescent="0.35">
      <c r="A117" s="113"/>
      <c r="B117" s="113"/>
      <c r="C117" s="113"/>
      <c r="D117" s="113"/>
    </row>
    <row r="118" spans="1:53" ht="46" x14ac:dyDescent="0.35">
      <c r="A118" s="273" t="s">
        <v>91</v>
      </c>
      <c r="B118" s="273"/>
      <c r="C118" s="273"/>
      <c r="D118" s="273"/>
      <c r="G118" t="s">
        <v>240</v>
      </c>
      <c r="Z118" s="147" t="s">
        <v>91</v>
      </c>
    </row>
    <row r="119" spans="1:53" ht="32.25" customHeight="1" x14ac:dyDescent="0.35">
      <c r="A119" s="113"/>
      <c r="B119" s="113"/>
      <c r="C119" s="113"/>
      <c r="D119" s="113"/>
    </row>
    <row r="120" spans="1:53" ht="46" x14ac:dyDescent="0.35">
      <c r="A120" s="273" t="s">
        <v>92</v>
      </c>
      <c r="B120" s="273"/>
      <c r="C120" s="273"/>
      <c r="D120" s="273"/>
      <c r="G120" t="s">
        <v>240</v>
      </c>
      <c r="Z120" s="147" t="s">
        <v>92</v>
      </c>
    </row>
    <row r="121" spans="1:53" x14ac:dyDescent="0.35">
      <c r="A121" s="113"/>
      <c r="B121" s="113"/>
      <c r="C121" s="113"/>
      <c r="D121" s="113"/>
    </row>
    <row r="122" spans="1:53" ht="32.25" customHeight="1" x14ac:dyDescent="0.35">
      <c r="A122" s="273" t="s">
        <v>93</v>
      </c>
      <c r="B122" s="273"/>
      <c r="C122" s="273"/>
      <c r="D122" s="273"/>
      <c r="G122" t="s">
        <v>240</v>
      </c>
      <c r="Z122" s="147" t="s">
        <v>93</v>
      </c>
    </row>
    <row r="123" spans="1:53" x14ac:dyDescent="0.35">
      <c r="A123" s="113"/>
      <c r="B123" s="113"/>
      <c r="C123" s="113"/>
      <c r="D123" s="113"/>
    </row>
    <row r="124" spans="1:53" ht="33" customHeight="1" x14ac:dyDescent="0.35">
      <c r="A124" s="279" t="s">
        <v>94</v>
      </c>
      <c r="B124" s="280"/>
      <c r="C124" s="280"/>
      <c r="D124" s="280"/>
      <c r="G124" t="s">
        <v>242</v>
      </c>
      <c r="Z124" s="145" t="s">
        <v>94</v>
      </c>
    </row>
    <row r="125" spans="1:53" ht="26.25" customHeight="1" x14ac:dyDescent="0.35">
      <c r="A125" s="117"/>
      <c r="B125" s="118"/>
      <c r="C125" s="118"/>
      <c r="D125" s="118"/>
    </row>
    <row r="126" spans="1:53" ht="32.25" customHeight="1" x14ac:dyDescent="0.35">
      <c r="A126" s="262" t="s">
        <v>243</v>
      </c>
      <c r="B126" s="262"/>
      <c r="C126" s="120" t="s">
        <v>28</v>
      </c>
      <c r="D126" s="211">
        <v>2.2400000000000002</v>
      </c>
      <c r="G126" t="s">
        <v>240</v>
      </c>
      <c r="H126" t="s">
        <v>24</v>
      </c>
      <c r="L126" t="s">
        <v>244</v>
      </c>
      <c r="Y126" s="146" t="s">
        <v>243</v>
      </c>
      <c r="BA126" t="s">
        <v>24</v>
      </c>
    </row>
    <row r="127" spans="1:53" x14ac:dyDescent="0.35">
      <c r="A127" s="262" t="s">
        <v>48</v>
      </c>
      <c r="B127" s="262"/>
      <c r="C127" s="120" t="s">
        <v>99</v>
      </c>
      <c r="D127" s="215">
        <v>0.36180000000000001</v>
      </c>
      <c r="G127" t="s">
        <v>240</v>
      </c>
      <c r="H127" t="s">
        <v>24</v>
      </c>
      <c r="L127" t="s">
        <v>245</v>
      </c>
      <c r="Y127" s="146" t="s">
        <v>48</v>
      </c>
      <c r="BA127" t="s">
        <v>24</v>
      </c>
    </row>
    <row r="128" spans="1:53" ht="20" x14ac:dyDescent="0.35">
      <c r="A128" s="276" t="s">
        <v>193</v>
      </c>
      <c r="B128" s="277"/>
      <c r="C128" s="120" t="s">
        <v>99</v>
      </c>
      <c r="D128" s="215">
        <v>2.0000000000000001E-4</v>
      </c>
      <c r="G128" t="s">
        <v>240</v>
      </c>
      <c r="H128" t="s">
        <v>25</v>
      </c>
      <c r="L128" t="s">
        <v>246</v>
      </c>
      <c r="P128">
        <v>46022</v>
      </c>
      <c r="Q128" t="s">
        <v>177</v>
      </c>
      <c r="Y128" s="146" t="s">
        <v>193</v>
      </c>
      <c r="BA128" t="s">
        <v>25</v>
      </c>
    </row>
    <row r="129" spans="1:53" x14ac:dyDescent="0.35">
      <c r="A129" s="276" t="s">
        <v>189</v>
      </c>
      <c r="B129" s="277"/>
      <c r="C129" s="120" t="s">
        <v>99</v>
      </c>
      <c r="D129" s="215">
        <v>2.9999999999999997E-4</v>
      </c>
      <c r="G129" t="s">
        <v>240</v>
      </c>
      <c r="H129" t="s">
        <v>24</v>
      </c>
      <c r="L129" t="s">
        <v>247</v>
      </c>
      <c r="P129">
        <v>46022</v>
      </c>
      <c r="Q129" t="s">
        <v>177</v>
      </c>
      <c r="Y129" s="146" t="s">
        <v>189</v>
      </c>
      <c r="BA129" t="s">
        <v>24</v>
      </c>
    </row>
    <row r="130" spans="1:53" x14ac:dyDescent="0.35">
      <c r="A130" s="276" t="s">
        <v>195</v>
      </c>
      <c r="B130" s="277"/>
      <c r="C130" s="120" t="s">
        <v>99</v>
      </c>
      <c r="D130" s="215">
        <v>-1.5E-3</v>
      </c>
      <c r="G130" t="s">
        <v>240</v>
      </c>
      <c r="H130" t="s">
        <v>25</v>
      </c>
      <c r="L130" t="s">
        <v>248</v>
      </c>
      <c r="P130">
        <v>46022</v>
      </c>
      <c r="Q130" t="s">
        <v>177</v>
      </c>
      <c r="Y130" s="146" t="s">
        <v>195</v>
      </c>
      <c r="BA130" t="s">
        <v>25</v>
      </c>
    </row>
    <row r="131" spans="1:53" x14ac:dyDescent="0.35">
      <c r="A131" s="276" t="s">
        <v>187</v>
      </c>
      <c r="B131" s="277"/>
      <c r="C131" s="120" t="s">
        <v>99</v>
      </c>
      <c r="D131" s="215">
        <v>-1.61E-2</v>
      </c>
      <c r="G131" t="s">
        <v>240</v>
      </c>
      <c r="H131" t="s">
        <v>25</v>
      </c>
      <c r="L131" t="s">
        <v>249</v>
      </c>
      <c r="P131">
        <v>46022</v>
      </c>
      <c r="Q131" t="s">
        <v>177</v>
      </c>
      <c r="Y131" s="146" t="s">
        <v>187</v>
      </c>
      <c r="BA131" t="s">
        <v>24</v>
      </c>
    </row>
    <row r="132" spans="1:53" ht="20" x14ac:dyDescent="0.35">
      <c r="A132" s="276" t="s">
        <v>197</v>
      </c>
      <c r="B132" s="277"/>
      <c r="C132" s="120" t="s">
        <v>99</v>
      </c>
      <c r="D132" s="215">
        <v>-1.1599999999999999E-2</v>
      </c>
      <c r="G132" t="s">
        <v>240</v>
      </c>
      <c r="H132" t="s">
        <v>25</v>
      </c>
      <c r="L132" t="s">
        <v>250</v>
      </c>
      <c r="P132">
        <v>46022</v>
      </c>
      <c r="Q132" t="s">
        <v>177</v>
      </c>
      <c r="Y132" s="146" t="s">
        <v>197</v>
      </c>
      <c r="BA132" t="s">
        <v>25</v>
      </c>
    </row>
    <row r="133" spans="1:53" x14ac:dyDescent="0.35">
      <c r="A133" s="262" t="s">
        <v>100</v>
      </c>
      <c r="B133" s="282"/>
      <c r="C133" s="120" t="s">
        <v>111</v>
      </c>
      <c r="D133" s="215">
        <v>3.2408000000000001</v>
      </c>
      <c r="G133" t="s">
        <v>240</v>
      </c>
      <c r="H133" t="s">
        <v>26</v>
      </c>
      <c r="L133" t="s">
        <v>251</v>
      </c>
      <c r="Y133" s="146" t="s">
        <v>100</v>
      </c>
      <c r="BA133" t="s">
        <v>26</v>
      </c>
    </row>
    <row r="134" spans="1:53" x14ac:dyDescent="0.35">
      <c r="A134" s="262" t="s">
        <v>101</v>
      </c>
      <c r="B134" s="282"/>
      <c r="C134" s="120" t="s">
        <v>111</v>
      </c>
      <c r="D134" s="215">
        <v>2.3376999999999999</v>
      </c>
      <c r="G134" t="s">
        <v>240</v>
      </c>
      <c r="H134" t="s">
        <v>26</v>
      </c>
      <c r="L134" t="s">
        <v>252</v>
      </c>
      <c r="Y134" s="146" t="s">
        <v>101</v>
      </c>
      <c r="BA134" t="s">
        <v>26</v>
      </c>
    </row>
    <row r="135" spans="1:53" x14ac:dyDescent="0.35">
      <c r="A135" s="119"/>
      <c r="B135" s="121"/>
      <c r="C135" s="120"/>
      <c r="D135" s="149"/>
    </row>
    <row r="136" spans="1:53" x14ac:dyDescent="0.35">
      <c r="A136" s="281" t="s">
        <v>102</v>
      </c>
      <c r="B136" s="282"/>
      <c r="C136" s="123"/>
      <c r="D136" s="150"/>
      <c r="G136" t="s">
        <v>253</v>
      </c>
      <c r="Y136" s="145" t="s">
        <v>102</v>
      </c>
    </row>
    <row r="137" spans="1:53" x14ac:dyDescent="0.35">
      <c r="A137" s="122"/>
      <c r="B137" s="121"/>
      <c r="C137" s="123"/>
      <c r="D137" s="150"/>
    </row>
    <row r="138" spans="1:53" x14ac:dyDescent="0.35">
      <c r="A138" s="262" t="s">
        <v>103</v>
      </c>
      <c r="B138" s="262"/>
      <c r="C138" s="124" t="s">
        <v>99</v>
      </c>
      <c r="D138" s="216">
        <v>4.1000000000000003E-3</v>
      </c>
      <c r="G138" t="s">
        <v>240</v>
      </c>
      <c r="H138" t="s">
        <v>202</v>
      </c>
      <c r="L138" t="s">
        <v>254</v>
      </c>
      <c r="Y138" s="146" t="s">
        <v>103</v>
      </c>
      <c r="BA138" t="s">
        <v>310</v>
      </c>
    </row>
    <row r="139" spans="1:53" x14ac:dyDescent="0.35">
      <c r="A139" s="262" t="s">
        <v>104</v>
      </c>
      <c r="B139" s="262"/>
      <c r="C139" s="124" t="s">
        <v>99</v>
      </c>
      <c r="D139" s="216">
        <v>4.0000000000000002E-4</v>
      </c>
      <c r="G139" t="s">
        <v>240</v>
      </c>
      <c r="H139" t="s">
        <v>202</v>
      </c>
      <c r="L139" t="s">
        <v>254</v>
      </c>
      <c r="Y139" s="146" t="s">
        <v>104</v>
      </c>
      <c r="BA139" t="s">
        <v>310</v>
      </c>
    </row>
    <row r="140" spans="1:53" x14ac:dyDescent="0.35">
      <c r="A140" s="262" t="s">
        <v>105</v>
      </c>
      <c r="B140" s="282"/>
      <c r="C140" s="124" t="s">
        <v>99</v>
      </c>
      <c r="D140" s="216">
        <v>1.5E-3</v>
      </c>
      <c r="G140" t="s">
        <v>240</v>
      </c>
      <c r="H140" t="s">
        <v>202</v>
      </c>
      <c r="L140" t="s">
        <v>255</v>
      </c>
      <c r="Y140" s="146" t="s">
        <v>105</v>
      </c>
      <c r="BA140" t="s">
        <v>310</v>
      </c>
    </row>
    <row r="141" spans="1:53" x14ac:dyDescent="0.35">
      <c r="A141" s="262" t="s">
        <v>106</v>
      </c>
      <c r="B141" s="262"/>
      <c r="C141" s="124" t="s">
        <v>28</v>
      </c>
      <c r="D141" s="217">
        <v>0.25</v>
      </c>
      <c r="G141" t="s">
        <v>240</v>
      </c>
      <c r="H141" t="s">
        <v>202</v>
      </c>
      <c r="L141" t="s">
        <v>256</v>
      </c>
      <c r="Y141" s="146" t="s">
        <v>106</v>
      </c>
      <c r="AR141" t="s">
        <v>177</v>
      </c>
      <c r="BA141" t="s">
        <v>310</v>
      </c>
    </row>
    <row r="142" spans="1:53" ht="18.5" x14ac:dyDescent="0.45">
      <c r="A142" s="271" t="s">
        <v>115</v>
      </c>
      <c r="B142" s="271"/>
      <c r="C142" s="271"/>
      <c r="D142" s="284"/>
      <c r="E142" s="153"/>
      <c r="F142" s="153"/>
      <c r="G142" s="153" t="s">
        <v>257</v>
      </c>
      <c r="H142" s="153"/>
      <c r="I142" s="153"/>
      <c r="J142" s="153"/>
      <c r="K142" s="153"/>
      <c r="L142" s="153"/>
      <c r="M142" s="153"/>
      <c r="N142" s="153"/>
      <c r="O142" s="153"/>
      <c r="P142" s="153"/>
      <c r="Q142" s="153"/>
      <c r="R142" s="153"/>
      <c r="S142" s="153"/>
      <c r="T142" s="153"/>
      <c r="U142" s="153"/>
      <c r="V142" s="153"/>
      <c r="W142" s="153"/>
      <c r="X142" s="153"/>
      <c r="Y142" s="153"/>
      <c r="Z142" s="143" t="s">
        <v>115</v>
      </c>
      <c r="AA142" s="153"/>
      <c r="AB142" s="153"/>
      <c r="AC142" s="153"/>
      <c r="AD142" s="153"/>
      <c r="AE142" s="153"/>
      <c r="AF142" s="153"/>
      <c r="AG142" s="153"/>
      <c r="AH142" s="153"/>
      <c r="AI142" s="153"/>
      <c r="AJ142" s="153"/>
      <c r="AK142" s="153"/>
      <c r="AL142" s="153"/>
      <c r="AM142" s="153"/>
      <c r="AN142" s="153"/>
      <c r="AO142" s="153"/>
      <c r="AP142" s="153"/>
      <c r="AQ142" s="153"/>
      <c r="AR142" s="153"/>
      <c r="AS142" s="153"/>
      <c r="AT142" s="153"/>
      <c r="AU142" s="153"/>
      <c r="AV142" s="153"/>
      <c r="AW142" s="153"/>
      <c r="AX142" s="153"/>
      <c r="AY142" s="153"/>
      <c r="AZ142" s="153"/>
      <c r="BA142" s="153"/>
    </row>
    <row r="143" spans="1:53" ht="34.5" x14ac:dyDescent="0.35">
      <c r="A143" s="273" t="s">
        <v>116</v>
      </c>
      <c r="B143" s="273"/>
      <c r="C143" s="273"/>
      <c r="D143" s="283"/>
      <c r="G143" t="s">
        <v>257</v>
      </c>
      <c r="Z143" s="147" t="s">
        <v>116</v>
      </c>
    </row>
    <row r="144" spans="1:53" x14ac:dyDescent="0.35">
      <c r="A144" s="113"/>
      <c r="B144" s="113"/>
      <c r="C144" s="113"/>
      <c r="D144" s="125"/>
    </row>
    <row r="145" spans="1:26" x14ac:dyDescent="0.35">
      <c r="A145" s="274" t="s">
        <v>89</v>
      </c>
      <c r="B145" s="275"/>
      <c r="C145" s="275"/>
      <c r="D145" s="275"/>
      <c r="G145" t="s">
        <v>258</v>
      </c>
      <c r="Z145" s="145" t="s">
        <v>89</v>
      </c>
    </row>
    <row r="146" spans="1:26" x14ac:dyDescent="0.35">
      <c r="A146" s="115"/>
      <c r="B146" s="116"/>
      <c r="C146" s="116"/>
      <c r="D146" s="116"/>
    </row>
    <row r="147" spans="1:26" ht="34.5" x14ac:dyDescent="0.35">
      <c r="A147" s="273" t="s">
        <v>90</v>
      </c>
      <c r="B147" s="273"/>
      <c r="C147" s="273"/>
      <c r="D147" s="273"/>
      <c r="G147" t="s">
        <v>257</v>
      </c>
      <c r="Z147" s="147" t="s">
        <v>90</v>
      </c>
    </row>
    <row r="148" spans="1:26" x14ac:dyDescent="0.35">
      <c r="A148" s="113"/>
      <c r="B148" s="113"/>
      <c r="C148" s="113"/>
      <c r="D148" s="113"/>
    </row>
    <row r="149" spans="1:26" ht="46" x14ac:dyDescent="0.35">
      <c r="A149" s="273" t="s">
        <v>91</v>
      </c>
      <c r="B149" s="273"/>
      <c r="C149" s="273"/>
      <c r="D149" s="273"/>
      <c r="G149" t="s">
        <v>257</v>
      </c>
      <c r="Z149" s="147" t="s">
        <v>91</v>
      </c>
    </row>
    <row r="150" spans="1:26" x14ac:dyDescent="0.35">
      <c r="A150" s="113"/>
      <c r="B150" s="113"/>
      <c r="C150" s="113"/>
      <c r="D150" s="113"/>
    </row>
    <row r="151" spans="1:26" ht="23" x14ac:dyDescent="0.35">
      <c r="A151" s="273" t="s">
        <v>117</v>
      </c>
      <c r="B151" s="273"/>
      <c r="C151" s="273"/>
      <c r="D151" s="273"/>
      <c r="G151" t="s">
        <v>257</v>
      </c>
      <c r="Z151" s="147" t="s">
        <v>117</v>
      </c>
    </row>
    <row r="152" spans="1:26" x14ac:dyDescent="0.35">
      <c r="A152" s="113"/>
      <c r="B152" s="113"/>
      <c r="C152" s="113"/>
      <c r="D152" s="113"/>
    </row>
    <row r="153" spans="1:26" ht="34.5" x14ac:dyDescent="0.35">
      <c r="A153" s="273" t="s">
        <v>93</v>
      </c>
      <c r="B153" s="273"/>
      <c r="C153" s="273"/>
      <c r="D153" s="273"/>
      <c r="G153" t="s">
        <v>257</v>
      </c>
      <c r="Z153" s="147" t="s">
        <v>93</v>
      </c>
    </row>
    <row r="154" spans="1:26" x14ac:dyDescent="0.35">
      <c r="A154" s="113"/>
      <c r="B154" s="113"/>
      <c r="C154" s="113"/>
      <c r="D154" s="113"/>
    </row>
    <row r="155" spans="1:26" x14ac:dyDescent="0.35">
      <c r="A155" s="279" t="s">
        <v>94</v>
      </c>
      <c r="B155" s="280"/>
      <c r="C155" s="280"/>
      <c r="D155" s="280"/>
      <c r="G155" t="s">
        <v>259</v>
      </c>
      <c r="Z155" s="145" t="s">
        <v>94</v>
      </c>
    </row>
    <row r="156" spans="1:26" x14ac:dyDescent="0.35">
      <c r="A156" s="117"/>
      <c r="B156" s="118"/>
      <c r="C156" s="118"/>
      <c r="D156" s="118"/>
    </row>
    <row r="157" spans="1:26" x14ac:dyDescent="0.35">
      <c r="A157" s="262" t="s">
        <v>110</v>
      </c>
      <c r="B157" s="262"/>
      <c r="C157" s="120" t="s">
        <v>28</v>
      </c>
      <c r="D157" s="148">
        <v>5</v>
      </c>
      <c r="G157" t="s">
        <v>257</v>
      </c>
      <c r="H157" t="s">
        <v>24</v>
      </c>
      <c r="L157" t="s">
        <v>260</v>
      </c>
      <c r="Y157" s="146" t="s">
        <v>110</v>
      </c>
    </row>
    <row r="158" spans="1:26" x14ac:dyDescent="0.35">
      <c r="A158" s="127"/>
      <c r="B158" s="119"/>
      <c r="C158" s="120"/>
      <c r="D158" s="148"/>
    </row>
    <row r="159" spans="1:26" ht="18.5" x14ac:dyDescent="0.4">
      <c r="A159" s="154" t="s">
        <v>118</v>
      </c>
      <c r="B159" s="128"/>
      <c r="C159" s="128"/>
      <c r="D159" s="155"/>
      <c r="G159" t="s">
        <v>261</v>
      </c>
    </row>
    <row r="160" spans="1:26" x14ac:dyDescent="0.35">
      <c r="A160" s="262" t="s">
        <v>119</v>
      </c>
      <c r="B160" s="262"/>
      <c r="C160" s="120" t="s">
        <v>111</v>
      </c>
      <c r="D160" s="149">
        <v>-0.6</v>
      </c>
      <c r="Y160" s="146" t="s">
        <v>119</v>
      </c>
    </row>
    <row r="161" spans="1:26" x14ac:dyDescent="0.35">
      <c r="A161" s="262" t="s">
        <v>120</v>
      </c>
      <c r="B161" s="262"/>
      <c r="C161" s="120" t="s">
        <v>29</v>
      </c>
      <c r="D161" s="148">
        <v>-1</v>
      </c>
      <c r="Y161" s="146" t="s">
        <v>120</v>
      </c>
    </row>
    <row r="162" spans="1:26" ht="18" x14ac:dyDescent="0.4">
      <c r="A162" s="156" t="s">
        <v>121</v>
      </c>
      <c r="B162" s="129"/>
      <c r="C162" s="129"/>
      <c r="D162" s="157"/>
      <c r="G162" t="s">
        <v>262</v>
      </c>
    </row>
    <row r="163" spans="1:26" ht="34.5" x14ac:dyDescent="0.35">
      <c r="A163" s="263" t="s">
        <v>90</v>
      </c>
      <c r="B163" s="263"/>
      <c r="C163" s="263"/>
      <c r="D163" s="264"/>
      <c r="Z163" s="147" t="s">
        <v>90</v>
      </c>
    </row>
    <row r="164" spans="1:26" x14ac:dyDescent="0.35">
      <c r="A164" s="114"/>
      <c r="B164" s="114"/>
      <c r="C164" s="114"/>
      <c r="D164" s="130"/>
    </row>
    <row r="165" spans="1:26" ht="46" x14ac:dyDescent="0.35">
      <c r="A165" s="263" t="s">
        <v>122</v>
      </c>
      <c r="B165" s="263"/>
      <c r="C165" s="263"/>
      <c r="D165" s="264"/>
      <c r="Z165" s="147" t="s">
        <v>122</v>
      </c>
    </row>
    <row r="166" spans="1:26" x14ac:dyDescent="0.35">
      <c r="A166" s="114"/>
      <c r="B166" s="114"/>
      <c r="C166" s="114"/>
      <c r="D166" s="130"/>
    </row>
    <row r="167" spans="1:26" ht="34.5" x14ac:dyDescent="0.35">
      <c r="A167" s="263" t="s">
        <v>123</v>
      </c>
      <c r="B167" s="263"/>
      <c r="C167" s="263"/>
      <c r="D167" s="264"/>
      <c r="Z167" s="147" t="s">
        <v>123</v>
      </c>
    </row>
    <row r="168" spans="1:26" x14ac:dyDescent="0.35">
      <c r="A168" s="114"/>
      <c r="B168" s="114"/>
      <c r="C168" s="114"/>
      <c r="D168" s="130"/>
    </row>
    <row r="169" spans="1:26" x14ac:dyDescent="0.35">
      <c r="A169" s="158" t="s">
        <v>124</v>
      </c>
      <c r="B169" s="131"/>
      <c r="C169" s="131"/>
      <c r="D169" s="159"/>
      <c r="G169" t="s">
        <v>263</v>
      </c>
    </row>
    <row r="170" spans="1:26" x14ac:dyDescent="0.35">
      <c r="A170" s="265" t="s">
        <v>125</v>
      </c>
      <c r="B170" s="265"/>
      <c r="C170" s="120" t="s">
        <v>28</v>
      </c>
      <c r="D170" s="148">
        <v>15</v>
      </c>
      <c r="Y170" s="146" t="s">
        <v>125</v>
      </c>
    </row>
    <row r="171" spans="1:26" x14ac:dyDescent="0.35">
      <c r="A171" s="265" t="s">
        <v>126</v>
      </c>
      <c r="B171" s="265"/>
      <c r="C171" s="120" t="s">
        <v>28</v>
      </c>
      <c r="D171" s="148">
        <v>15</v>
      </c>
      <c r="Y171" s="146" t="s">
        <v>126</v>
      </c>
    </row>
    <row r="172" spans="1:26" x14ac:dyDescent="0.35">
      <c r="A172" s="265" t="s">
        <v>127</v>
      </c>
      <c r="B172" s="265"/>
      <c r="C172" s="120" t="s">
        <v>28</v>
      </c>
      <c r="D172" s="148">
        <v>15</v>
      </c>
      <c r="Y172" s="146" t="s">
        <v>127</v>
      </c>
    </row>
    <row r="173" spans="1:26" x14ac:dyDescent="0.35">
      <c r="A173" s="265" t="s">
        <v>128</v>
      </c>
      <c r="B173" s="265"/>
      <c r="C173" s="120" t="s">
        <v>28</v>
      </c>
      <c r="D173" s="148">
        <v>15</v>
      </c>
      <c r="Y173" s="146" t="s">
        <v>128</v>
      </c>
    </row>
    <row r="174" spans="1:26" x14ac:dyDescent="0.35">
      <c r="A174" s="265" t="s">
        <v>129</v>
      </c>
      <c r="B174" s="265"/>
      <c r="C174" s="120" t="s">
        <v>28</v>
      </c>
      <c r="D174" s="148">
        <v>15</v>
      </c>
      <c r="Y174" s="146" t="s">
        <v>129</v>
      </c>
    </row>
    <row r="175" spans="1:26" x14ac:dyDescent="0.35">
      <c r="A175" s="265" t="s">
        <v>130</v>
      </c>
      <c r="B175" s="265"/>
      <c r="C175" s="120" t="s">
        <v>28</v>
      </c>
      <c r="D175" s="148">
        <v>15</v>
      </c>
      <c r="Y175" s="146" t="s">
        <v>130</v>
      </c>
    </row>
    <row r="176" spans="1:26" x14ac:dyDescent="0.35">
      <c r="A176" s="265" t="s">
        <v>131</v>
      </c>
      <c r="B176" s="265"/>
      <c r="C176" s="120" t="s">
        <v>28</v>
      </c>
      <c r="D176" s="148">
        <v>15</v>
      </c>
      <c r="Y176" s="146" t="s">
        <v>131</v>
      </c>
    </row>
    <row r="177" spans="1:25" x14ac:dyDescent="0.35">
      <c r="A177" s="265" t="s">
        <v>132</v>
      </c>
      <c r="B177" s="265"/>
      <c r="C177" s="120" t="s">
        <v>28</v>
      </c>
      <c r="D177" s="148">
        <v>15</v>
      </c>
      <c r="Y177" s="146" t="s">
        <v>132</v>
      </c>
    </row>
    <row r="178" spans="1:25" x14ac:dyDescent="0.35">
      <c r="A178" s="265" t="s">
        <v>133</v>
      </c>
      <c r="B178" s="265"/>
      <c r="C178" s="120" t="s">
        <v>28</v>
      </c>
      <c r="D178" s="148">
        <v>15</v>
      </c>
      <c r="Y178" s="146" t="s">
        <v>133</v>
      </c>
    </row>
    <row r="179" spans="1:25" x14ac:dyDescent="0.35">
      <c r="A179" s="265" t="s">
        <v>134</v>
      </c>
      <c r="B179" s="265"/>
      <c r="C179" s="120" t="s">
        <v>28</v>
      </c>
      <c r="D179" s="148">
        <v>15</v>
      </c>
      <c r="Y179" s="146" t="s">
        <v>134</v>
      </c>
    </row>
    <row r="180" spans="1:25" x14ac:dyDescent="0.35">
      <c r="A180" s="265" t="s">
        <v>135</v>
      </c>
      <c r="B180" s="265"/>
      <c r="C180" s="120" t="s">
        <v>28</v>
      </c>
      <c r="D180" s="148">
        <v>30</v>
      </c>
      <c r="Y180" s="146" t="s">
        <v>135</v>
      </c>
    </row>
    <row r="181" spans="1:25" x14ac:dyDescent="0.35">
      <c r="A181" s="265" t="s">
        <v>136</v>
      </c>
      <c r="B181" s="265"/>
      <c r="C181" s="120" t="s">
        <v>28</v>
      </c>
      <c r="D181" s="148">
        <v>15</v>
      </c>
      <c r="Y181" s="146" t="s">
        <v>136</v>
      </c>
    </row>
    <row r="182" spans="1:25" x14ac:dyDescent="0.35">
      <c r="A182" s="265" t="s">
        <v>137</v>
      </c>
      <c r="B182" s="265"/>
      <c r="C182" s="120" t="s">
        <v>28</v>
      </c>
      <c r="D182" s="148">
        <v>15</v>
      </c>
      <c r="Y182" s="146" t="s">
        <v>137</v>
      </c>
    </row>
    <row r="183" spans="1:25" x14ac:dyDescent="0.35">
      <c r="A183" s="265" t="s">
        <v>138</v>
      </c>
      <c r="B183" s="265"/>
      <c r="C183" s="120" t="s">
        <v>28</v>
      </c>
      <c r="D183" s="148">
        <v>15</v>
      </c>
      <c r="Y183" s="146" t="s">
        <v>138</v>
      </c>
    </row>
    <row r="184" spans="1:25" x14ac:dyDescent="0.35">
      <c r="A184" s="265" t="s">
        <v>139</v>
      </c>
      <c r="B184" s="266"/>
      <c r="C184" s="120" t="s">
        <v>28</v>
      </c>
      <c r="D184" s="148">
        <v>30</v>
      </c>
      <c r="Y184" s="146" t="s">
        <v>139</v>
      </c>
    </row>
    <row r="185" spans="1:25" x14ac:dyDescent="0.35">
      <c r="A185" s="265" t="s">
        <v>140</v>
      </c>
      <c r="B185" s="265"/>
      <c r="C185" s="120" t="s">
        <v>28</v>
      </c>
      <c r="D185" s="148">
        <v>30</v>
      </c>
      <c r="Y185" s="146" t="s">
        <v>140</v>
      </c>
    </row>
    <row r="186" spans="1:25" x14ac:dyDescent="0.35">
      <c r="A186" s="132"/>
      <c r="B186" s="132"/>
      <c r="C186" s="120"/>
      <c r="D186" s="148"/>
    </row>
    <row r="187" spans="1:25" x14ac:dyDescent="0.35">
      <c r="A187" s="158" t="s">
        <v>141</v>
      </c>
      <c r="B187" s="131"/>
      <c r="C187" s="131"/>
      <c r="D187" s="159"/>
      <c r="G187" t="s">
        <v>264</v>
      </c>
    </row>
    <row r="188" spans="1:25" ht="20" x14ac:dyDescent="0.35">
      <c r="A188" s="265" t="s">
        <v>265</v>
      </c>
      <c r="B188" s="265"/>
      <c r="C188" s="120" t="s">
        <v>29</v>
      </c>
      <c r="D188" s="148">
        <v>1.5</v>
      </c>
      <c r="Y188" s="146" t="s">
        <v>265</v>
      </c>
    </row>
    <row r="189" spans="1:25" x14ac:dyDescent="0.35">
      <c r="A189" s="265" t="s">
        <v>142</v>
      </c>
      <c r="B189" s="265"/>
      <c r="C189" s="120" t="s">
        <v>28</v>
      </c>
      <c r="D189" s="148">
        <v>65</v>
      </c>
      <c r="Y189" s="146" t="s">
        <v>142</v>
      </c>
    </row>
    <row r="190" spans="1:25" x14ac:dyDescent="0.35">
      <c r="A190" s="265" t="s">
        <v>143</v>
      </c>
      <c r="B190" s="265"/>
      <c r="C190" s="120" t="s">
        <v>28</v>
      </c>
      <c r="D190" s="148">
        <v>185</v>
      </c>
      <c r="Y190" s="146" t="s">
        <v>143</v>
      </c>
    </row>
    <row r="191" spans="1:25" x14ac:dyDescent="0.35">
      <c r="A191" s="265" t="s">
        <v>144</v>
      </c>
      <c r="B191" s="265"/>
      <c r="C191" s="120" t="s">
        <v>28</v>
      </c>
      <c r="D191" s="148">
        <v>185</v>
      </c>
      <c r="Y191" s="146" t="s">
        <v>144</v>
      </c>
    </row>
    <row r="192" spans="1:25" x14ac:dyDescent="0.35">
      <c r="A192" s="265" t="s">
        <v>145</v>
      </c>
      <c r="B192" s="265"/>
      <c r="C192" s="120" t="s">
        <v>28</v>
      </c>
      <c r="D192" s="148">
        <v>415</v>
      </c>
      <c r="Y192" s="146" t="s">
        <v>145</v>
      </c>
    </row>
    <row r="193" spans="1:26" x14ac:dyDescent="0.35">
      <c r="A193" s="132"/>
      <c r="B193" s="132"/>
      <c r="C193" s="120"/>
      <c r="D193" s="148"/>
    </row>
    <row r="194" spans="1:26" x14ac:dyDescent="0.35">
      <c r="A194" s="158" t="s">
        <v>146</v>
      </c>
      <c r="B194" s="133"/>
      <c r="C194" s="134"/>
      <c r="D194" s="160"/>
    </row>
    <row r="195" spans="1:26" x14ac:dyDescent="0.35">
      <c r="A195" s="265" t="s">
        <v>147</v>
      </c>
      <c r="B195" s="265"/>
      <c r="C195" s="120"/>
      <c r="D195" s="161">
        <v>39.14</v>
      </c>
      <c r="Y195" s="146" t="s">
        <v>147</v>
      </c>
    </row>
    <row r="196" spans="1:26" x14ac:dyDescent="0.35">
      <c r="A196" s="265" t="s">
        <v>266</v>
      </c>
      <c r="B196" s="266"/>
      <c r="C196" s="120"/>
      <c r="D196" s="161"/>
      <c r="Y196" s="146" t="s">
        <v>266</v>
      </c>
    </row>
    <row r="197" spans="1:26" x14ac:dyDescent="0.35">
      <c r="A197" s="265" t="s">
        <v>148</v>
      </c>
      <c r="B197" s="265"/>
      <c r="C197" s="120" t="s">
        <v>28</v>
      </c>
      <c r="D197" s="148">
        <v>30</v>
      </c>
      <c r="Y197" s="146" t="s">
        <v>148</v>
      </c>
    </row>
    <row r="198" spans="1:26" x14ac:dyDescent="0.35">
      <c r="A198" s="265" t="s">
        <v>149</v>
      </c>
      <c r="B198" s="265"/>
      <c r="C198" s="120" t="s">
        <v>28</v>
      </c>
      <c r="D198" s="148">
        <v>165</v>
      </c>
      <c r="Y198" s="146" t="s">
        <v>149</v>
      </c>
    </row>
    <row r="199" spans="1:26" x14ac:dyDescent="0.35">
      <c r="A199" s="265" t="s">
        <v>150</v>
      </c>
      <c r="B199" s="265"/>
      <c r="C199" s="120" t="s">
        <v>28</v>
      </c>
      <c r="D199" s="148">
        <v>500</v>
      </c>
      <c r="Y199" s="146" t="s">
        <v>150</v>
      </c>
    </row>
    <row r="200" spans="1:26" x14ac:dyDescent="0.35">
      <c r="A200" s="265" t="s">
        <v>151</v>
      </c>
      <c r="B200" s="265"/>
      <c r="C200" s="120" t="s">
        <v>28</v>
      </c>
      <c r="D200" s="148">
        <v>300</v>
      </c>
      <c r="Y200" s="146" t="s">
        <v>151</v>
      </c>
    </row>
    <row r="201" spans="1:26" x14ac:dyDescent="0.35">
      <c r="A201" s="265" t="s">
        <v>152</v>
      </c>
      <c r="B201" s="265"/>
      <c r="C201" s="120" t="s">
        <v>28</v>
      </c>
      <c r="D201" s="148">
        <v>1000</v>
      </c>
      <c r="Y201" s="146" t="s">
        <v>152</v>
      </c>
    </row>
    <row r="202" spans="1:26" ht="18" x14ac:dyDescent="0.4">
      <c r="A202" s="162" t="s">
        <v>153</v>
      </c>
      <c r="B202" s="135"/>
      <c r="C202" s="135"/>
      <c r="D202" s="163"/>
      <c r="G202" t="s">
        <v>267</v>
      </c>
    </row>
    <row r="203" spans="1:26" ht="18" x14ac:dyDescent="0.4">
      <c r="A203" s="162"/>
      <c r="B203" s="135"/>
      <c r="C203" s="135"/>
      <c r="D203" s="163"/>
    </row>
    <row r="204" spans="1:26" ht="34.5" x14ac:dyDescent="0.35">
      <c r="A204" s="263" t="s">
        <v>90</v>
      </c>
      <c r="B204" s="263"/>
      <c r="C204" s="263"/>
      <c r="D204" s="264"/>
      <c r="Z204" s="147" t="s">
        <v>90</v>
      </c>
    </row>
    <row r="205" spans="1:26" x14ac:dyDescent="0.35">
      <c r="A205" s="114"/>
      <c r="B205" s="114"/>
      <c r="C205" s="114"/>
      <c r="D205" s="130"/>
    </row>
    <row r="206" spans="1:26" ht="69" x14ac:dyDescent="0.35">
      <c r="A206" s="263" t="s">
        <v>154</v>
      </c>
      <c r="B206" s="263"/>
      <c r="C206" s="263"/>
      <c r="D206" s="264"/>
      <c r="Z206" s="147" t="s">
        <v>154</v>
      </c>
    </row>
    <row r="207" spans="1:26" x14ac:dyDescent="0.35">
      <c r="A207" s="114"/>
      <c r="B207" s="114"/>
      <c r="C207" s="114"/>
      <c r="D207" s="130"/>
    </row>
    <row r="208" spans="1:26" ht="23" x14ac:dyDescent="0.35">
      <c r="A208" s="263" t="s">
        <v>117</v>
      </c>
      <c r="B208" s="263"/>
      <c r="C208" s="263"/>
      <c r="D208" s="264"/>
      <c r="Z208" s="147" t="s">
        <v>117</v>
      </c>
    </row>
    <row r="209" spans="1:26" x14ac:dyDescent="0.35">
      <c r="A209" s="114"/>
      <c r="B209" s="114"/>
      <c r="C209" s="114"/>
      <c r="D209" s="130"/>
    </row>
    <row r="210" spans="1:26" ht="57.5" x14ac:dyDescent="0.35">
      <c r="A210" s="263" t="s">
        <v>155</v>
      </c>
      <c r="B210" s="263"/>
      <c r="C210" s="263"/>
      <c r="D210" s="264"/>
      <c r="Z210" s="147" t="s">
        <v>155</v>
      </c>
    </row>
    <row r="211" spans="1:26" x14ac:dyDescent="0.35">
      <c r="A211" s="114"/>
      <c r="B211" s="114"/>
      <c r="C211" s="114"/>
      <c r="D211" s="130"/>
    </row>
    <row r="212" spans="1:26" ht="23" x14ac:dyDescent="0.35">
      <c r="A212" s="263" t="s">
        <v>156</v>
      </c>
      <c r="B212" s="263"/>
      <c r="C212" s="263"/>
      <c r="D212" s="264"/>
      <c r="Z212" s="147" t="s">
        <v>156</v>
      </c>
    </row>
    <row r="213" spans="1:26" x14ac:dyDescent="0.35">
      <c r="A213" s="262" t="s">
        <v>157</v>
      </c>
      <c r="B213" s="262"/>
      <c r="C213" s="164" t="s">
        <v>28</v>
      </c>
      <c r="D213" s="165">
        <v>121.23</v>
      </c>
      <c r="Y213" s="146" t="s">
        <v>157</v>
      </c>
    </row>
    <row r="214" spans="1:26" x14ac:dyDescent="0.35">
      <c r="A214" s="262" t="s">
        <v>158</v>
      </c>
      <c r="B214" s="262"/>
      <c r="C214" s="164" t="s">
        <v>28</v>
      </c>
      <c r="D214" s="165">
        <v>48.5</v>
      </c>
      <c r="Y214" s="146" t="s">
        <v>158</v>
      </c>
    </row>
    <row r="215" spans="1:26" x14ac:dyDescent="0.35">
      <c r="A215" s="262" t="s">
        <v>159</v>
      </c>
      <c r="B215" s="262"/>
      <c r="C215" s="164" t="s">
        <v>160</v>
      </c>
      <c r="D215" s="165">
        <v>1.2</v>
      </c>
      <c r="Y215" s="146" t="s">
        <v>159</v>
      </c>
    </row>
    <row r="216" spans="1:26" x14ac:dyDescent="0.35">
      <c r="A216" s="262" t="s">
        <v>161</v>
      </c>
      <c r="B216" s="262"/>
      <c r="C216" s="164" t="s">
        <v>160</v>
      </c>
      <c r="D216" s="165">
        <v>0.71</v>
      </c>
      <c r="Y216" s="146" t="s">
        <v>161</v>
      </c>
    </row>
    <row r="217" spans="1:26" x14ac:dyDescent="0.35">
      <c r="A217" s="262" t="s">
        <v>162</v>
      </c>
      <c r="B217" s="262"/>
      <c r="C217" s="164" t="s">
        <v>160</v>
      </c>
      <c r="D217" s="165">
        <v>-0.71</v>
      </c>
      <c r="Y217" s="146" t="s">
        <v>162</v>
      </c>
    </row>
    <row r="218" spans="1:26" x14ac:dyDescent="0.35">
      <c r="A218" s="262" t="s">
        <v>163</v>
      </c>
      <c r="B218" s="262"/>
      <c r="C218" s="166"/>
      <c r="D218" s="167"/>
      <c r="Y218" s="146" t="s">
        <v>163</v>
      </c>
    </row>
    <row r="219" spans="1:26" x14ac:dyDescent="0.35">
      <c r="A219" s="285" t="s">
        <v>164</v>
      </c>
      <c r="B219" s="285"/>
      <c r="C219" s="164" t="s">
        <v>28</v>
      </c>
      <c r="D219" s="165">
        <v>0.61</v>
      </c>
      <c r="Y219" s="146" t="s">
        <v>164</v>
      </c>
    </row>
    <row r="220" spans="1:26" x14ac:dyDescent="0.35">
      <c r="A220" s="285" t="s">
        <v>165</v>
      </c>
      <c r="B220" s="285"/>
      <c r="C220" s="164" t="s">
        <v>28</v>
      </c>
      <c r="D220" s="165">
        <v>1.2</v>
      </c>
      <c r="Y220" s="146" t="s">
        <v>165</v>
      </c>
    </row>
    <row r="221" spans="1:26" x14ac:dyDescent="0.35">
      <c r="A221" s="262" t="s">
        <v>166</v>
      </c>
      <c r="B221" s="262"/>
      <c r="C221" s="166"/>
      <c r="D221" s="167"/>
      <c r="Y221" s="146" t="s">
        <v>166</v>
      </c>
    </row>
    <row r="222" spans="1:26" x14ac:dyDescent="0.35">
      <c r="A222" s="262" t="s">
        <v>167</v>
      </c>
      <c r="B222" s="262"/>
      <c r="C222" s="166"/>
      <c r="D222" s="167"/>
      <c r="Y222" s="146" t="s">
        <v>167</v>
      </c>
    </row>
    <row r="223" spans="1:26" x14ac:dyDescent="0.35">
      <c r="A223" s="262" t="s">
        <v>168</v>
      </c>
      <c r="B223" s="262"/>
      <c r="C223" s="166"/>
      <c r="D223" s="167"/>
      <c r="Y223" s="146" t="s">
        <v>168</v>
      </c>
    </row>
    <row r="224" spans="1:26" x14ac:dyDescent="0.35">
      <c r="A224" s="285" t="s">
        <v>268</v>
      </c>
      <c r="B224" s="285"/>
      <c r="C224" s="164" t="s">
        <v>28</v>
      </c>
      <c r="D224" s="167" t="s">
        <v>169</v>
      </c>
      <c r="Y224" s="146" t="s">
        <v>268</v>
      </c>
    </row>
    <row r="225" spans="1:26" x14ac:dyDescent="0.35">
      <c r="A225" s="285" t="s">
        <v>170</v>
      </c>
      <c r="B225" s="285"/>
      <c r="C225" s="164" t="s">
        <v>28</v>
      </c>
      <c r="D225" s="165">
        <v>4.55</v>
      </c>
      <c r="Y225" s="146" t="s">
        <v>170</v>
      </c>
    </row>
    <row r="226" spans="1:26" ht="20" x14ac:dyDescent="0.35">
      <c r="A226" s="286" t="s">
        <v>171</v>
      </c>
      <c r="B226" s="286"/>
      <c r="C226" s="164" t="s">
        <v>28</v>
      </c>
      <c r="D226" s="165">
        <v>2.42</v>
      </c>
      <c r="Y226" s="146" t="s">
        <v>171</v>
      </c>
    </row>
    <row r="227" spans="1:26" x14ac:dyDescent="0.35">
      <c r="A227" s="168"/>
      <c r="B227" s="168"/>
      <c r="C227" s="164"/>
      <c r="D227" s="165"/>
    </row>
    <row r="228" spans="1:26" ht="18" x14ac:dyDescent="0.4">
      <c r="A228" s="162" t="s">
        <v>172</v>
      </c>
      <c r="B228" s="129"/>
      <c r="C228" s="129"/>
      <c r="D228" s="157"/>
      <c r="G228" t="s">
        <v>269</v>
      </c>
    </row>
    <row r="229" spans="1:26" ht="18" x14ac:dyDescent="0.4">
      <c r="A229" s="162"/>
      <c r="B229" s="129"/>
      <c r="C229" s="129"/>
      <c r="D229" s="157"/>
    </row>
    <row r="230" spans="1:26" ht="20" x14ac:dyDescent="0.35">
      <c r="A230" s="260" t="s">
        <v>173</v>
      </c>
      <c r="B230" s="260"/>
      <c r="C230" s="260"/>
      <c r="D230" s="261"/>
      <c r="Z230" s="146" t="s">
        <v>173</v>
      </c>
    </row>
    <row r="231" spans="1:26" x14ac:dyDescent="0.35">
      <c r="A231" s="262" t="s">
        <v>174</v>
      </c>
      <c r="B231" s="262"/>
      <c r="C231" s="136"/>
      <c r="D231" s="161">
        <v>1.0872999999999999</v>
      </c>
      <c r="Y231" s="146" t="s">
        <v>174</v>
      </c>
    </row>
    <row r="232" spans="1:26" x14ac:dyDescent="0.35">
      <c r="A232" s="262" t="s">
        <v>175</v>
      </c>
      <c r="B232" s="262"/>
      <c r="C232" s="136"/>
      <c r="D232" s="161">
        <v>1.0765</v>
      </c>
      <c r="F232" t="s">
        <v>270</v>
      </c>
      <c r="Y232" s="146" t="s">
        <v>175</v>
      </c>
    </row>
  </sheetData>
  <autoFilter ref="A23:BC35" xr:uid="{34734BAB-91BD-4955-8054-74685312EC36}">
    <filterColumn colId="54">
      <filters>
        <filter val="yes"/>
      </filters>
    </filterColumn>
  </autoFilter>
  <mergeCells count="166">
    <mergeCell ref="A208:D208"/>
    <mergeCell ref="A225:B225"/>
    <mergeCell ref="A226:B226"/>
    <mergeCell ref="A216:B216"/>
    <mergeCell ref="A217:B217"/>
    <mergeCell ref="A218:B218"/>
    <mergeCell ref="A219:B219"/>
    <mergeCell ref="A220:B220"/>
    <mergeCell ref="A213:B213"/>
    <mergeCell ref="A214:B214"/>
    <mergeCell ref="A215:B215"/>
    <mergeCell ref="A210:D210"/>
    <mergeCell ref="A212:D212"/>
    <mergeCell ref="A221:B221"/>
    <mergeCell ref="A222:B222"/>
    <mergeCell ref="A223:B223"/>
    <mergeCell ref="A224:B224"/>
    <mergeCell ref="A179:B179"/>
    <mergeCell ref="A182:B182"/>
    <mergeCell ref="A183:B183"/>
    <mergeCell ref="A204:D204"/>
    <mergeCell ref="A206:D206"/>
    <mergeCell ref="A192:B192"/>
    <mergeCell ref="A195:B195"/>
    <mergeCell ref="A199:B199"/>
    <mergeCell ref="A200:B200"/>
    <mergeCell ref="A201:B201"/>
    <mergeCell ref="A136:B136"/>
    <mergeCell ref="A143:D143"/>
    <mergeCell ref="A145:D145"/>
    <mergeCell ref="A147:D147"/>
    <mergeCell ref="A149:D149"/>
    <mergeCell ref="A160:B160"/>
    <mergeCell ref="A161:B161"/>
    <mergeCell ref="A170:B170"/>
    <mergeCell ref="A171:B171"/>
    <mergeCell ref="A138:B138"/>
    <mergeCell ref="A139:B139"/>
    <mergeCell ref="A140:B140"/>
    <mergeCell ref="A141:B141"/>
    <mergeCell ref="A142:D142"/>
    <mergeCell ref="A151:D151"/>
    <mergeCell ref="A153:D153"/>
    <mergeCell ref="A155:D155"/>
    <mergeCell ref="A157:B157"/>
    <mergeCell ref="A103:B103"/>
    <mergeCell ref="A112:D112"/>
    <mergeCell ref="A114:D114"/>
    <mergeCell ref="A116:D116"/>
    <mergeCell ref="A132:B132"/>
    <mergeCell ref="A133:B133"/>
    <mergeCell ref="A134:B134"/>
    <mergeCell ref="A126:B126"/>
    <mergeCell ref="A127:B127"/>
    <mergeCell ref="A128:B128"/>
    <mergeCell ref="A130:B130"/>
    <mergeCell ref="A124:D124"/>
    <mergeCell ref="A129:B129"/>
    <mergeCell ref="A131:B131"/>
    <mergeCell ref="A105:B105"/>
    <mergeCell ref="A107:B107"/>
    <mergeCell ref="A108:B108"/>
    <mergeCell ref="A109:B109"/>
    <mergeCell ref="A110:B110"/>
    <mergeCell ref="A111:D111"/>
    <mergeCell ref="A118:D118"/>
    <mergeCell ref="A120:D120"/>
    <mergeCell ref="A122:D122"/>
    <mergeCell ref="A82:D82"/>
    <mergeCell ref="A84:D84"/>
    <mergeCell ref="A86:D86"/>
    <mergeCell ref="A88:D88"/>
    <mergeCell ref="A90:D90"/>
    <mergeCell ref="A99:B99"/>
    <mergeCell ref="A100:B100"/>
    <mergeCell ref="A101:B101"/>
    <mergeCell ref="A102:B102"/>
    <mergeCell ref="A94:B94"/>
    <mergeCell ref="A95:B95"/>
    <mergeCell ref="A97:B97"/>
    <mergeCell ref="A92:D92"/>
    <mergeCell ref="A96:B96"/>
    <mergeCell ref="A98:B98"/>
    <mergeCell ref="A70:B70"/>
    <mergeCell ref="A71:B71"/>
    <mergeCell ref="A73:B73"/>
    <mergeCell ref="A79:D79"/>
    <mergeCell ref="A75:B75"/>
    <mergeCell ref="A76:B76"/>
    <mergeCell ref="A77:B77"/>
    <mergeCell ref="A78:B78"/>
    <mergeCell ref="A80:D80"/>
    <mergeCell ref="A67:B67"/>
    <mergeCell ref="A62:B62"/>
    <mergeCell ref="A64:B64"/>
    <mergeCell ref="A65:B65"/>
    <mergeCell ref="A58:D58"/>
    <mergeCell ref="A60:D60"/>
    <mergeCell ref="A63:B63"/>
    <mergeCell ref="A68:B68"/>
    <mergeCell ref="A69:B69"/>
    <mergeCell ref="A32:B32"/>
    <mergeCell ref="A33:B33"/>
    <mergeCell ref="A34:B34"/>
    <mergeCell ref="A35:B35"/>
    <mergeCell ref="A37:B37"/>
    <mergeCell ref="A39:B39"/>
    <mergeCell ref="A43:D43"/>
    <mergeCell ref="A56:D56"/>
    <mergeCell ref="A66:B66"/>
    <mergeCell ref="A40:B40"/>
    <mergeCell ref="A41:B41"/>
    <mergeCell ref="A42:B42"/>
    <mergeCell ref="A44:D44"/>
    <mergeCell ref="A46:D46"/>
    <mergeCell ref="A48:D48"/>
    <mergeCell ref="A50:D50"/>
    <mergeCell ref="A52:D52"/>
    <mergeCell ref="A54:D54"/>
    <mergeCell ref="A2:D2"/>
    <mergeCell ref="A4:D4"/>
    <mergeCell ref="A6:D6"/>
    <mergeCell ref="A3:D3"/>
    <mergeCell ref="A5:D5"/>
    <mergeCell ref="A8:D8"/>
    <mergeCell ref="A10:D10"/>
    <mergeCell ref="A12:D12"/>
    <mergeCell ref="A31:B31"/>
    <mergeCell ref="A24:B24"/>
    <mergeCell ref="A26:B26"/>
    <mergeCell ref="A28:B28"/>
    <mergeCell ref="A29:B29"/>
    <mergeCell ref="A30:B30"/>
    <mergeCell ref="A7:D7"/>
    <mergeCell ref="A9:D9"/>
    <mergeCell ref="A14:D14"/>
    <mergeCell ref="A16:D16"/>
    <mergeCell ref="A18:D18"/>
    <mergeCell ref="A20:D20"/>
    <mergeCell ref="A22:D22"/>
    <mergeCell ref="A25:B25"/>
    <mergeCell ref="A27:B27"/>
    <mergeCell ref="A230:D230"/>
    <mergeCell ref="A231:B231"/>
    <mergeCell ref="A232:B232"/>
    <mergeCell ref="A163:D163"/>
    <mergeCell ref="A165:D165"/>
    <mergeCell ref="A167:D167"/>
    <mergeCell ref="A180:B180"/>
    <mergeCell ref="A181:B181"/>
    <mergeCell ref="A188:B188"/>
    <mergeCell ref="A196:B196"/>
    <mergeCell ref="A197:B197"/>
    <mergeCell ref="A198:B198"/>
    <mergeCell ref="A172:B172"/>
    <mergeCell ref="A173:B173"/>
    <mergeCell ref="A174:B174"/>
    <mergeCell ref="A175:B175"/>
    <mergeCell ref="A184:B184"/>
    <mergeCell ref="A185:B185"/>
    <mergeCell ref="A189:B189"/>
    <mergeCell ref="A190:B190"/>
    <mergeCell ref="A191:B191"/>
    <mergeCell ref="A176:B176"/>
    <mergeCell ref="A177:B177"/>
    <mergeCell ref="A178:B178"/>
  </mergeCells>
  <pageMargins left="0.7" right="0.7" top="0.75" bottom="0.75" header="0.3" footer="0.3"/>
  <pageSetup scale="66" orientation="portrait" verticalDpi="1200" r:id="rId1"/>
  <rowBreaks count="6" manualBreakCount="6">
    <brk id="42" max="16383" man="1"/>
    <brk id="78" max="16383" man="1"/>
    <brk id="110" max="16383" man="1"/>
    <brk id="141" max="16383" man="1"/>
    <brk id="158" max="16383" man="1"/>
    <brk id="20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60437-5054-4A48-B5B8-91E2F32BED37}">
  <dimension ref="B12:G61"/>
  <sheetViews>
    <sheetView view="pageBreakPreview" zoomScale="60" zoomScaleNormal="100" workbookViewId="0">
      <selection activeCell="F13" sqref="F13"/>
    </sheetView>
  </sheetViews>
  <sheetFormatPr defaultRowHeight="14.5" x14ac:dyDescent="0.35"/>
  <cols>
    <col min="2" max="2" width="56" customWidth="1"/>
    <col min="3" max="3" width="6.7265625" customWidth="1"/>
    <col min="4" max="4" width="20.1796875" bestFit="1" customWidth="1"/>
    <col min="5" max="5" width="22.26953125" bestFit="1" customWidth="1"/>
    <col min="6" max="7" width="25.26953125" bestFit="1" customWidth="1"/>
  </cols>
  <sheetData>
    <row r="12" spans="2:5" x14ac:dyDescent="0.35">
      <c r="B12" s="287" t="s">
        <v>271</v>
      </c>
      <c r="C12" s="287"/>
      <c r="D12" s="287"/>
    </row>
    <row r="13" spans="2:5" ht="15" thickBot="1" x14ac:dyDescent="0.4">
      <c r="B13" s="169" t="s">
        <v>272</v>
      </c>
    </row>
    <row r="14" spans="2:5" ht="15" thickBot="1" x14ac:dyDescent="0.4">
      <c r="B14" s="170" t="s">
        <v>273</v>
      </c>
      <c r="C14" s="171"/>
      <c r="D14" s="172">
        <v>45658</v>
      </c>
      <c r="E14" s="172">
        <v>46023</v>
      </c>
    </row>
    <row r="15" spans="2:5" ht="15" thickBot="1" x14ac:dyDescent="0.4">
      <c r="B15" s="173" t="s">
        <v>103</v>
      </c>
      <c r="C15" s="174" t="s">
        <v>99</v>
      </c>
      <c r="D15" s="175">
        <v>4.1000000000000003E-3</v>
      </c>
      <c r="E15" s="175">
        <v>4.1000000000000003E-3</v>
      </c>
    </row>
    <row r="16" spans="2:5" ht="25.5" thickBot="1" x14ac:dyDescent="0.4">
      <c r="B16" s="176" t="s">
        <v>104</v>
      </c>
      <c r="C16" s="177" t="s">
        <v>99</v>
      </c>
      <c r="D16" s="178">
        <v>4.0000000000000002E-4</v>
      </c>
      <c r="E16" s="178">
        <v>4.0000000000000002E-4</v>
      </c>
    </row>
    <row r="17" spans="2:7" ht="15" thickBot="1" x14ac:dyDescent="0.4">
      <c r="B17" s="176" t="s">
        <v>105</v>
      </c>
      <c r="C17" s="177" t="s">
        <v>99</v>
      </c>
      <c r="D17" s="178">
        <v>1.5E-3</v>
      </c>
      <c r="E17" s="178">
        <v>1.5E-3</v>
      </c>
    </row>
    <row r="18" spans="2:7" ht="15" thickBot="1" x14ac:dyDescent="0.4">
      <c r="B18" s="176" t="s">
        <v>106</v>
      </c>
      <c r="C18" s="177" t="s">
        <v>99</v>
      </c>
      <c r="D18" s="179">
        <v>0.25</v>
      </c>
      <c r="E18" s="179">
        <v>0.25</v>
      </c>
    </row>
    <row r="21" spans="2:7" ht="15" thickBot="1" x14ac:dyDescent="0.4">
      <c r="B21" s="169" t="s">
        <v>274</v>
      </c>
      <c r="G21" s="244"/>
    </row>
    <row r="22" spans="2:7" ht="15" thickBot="1" x14ac:dyDescent="0.4">
      <c r="B22" s="180" t="s">
        <v>275</v>
      </c>
      <c r="C22" s="288">
        <v>45962</v>
      </c>
      <c r="D22" s="289"/>
      <c r="E22" s="290"/>
    </row>
    <row r="23" spans="2:7" ht="15" thickBot="1" x14ac:dyDescent="0.4">
      <c r="B23" s="180" t="s">
        <v>276</v>
      </c>
      <c r="C23" s="171" t="s">
        <v>99</v>
      </c>
      <c r="D23" s="181">
        <v>7.5999999999999998E-2</v>
      </c>
      <c r="E23" s="182">
        <v>0.64</v>
      </c>
    </row>
    <row r="24" spans="2:7" ht="15" thickBot="1" x14ac:dyDescent="0.4">
      <c r="B24" s="180" t="s">
        <v>277</v>
      </c>
      <c r="C24" s="171" t="s">
        <v>99</v>
      </c>
      <c r="D24" s="181">
        <v>0.122</v>
      </c>
      <c r="E24" s="182">
        <v>0.18</v>
      </c>
    </row>
    <row r="25" spans="2:7" ht="15" thickBot="1" x14ac:dyDescent="0.4">
      <c r="B25" s="180" t="s">
        <v>278</v>
      </c>
      <c r="C25" s="171" t="s">
        <v>99</v>
      </c>
      <c r="D25" s="181">
        <v>0.158</v>
      </c>
      <c r="E25" s="182">
        <v>0.18</v>
      </c>
    </row>
    <row r="26" spans="2:7" x14ac:dyDescent="0.35">
      <c r="B26" s="248" t="s">
        <v>312</v>
      </c>
      <c r="C26" s="249"/>
      <c r="D26" s="249"/>
      <c r="E26" s="250">
        <f>+D23*E23+D24*E24+D25*E25</f>
        <v>9.9039999999999989E-2</v>
      </c>
    </row>
    <row r="27" spans="2:7" x14ac:dyDescent="0.35">
      <c r="B27" s="248"/>
      <c r="C27" s="249"/>
      <c r="D27" s="249"/>
      <c r="E27" s="249"/>
    </row>
    <row r="28" spans="2:7" x14ac:dyDescent="0.35">
      <c r="B28" s="248" t="s">
        <v>314</v>
      </c>
      <c r="C28" s="249"/>
      <c r="D28" s="249"/>
      <c r="E28" s="249">
        <v>0.15959999999999999</v>
      </c>
    </row>
    <row r="29" spans="2:7" x14ac:dyDescent="0.35">
      <c r="B29" s="248"/>
      <c r="C29" s="249"/>
      <c r="D29" s="249"/>
      <c r="E29" s="249"/>
    </row>
    <row r="30" spans="2:7" ht="15" thickBot="1" x14ac:dyDescent="0.4">
      <c r="B30" s="169" t="s">
        <v>279</v>
      </c>
    </row>
    <row r="31" spans="2:7" ht="16" thickBot="1" x14ac:dyDescent="0.4">
      <c r="B31" s="180" t="s">
        <v>279</v>
      </c>
      <c r="C31" s="171" t="s">
        <v>28</v>
      </c>
      <c r="D31" s="183">
        <v>0.13100000000000001</v>
      </c>
    </row>
    <row r="32" spans="2:7" x14ac:dyDescent="0.35">
      <c r="B32" s="184"/>
      <c r="D32" s="185"/>
    </row>
    <row r="35" spans="2:7" ht="15" thickBot="1" x14ac:dyDescent="0.4">
      <c r="B35" s="186" t="s">
        <v>280</v>
      </c>
    </row>
    <row r="36" spans="2:7" ht="15" thickBot="1" x14ac:dyDescent="0.4">
      <c r="B36" s="180" t="s">
        <v>280</v>
      </c>
      <c r="C36" s="171" t="s">
        <v>28</v>
      </c>
      <c r="D36" s="187">
        <v>0.42</v>
      </c>
    </row>
    <row r="37" spans="2:7" ht="15" thickBot="1" x14ac:dyDescent="0.4"/>
    <row r="38" spans="2:7" ht="29.5" thickBot="1" x14ac:dyDescent="0.4">
      <c r="B38" s="180" t="s">
        <v>281</v>
      </c>
      <c r="C38" s="171" t="s">
        <v>28</v>
      </c>
      <c r="D38" s="187">
        <v>42.88</v>
      </c>
    </row>
    <row r="39" spans="2:7" x14ac:dyDescent="0.35">
      <c r="B39" s="188" t="s">
        <v>282</v>
      </c>
      <c r="C39" s="189"/>
      <c r="D39" s="189"/>
      <c r="E39" s="189"/>
      <c r="F39" s="189"/>
      <c r="G39" s="189"/>
    </row>
    <row r="40" spans="2:7" x14ac:dyDescent="0.35">
      <c r="B40" s="189"/>
      <c r="C40" s="189"/>
      <c r="D40" s="189"/>
      <c r="E40" s="189"/>
      <c r="F40" s="189"/>
      <c r="G40" s="189"/>
    </row>
    <row r="41" spans="2:7" ht="16.5" x14ac:dyDescent="0.35">
      <c r="B41" s="190" t="s">
        <v>283</v>
      </c>
      <c r="C41" s="191" t="s">
        <v>284</v>
      </c>
      <c r="D41" s="191" t="s">
        <v>285</v>
      </c>
      <c r="E41" s="192" t="s">
        <v>286</v>
      </c>
      <c r="F41" s="193" t="s">
        <v>287</v>
      </c>
    </row>
    <row r="42" spans="2:7" ht="15.5" x14ac:dyDescent="0.35">
      <c r="B42" s="194" t="s">
        <v>288</v>
      </c>
      <c r="C42" s="195" t="s">
        <v>28</v>
      </c>
      <c r="D42" s="196">
        <v>39.14</v>
      </c>
      <c r="E42" s="183">
        <v>3.6999999999999998E-2</v>
      </c>
      <c r="F42" s="196">
        <f>ROUND(D42*(1+E42),2)</f>
        <v>40.590000000000003</v>
      </c>
    </row>
    <row r="43" spans="2:7" x14ac:dyDescent="0.35">
      <c r="B43" s="197"/>
      <c r="C43" s="198"/>
      <c r="D43" s="189"/>
      <c r="E43" s="189"/>
      <c r="F43" s="189"/>
    </row>
    <row r="44" spans="2:7" x14ac:dyDescent="0.35">
      <c r="B44" s="199" t="s">
        <v>289</v>
      </c>
      <c r="C44" s="200"/>
      <c r="D44" s="201" t="s">
        <v>285</v>
      </c>
      <c r="E44" s="201" t="s">
        <v>290</v>
      </c>
      <c r="F44" s="201" t="s">
        <v>291</v>
      </c>
    </row>
    <row r="45" spans="2:7" ht="28" x14ac:dyDescent="0.35">
      <c r="B45" s="194" t="s">
        <v>157</v>
      </c>
      <c r="C45" s="195" t="s">
        <v>28</v>
      </c>
      <c r="D45" s="202">
        <v>121.23</v>
      </c>
      <c r="E45" s="183">
        <v>3.6999999999999998E-2</v>
      </c>
      <c r="F45" s="202">
        <f>ROUND(D45*(1+E45),2)</f>
        <v>125.72</v>
      </c>
    </row>
    <row r="46" spans="2:7" ht="15.5" x14ac:dyDescent="0.35">
      <c r="B46" s="194" t="s">
        <v>158</v>
      </c>
      <c r="C46" s="195" t="s">
        <v>28</v>
      </c>
      <c r="D46" s="202">
        <v>48.5</v>
      </c>
      <c r="E46" s="183">
        <v>3.6999999999999998E-2</v>
      </c>
      <c r="F46" s="202">
        <f t="shared" ref="F46:F52" si="0">ROUND(D46*(1+E46),2)</f>
        <v>50.29</v>
      </c>
    </row>
    <row r="47" spans="2:7" ht="15.5" x14ac:dyDescent="0.35">
      <c r="B47" s="194" t="s">
        <v>159</v>
      </c>
      <c r="C47" s="203" t="s">
        <v>160</v>
      </c>
      <c r="D47" s="202">
        <v>1.2</v>
      </c>
      <c r="E47" s="183">
        <v>3.6999999999999998E-2</v>
      </c>
      <c r="F47" s="202">
        <f t="shared" si="0"/>
        <v>1.24</v>
      </c>
    </row>
    <row r="48" spans="2:7" ht="28" x14ac:dyDescent="0.35">
      <c r="B48" s="194" t="s">
        <v>161</v>
      </c>
      <c r="C48" s="203" t="s">
        <v>160</v>
      </c>
      <c r="D48" s="202">
        <v>0.71</v>
      </c>
      <c r="E48" s="183">
        <v>3.6999999999999998E-2</v>
      </c>
      <c r="F48" s="202">
        <f t="shared" si="0"/>
        <v>0.74</v>
      </c>
    </row>
    <row r="49" spans="2:6" ht="28" x14ac:dyDescent="0.35">
      <c r="B49" s="194" t="s">
        <v>162</v>
      </c>
      <c r="C49" s="203" t="s">
        <v>160</v>
      </c>
      <c r="D49" s="202">
        <v>-0.71</v>
      </c>
      <c r="E49" s="183">
        <v>3.6999999999999998E-2</v>
      </c>
      <c r="F49" s="202">
        <f t="shared" si="0"/>
        <v>-0.74</v>
      </c>
    </row>
    <row r="50" spans="2:6" ht="15.5" x14ac:dyDescent="0.35">
      <c r="B50" s="194" t="s">
        <v>292</v>
      </c>
      <c r="C50" s="195"/>
      <c r="D50" s="202"/>
      <c r="E50" s="183">
        <v>3.6999999999999998E-2</v>
      </c>
      <c r="F50" s="202">
        <f t="shared" si="0"/>
        <v>0</v>
      </c>
    </row>
    <row r="51" spans="2:6" ht="15.5" x14ac:dyDescent="0.35">
      <c r="B51" s="194" t="s">
        <v>293</v>
      </c>
      <c r="C51" s="195" t="s">
        <v>28</v>
      </c>
      <c r="D51" s="202">
        <v>0.61</v>
      </c>
      <c r="E51" s="183">
        <v>3.6999999999999998E-2</v>
      </c>
      <c r="F51" s="202">
        <f t="shared" si="0"/>
        <v>0.63</v>
      </c>
    </row>
    <row r="52" spans="2:6" ht="15.5" x14ac:dyDescent="0.35">
      <c r="B52" s="194" t="s">
        <v>294</v>
      </c>
      <c r="C52" s="195" t="s">
        <v>28</v>
      </c>
      <c r="D52" s="202">
        <v>1.2</v>
      </c>
      <c r="E52" s="183">
        <v>3.6999999999999998E-2</v>
      </c>
      <c r="F52" s="202">
        <f t="shared" si="0"/>
        <v>1.24</v>
      </c>
    </row>
    <row r="53" spans="2:6" ht="28" x14ac:dyDescent="0.35">
      <c r="B53" s="194" t="s">
        <v>295</v>
      </c>
      <c r="C53" s="203"/>
      <c r="D53" s="204"/>
      <c r="E53" s="204"/>
      <c r="F53" s="204"/>
    </row>
    <row r="54" spans="2:6" ht="15.5" x14ac:dyDescent="0.35">
      <c r="B54" s="194" t="s">
        <v>296</v>
      </c>
      <c r="C54" s="195"/>
      <c r="D54" s="205" t="s">
        <v>169</v>
      </c>
      <c r="E54" s="206"/>
      <c r="F54" s="205" t="s">
        <v>169</v>
      </c>
    </row>
    <row r="55" spans="2:6" ht="28" x14ac:dyDescent="0.35">
      <c r="B55" s="194" t="s">
        <v>297</v>
      </c>
      <c r="C55" s="195" t="s">
        <v>28</v>
      </c>
      <c r="D55" s="202">
        <v>4.55</v>
      </c>
      <c r="E55" s="183">
        <v>3.6999999999999998E-2</v>
      </c>
      <c r="F55" s="202">
        <f>ROUND(D55*(1+E55),2)</f>
        <v>4.72</v>
      </c>
    </row>
    <row r="56" spans="2:6" ht="56" x14ac:dyDescent="0.35">
      <c r="B56" s="194" t="s">
        <v>171</v>
      </c>
      <c r="C56" s="195" t="s">
        <v>28</v>
      </c>
      <c r="D56" s="202">
        <v>2.42</v>
      </c>
      <c r="E56" s="183">
        <v>3.6999999999999998E-2</v>
      </c>
      <c r="F56" s="202">
        <f>ROUND(D56*(1+E56),2)</f>
        <v>2.5099999999999998</v>
      </c>
    </row>
    <row r="59" spans="2:6" x14ac:dyDescent="0.35">
      <c r="B59" t="s">
        <v>298</v>
      </c>
    </row>
    <row r="60" spans="2:6" x14ac:dyDescent="0.35">
      <c r="B60" t="s">
        <v>299</v>
      </c>
    </row>
    <row r="61" spans="2:6" x14ac:dyDescent="0.35">
      <c r="B61" t="s">
        <v>300</v>
      </c>
    </row>
  </sheetData>
  <mergeCells count="2">
    <mergeCell ref="B12:D12"/>
    <mergeCell ref="C22:E22"/>
  </mergeCells>
  <pageMargins left="0.7" right="0.7" top="0.75" bottom="0.75" header="0.3" footer="0.3"/>
  <pageSetup scale="54"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4C031-E5BE-4F4E-B804-B50DBA6C0869}">
  <dimension ref="B2:H225"/>
  <sheetViews>
    <sheetView tabSelected="1" view="pageBreakPreview" topLeftCell="A35" zoomScaleNormal="100" zoomScaleSheetLayoutView="100" workbookViewId="0">
      <selection activeCell="H70" sqref="H70"/>
    </sheetView>
  </sheetViews>
  <sheetFormatPr defaultRowHeight="14.5" x14ac:dyDescent="0.35"/>
  <cols>
    <col min="2" max="2" width="57.81640625" bestFit="1" customWidth="1"/>
    <col min="3" max="3" width="16.453125" customWidth="1"/>
    <col min="4" max="4" width="5.7265625" bestFit="1" customWidth="1"/>
    <col min="5" max="5" width="8" bestFit="1" customWidth="1"/>
    <col min="6" max="7" width="17.7265625" customWidth="1"/>
    <col min="8" max="8" width="15.7265625" customWidth="1"/>
  </cols>
  <sheetData>
    <row r="2" spans="2:5" ht="23" x14ac:dyDescent="0.35">
      <c r="B2" s="267" t="s">
        <v>83</v>
      </c>
      <c r="C2" s="267"/>
      <c r="D2" s="267"/>
      <c r="E2" s="267"/>
    </row>
    <row r="3" spans="2:5" ht="18" x14ac:dyDescent="0.35">
      <c r="B3" s="270" t="s">
        <v>84</v>
      </c>
      <c r="C3" s="270"/>
      <c r="D3" s="270"/>
      <c r="E3" s="270"/>
    </row>
    <row r="4" spans="2:5" ht="15.5" x14ac:dyDescent="0.35">
      <c r="B4" s="268" t="s">
        <v>301</v>
      </c>
      <c r="C4" s="268"/>
      <c r="D4" s="268"/>
      <c r="E4" s="268"/>
    </row>
    <row r="5" spans="2:5" x14ac:dyDescent="0.35">
      <c r="B5" s="269" t="s">
        <v>85</v>
      </c>
      <c r="C5" s="269"/>
      <c r="D5" s="269"/>
      <c r="E5" s="269"/>
    </row>
    <row r="6" spans="2:5" x14ac:dyDescent="0.35">
      <c r="B6" s="269" t="s">
        <v>86</v>
      </c>
      <c r="C6" s="269"/>
      <c r="D6" s="269"/>
      <c r="E6" s="269"/>
    </row>
    <row r="7" spans="2:5" x14ac:dyDescent="0.35">
      <c r="B7" s="291" t="s">
        <v>302</v>
      </c>
      <c r="C7" s="291"/>
      <c r="D7" s="291"/>
      <c r="E7" s="291"/>
    </row>
    <row r="8" spans="2:5" x14ac:dyDescent="0.35">
      <c r="B8" s="271" t="s">
        <v>12</v>
      </c>
      <c r="C8" s="272"/>
      <c r="D8" s="272"/>
      <c r="E8" s="272"/>
    </row>
    <row r="9" spans="2:5" ht="84" customHeight="1" x14ac:dyDescent="0.35">
      <c r="B9" s="273" t="s">
        <v>87</v>
      </c>
      <c r="C9" s="273"/>
      <c r="D9" s="273"/>
      <c r="E9" s="273"/>
    </row>
    <row r="10" spans="2:5" ht="40.5" customHeight="1" x14ac:dyDescent="0.35">
      <c r="B10" s="273" t="s">
        <v>88</v>
      </c>
      <c r="C10" s="263"/>
      <c r="D10" s="263"/>
      <c r="E10" s="263"/>
    </row>
    <row r="11" spans="2:5" x14ac:dyDescent="0.35">
      <c r="B11" s="113"/>
      <c r="C11" s="114"/>
      <c r="D11" s="114"/>
      <c r="E11" s="114"/>
    </row>
    <row r="12" spans="2:5" x14ac:dyDescent="0.35">
      <c r="B12" s="274" t="s">
        <v>89</v>
      </c>
      <c r="C12" s="275"/>
      <c r="D12" s="275"/>
      <c r="E12" s="275"/>
    </row>
    <row r="13" spans="2:5" x14ac:dyDescent="0.35">
      <c r="B13" s="115"/>
      <c r="C13" s="116"/>
      <c r="D13" s="116"/>
      <c r="E13" s="116"/>
    </row>
    <row r="14" spans="2:5" ht="36.75" customHeight="1" x14ac:dyDescent="0.35">
      <c r="B14" s="273" t="s">
        <v>90</v>
      </c>
      <c r="C14" s="273"/>
      <c r="D14" s="273"/>
      <c r="E14" s="273"/>
    </row>
    <row r="15" spans="2:5" ht="9" customHeight="1" x14ac:dyDescent="0.35">
      <c r="B15" s="113"/>
      <c r="C15" s="113"/>
      <c r="D15" s="113"/>
      <c r="E15" s="113"/>
    </row>
    <row r="16" spans="2:5" ht="51" customHeight="1" x14ac:dyDescent="0.35">
      <c r="B16" s="273" t="s">
        <v>91</v>
      </c>
      <c r="C16" s="273"/>
      <c r="D16" s="273"/>
      <c r="E16" s="273"/>
    </row>
    <row r="17" spans="2:8" ht="7.5" customHeight="1" x14ac:dyDescent="0.35">
      <c r="B17" s="113"/>
      <c r="C17" s="113"/>
      <c r="D17" s="113"/>
      <c r="E17" s="113"/>
    </row>
    <row r="18" spans="2:8" ht="50.25" customHeight="1" x14ac:dyDescent="0.35">
      <c r="B18" s="273" t="s">
        <v>92</v>
      </c>
      <c r="C18" s="273"/>
      <c r="D18" s="273"/>
      <c r="E18" s="273"/>
    </row>
    <row r="19" spans="2:8" ht="9.75" customHeight="1" x14ac:dyDescent="0.35">
      <c r="B19" s="113"/>
      <c r="C19" s="113"/>
      <c r="D19" s="113"/>
      <c r="E19" s="113"/>
    </row>
    <row r="20" spans="2:8" ht="39" customHeight="1" x14ac:dyDescent="0.35">
      <c r="B20" s="273" t="s">
        <v>93</v>
      </c>
      <c r="C20" s="273"/>
      <c r="D20" s="273"/>
      <c r="E20" s="273"/>
    </row>
    <row r="21" spans="2:8" x14ac:dyDescent="0.35">
      <c r="B21" s="113"/>
      <c r="C21" s="113"/>
      <c r="D21" s="113"/>
      <c r="E21" s="113"/>
    </row>
    <row r="22" spans="2:8" x14ac:dyDescent="0.35">
      <c r="B22" s="279" t="s">
        <v>94</v>
      </c>
      <c r="C22" s="280"/>
      <c r="D22" s="280"/>
      <c r="E22" s="280"/>
      <c r="F22" t="s">
        <v>311</v>
      </c>
      <c r="G22" t="s">
        <v>304</v>
      </c>
      <c r="H22" t="s">
        <v>305</v>
      </c>
    </row>
    <row r="23" spans="2:8" x14ac:dyDescent="0.35">
      <c r="B23" s="117"/>
      <c r="C23" s="118"/>
      <c r="D23" s="118"/>
      <c r="E23" s="118"/>
    </row>
    <row r="24" spans="2:8" x14ac:dyDescent="0.35">
      <c r="B24" s="262" t="s">
        <v>95</v>
      </c>
      <c r="C24" s="262"/>
      <c r="D24" s="120" t="s">
        <v>28</v>
      </c>
      <c r="E24" s="211">
        <v>70.56</v>
      </c>
      <c r="F24" t="s">
        <v>24</v>
      </c>
      <c r="G24" s="244" t="s">
        <v>306</v>
      </c>
      <c r="H24" t="s">
        <v>307</v>
      </c>
    </row>
    <row r="25" spans="2:8" x14ac:dyDescent="0.35">
      <c r="B25" s="262" t="s">
        <v>96</v>
      </c>
      <c r="C25" s="262"/>
      <c r="D25" s="120" t="s">
        <v>28</v>
      </c>
      <c r="E25" s="211">
        <v>31.64</v>
      </c>
      <c r="F25" t="s">
        <v>24</v>
      </c>
      <c r="G25" t="s">
        <v>307</v>
      </c>
      <c r="H25" s="244" t="s">
        <v>306</v>
      </c>
    </row>
    <row r="26" spans="2:8" x14ac:dyDescent="0.35">
      <c r="B26" s="262" t="s">
        <v>97</v>
      </c>
      <c r="C26" s="262"/>
      <c r="D26" s="120" t="s">
        <v>28</v>
      </c>
      <c r="E26" s="211">
        <v>0.42</v>
      </c>
      <c r="F26" t="s">
        <v>25</v>
      </c>
      <c r="G26" s="244" t="s">
        <v>306</v>
      </c>
      <c r="H26" s="244" t="s">
        <v>309</v>
      </c>
    </row>
    <row r="27" spans="2:8" x14ac:dyDescent="0.35">
      <c r="B27" s="262" t="s">
        <v>98</v>
      </c>
      <c r="C27" s="262"/>
      <c r="D27" s="124" t="s">
        <v>99</v>
      </c>
      <c r="E27" s="215">
        <v>4.4499999999999998E-2</v>
      </c>
      <c r="F27" t="s">
        <v>24</v>
      </c>
      <c r="G27" t="s">
        <v>307</v>
      </c>
      <c r="H27" s="244" t="s">
        <v>306</v>
      </c>
    </row>
    <row r="28" spans="2:8" ht="50.25" hidden="1" customHeight="1" x14ac:dyDescent="0.35">
      <c r="B28" s="276" t="s">
        <v>303</v>
      </c>
      <c r="C28" s="277"/>
      <c r="D28" s="120" t="s">
        <v>99</v>
      </c>
      <c r="E28" s="208">
        <v>0</v>
      </c>
      <c r="F28" t="s">
        <v>25</v>
      </c>
      <c r="G28" s="244" t="s">
        <v>306</v>
      </c>
      <c r="H28" s="244" t="s">
        <v>306</v>
      </c>
    </row>
    <row r="29" spans="2:8" ht="27.75" customHeight="1" x14ac:dyDescent="0.35">
      <c r="B29" s="276" t="s">
        <v>321</v>
      </c>
      <c r="C29" s="277"/>
      <c r="D29" s="120" t="s">
        <v>99</v>
      </c>
      <c r="E29" s="215">
        <v>0</v>
      </c>
      <c r="F29" t="s">
        <v>25</v>
      </c>
      <c r="G29" s="244" t="s">
        <v>306</v>
      </c>
      <c r="H29" s="244" t="s">
        <v>306</v>
      </c>
    </row>
    <row r="30" spans="2:8" ht="32.25" customHeight="1" x14ac:dyDescent="0.35">
      <c r="B30" s="276" t="s">
        <v>319</v>
      </c>
      <c r="C30" s="277"/>
      <c r="D30" s="120" t="s">
        <v>99</v>
      </c>
      <c r="E30" s="215">
        <v>0</v>
      </c>
      <c r="F30" t="s">
        <v>25</v>
      </c>
      <c r="G30" t="s">
        <v>308</v>
      </c>
      <c r="H30" t="s">
        <v>308</v>
      </c>
    </row>
    <row r="31" spans="2:8" x14ac:dyDescent="0.35">
      <c r="B31" s="262" t="s">
        <v>100</v>
      </c>
      <c r="C31" s="262"/>
      <c r="D31" s="120" t="s">
        <v>99</v>
      </c>
      <c r="E31" s="255">
        <v>1.21E-2</v>
      </c>
      <c r="F31" t="s">
        <v>26</v>
      </c>
      <c r="G31" s="244" t="s">
        <v>309</v>
      </c>
      <c r="H31" s="244" t="s">
        <v>309</v>
      </c>
    </row>
    <row r="32" spans="2:8" x14ac:dyDescent="0.35">
      <c r="B32" s="262" t="s">
        <v>101</v>
      </c>
      <c r="C32" s="262"/>
      <c r="D32" s="120" t="s">
        <v>99</v>
      </c>
      <c r="E32" s="255">
        <v>8.8000000000000005E-3</v>
      </c>
      <c r="F32" t="s">
        <v>26</v>
      </c>
      <c r="G32" s="244" t="s">
        <v>309</v>
      </c>
      <c r="H32" s="244" t="s">
        <v>309</v>
      </c>
    </row>
    <row r="33" spans="2:8" x14ac:dyDescent="0.35">
      <c r="B33" s="119"/>
      <c r="C33" s="119"/>
      <c r="D33" s="120"/>
      <c r="E33" s="149"/>
    </row>
    <row r="34" spans="2:8" x14ac:dyDescent="0.35">
      <c r="B34" s="281" t="s">
        <v>102</v>
      </c>
      <c r="C34" s="282"/>
      <c r="D34" s="123"/>
      <c r="E34" s="150"/>
    </row>
    <row r="35" spans="2:8" x14ac:dyDescent="0.35">
      <c r="B35" s="122"/>
      <c r="C35" s="121"/>
      <c r="D35" s="123"/>
      <c r="E35" s="150"/>
    </row>
    <row r="36" spans="2:8" x14ac:dyDescent="0.35">
      <c r="B36" s="262" t="s">
        <v>103</v>
      </c>
      <c r="C36" s="262"/>
      <c r="D36" s="124" t="s">
        <v>99</v>
      </c>
      <c r="E36" s="216">
        <f>'Other Charges'!E15</f>
        <v>4.1000000000000003E-3</v>
      </c>
      <c r="F36" t="s">
        <v>310</v>
      </c>
      <c r="G36" s="244"/>
      <c r="H36" s="244"/>
    </row>
    <row r="37" spans="2:8" x14ac:dyDescent="0.35">
      <c r="B37" s="262" t="s">
        <v>104</v>
      </c>
      <c r="C37" s="262"/>
      <c r="D37" s="124" t="s">
        <v>99</v>
      </c>
      <c r="E37" s="216">
        <f>'Other Charges'!E16</f>
        <v>4.0000000000000002E-4</v>
      </c>
      <c r="F37" t="s">
        <v>310</v>
      </c>
      <c r="G37" s="244"/>
      <c r="H37" s="244"/>
    </row>
    <row r="38" spans="2:8" x14ac:dyDescent="0.35">
      <c r="B38" s="262" t="s">
        <v>105</v>
      </c>
      <c r="C38" s="262"/>
      <c r="D38" s="124" t="s">
        <v>99</v>
      </c>
      <c r="E38" s="216">
        <f>'Other Charges'!E17</f>
        <v>1.5E-3</v>
      </c>
      <c r="F38" t="s">
        <v>310</v>
      </c>
      <c r="G38" s="244"/>
      <c r="H38" s="244"/>
    </row>
    <row r="39" spans="2:8" x14ac:dyDescent="0.35">
      <c r="B39" s="262" t="s">
        <v>106</v>
      </c>
      <c r="C39" s="262"/>
      <c r="D39" s="124" t="s">
        <v>28</v>
      </c>
      <c r="E39" s="217">
        <f>'Other Charges'!E18</f>
        <v>0.25</v>
      </c>
      <c r="F39" t="s">
        <v>310</v>
      </c>
      <c r="G39" s="244"/>
      <c r="H39" s="244"/>
    </row>
    <row r="40" spans="2:8" ht="18" x14ac:dyDescent="0.35">
      <c r="B40" s="271" t="s">
        <v>15</v>
      </c>
      <c r="C40" s="271"/>
      <c r="D40" s="271"/>
      <c r="E40" s="271"/>
    </row>
    <row r="41" spans="2:8" ht="49.5" customHeight="1" x14ac:dyDescent="0.35">
      <c r="B41" s="273" t="s">
        <v>107</v>
      </c>
      <c r="C41" s="273"/>
      <c r="D41" s="273"/>
      <c r="E41" s="283"/>
    </row>
    <row r="42" spans="2:8" x14ac:dyDescent="0.35">
      <c r="B42" s="113"/>
      <c r="C42" s="113"/>
      <c r="D42" s="113"/>
      <c r="E42" s="125"/>
    </row>
    <row r="43" spans="2:8" x14ac:dyDescent="0.35">
      <c r="B43" s="274" t="s">
        <v>89</v>
      </c>
      <c r="C43" s="275"/>
      <c r="D43" s="275"/>
      <c r="E43" s="275"/>
    </row>
    <row r="44" spans="2:8" ht="9.75" customHeight="1" x14ac:dyDescent="0.35">
      <c r="B44" s="115"/>
      <c r="C44" s="116"/>
      <c r="D44" s="116"/>
      <c r="E44" s="116"/>
    </row>
    <row r="45" spans="2:8" ht="38.25" customHeight="1" x14ac:dyDescent="0.35">
      <c r="B45" s="273" t="s">
        <v>90</v>
      </c>
      <c r="C45" s="273"/>
      <c r="D45" s="273"/>
      <c r="E45" s="273"/>
    </row>
    <row r="46" spans="2:8" ht="6.75" customHeight="1" x14ac:dyDescent="0.35">
      <c r="B46" s="113"/>
      <c r="C46" s="113"/>
      <c r="D46" s="113"/>
      <c r="E46" s="113"/>
    </row>
    <row r="47" spans="2:8" ht="51" customHeight="1" x14ac:dyDescent="0.35">
      <c r="B47" s="273" t="s">
        <v>91</v>
      </c>
      <c r="C47" s="273"/>
      <c r="D47" s="273"/>
      <c r="E47" s="273"/>
    </row>
    <row r="48" spans="2:8" ht="9" customHeight="1" x14ac:dyDescent="0.35">
      <c r="B48" s="113"/>
      <c r="C48" s="113"/>
      <c r="D48" s="113"/>
      <c r="E48" s="113"/>
    </row>
    <row r="49" spans="2:6" ht="50.25" customHeight="1" x14ac:dyDescent="0.35">
      <c r="B49" s="273" t="s">
        <v>92</v>
      </c>
      <c r="C49" s="273"/>
      <c r="D49" s="273"/>
      <c r="E49" s="273"/>
    </row>
    <row r="50" spans="2:6" ht="6" customHeight="1" x14ac:dyDescent="0.35">
      <c r="B50" s="113"/>
      <c r="C50" s="113"/>
      <c r="D50" s="113"/>
      <c r="E50" s="113"/>
    </row>
    <row r="51" spans="2:6" ht="86.25" customHeight="1" x14ac:dyDescent="0.35">
      <c r="B51" s="273" t="s">
        <v>108</v>
      </c>
      <c r="C51" s="273"/>
      <c r="D51" s="273"/>
      <c r="E51" s="273"/>
    </row>
    <row r="52" spans="2:6" ht="7.5" customHeight="1" x14ac:dyDescent="0.35">
      <c r="B52" s="113"/>
      <c r="C52" s="113"/>
      <c r="D52" s="113"/>
      <c r="E52" s="113"/>
    </row>
    <row r="53" spans="2:6" ht="84.75" customHeight="1" x14ac:dyDescent="0.35">
      <c r="B53" s="273" t="s">
        <v>109</v>
      </c>
      <c r="C53" s="273"/>
      <c r="D53" s="273"/>
      <c r="E53" s="273"/>
    </row>
    <row r="54" spans="2:6" ht="9.75" customHeight="1" x14ac:dyDescent="0.35">
      <c r="B54" s="113"/>
      <c r="C54" s="113"/>
      <c r="D54" s="113"/>
      <c r="E54" s="113"/>
    </row>
    <row r="55" spans="2:6" ht="33.75" customHeight="1" x14ac:dyDescent="0.35">
      <c r="B55" s="273" t="s">
        <v>93</v>
      </c>
      <c r="C55" s="273"/>
      <c r="D55" s="273"/>
      <c r="E55" s="273"/>
    </row>
    <row r="56" spans="2:6" x14ac:dyDescent="0.35">
      <c r="B56" s="113"/>
      <c r="C56" s="113"/>
      <c r="D56" s="113"/>
      <c r="E56" s="113"/>
    </row>
    <row r="57" spans="2:6" x14ac:dyDescent="0.35">
      <c r="B57" s="279" t="s">
        <v>94</v>
      </c>
      <c r="C57" s="280"/>
      <c r="D57" s="280"/>
      <c r="E57" s="280"/>
    </row>
    <row r="58" spans="2:6" x14ac:dyDescent="0.35">
      <c r="B58" s="117"/>
      <c r="C58" s="118"/>
      <c r="D58" s="118"/>
      <c r="E58" s="118"/>
    </row>
    <row r="59" spans="2:6" x14ac:dyDescent="0.35">
      <c r="B59" s="282" t="s">
        <v>110</v>
      </c>
      <c r="C59" s="282"/>
      <c r="D59" s="126" t="s">
        <v>28</v>
      </c>
      <c r="E59" s="211">
        <v>814.23</v>
      </c>
      <c r="F59" s="244" t="s">
        <v>24</v>
      </c>
    </row>
    <row r="60" spans="2:6" x14ac:dyDescent="0.35">
      <c r="B60" s="282" t="s">
        <v>48</v>
      </c>
      <c r="C60" s="282"/>
      <c r="D60" s="126" t="s">
        <v>111</v>
      </c>
      <c r="E60" s="215">
        <v>4.2188999999999997</v>
      </c>
      <c r="F60" s="244" t="s">
        <v>24</v>
      </c>
    </row>
    <row r="61" spans="2:6" ht="41.25" hidden="1" customHeight="1" x14ac:dyDescent="0.35">
      <c r="B61" s="277" t="s">
        <v>303</v>
      </c>
      <c r="C61" s="277"/>
      <c r="D61" s="126" t="s">
        <v>111</v>
      </c>
      <c r="E61" s="208">
        <v>0</v>
      </c>
      <c r="F61" s="244" t="s">
        <v>25</v>
      </c>
    </row>
    <row r="62" spans="2:6" ht="46.5" customHeight="1" x14ac:dyDescent="0.35">
      <c r="B62" s="277" t="s">
        <v>322</v>
      </c>
      <c r="C62" s="277"/>
      <c r="D62" s="126" t="s">
        <v>111</v>
      </c>
      <c r="E62" s="215">
        <v>0</v>
      </c>
      <c r="F62" s="244" t="s">
        <v>25</v>
      </c>
    </row>
    <row r="63" spans="2:6" ht="37.5" customHeight="1" x14ac:dyDescent="0.35">
      <c r="B63" s="276" t="s">
        <v>319</v>
      </c>
      <c r="C63" s="277"/>
      <c r="D63" s="120" t="s">
        <v>99</v>
      </c>
      <c r="E63" s="215">
        <v>0</v>
      </c>
      <c r="F63" s="244" t="s">
        <v>25</v>
      </c>
    </row>
    <row r="64" spans="2:6" x14ac:dyDescent="0.35">
      <c r="B64" s="282" t="s">
        <v>100</v>
      </c>
      <c r="C64" s="282"/>
      <c r="D64" s="126" t="s">
        <v>111</v>
      </c>
      <c r="E64" s="255">
        <v>4.6211000000000002</v>
      </c>
      <c r="F64" s="244" t="s">
        <v>26</v>
      </c>
    </row>
    <row r="65" spans="2:6" x14ac:dyDescent="0.35">
      <c r="B65" s="282" t="s">
        <v>316</v>
      </c>
      <c r="C65" s="282"/>
      <c r="D65" s="126" t="s">
        <v>111</v>
      </c>
      <c r="E65" s="215">
        <f>E64*0.17</f>
        <v>0.78558700000000015</v>
      </c>
    </row>
    <row r="66" spans="2:6" x14ac:dyDescent="0.35">
      <c r="B66" s="282" t="s">
        <v>101</v>
      </c>
      <c r="C66" s="282"/>
      <c r="D66" s="126" t="s">
        <v>111</v>
      </c>
      <c r="E66" s="255">
        <v>3.3435000000000001</v>
      </c>
      <c r="F66" s="244" t="s">
        <v>26</v>
      </c>
    </row>
    <row r="67" spans="2:6" x14ac:dyDescent="0.35">
      <c r="B67" s="282" t="s">
        <v>317</v>
      </c>
      <c r="C67" s="282"/>
      <c r="D67" s="126" t="s">
        <v>111</v>
      </c>
      <c r="E67" s="215">
        <f>E66*0.17</f>
        <v>0.56839500000000009</v>
      </c>
    </row>
    <row r="68" spans="2:6" x14ac:dyDescent="0.35">
      <c r="B68" s="281" t="s">
        <v>102</v>
      </c>
      <c r="C68" s="282"/>
      <c r="D68" s="123"/>
      <c r="E68" s="150"/>
    </row>
    <row r="69" spans="2:6" x14ac:dyDescent="0.35">
      <c r="B69" s="122"/>
      <c r="C69" s="121"/>
      <c r="D69" s="123"/>
      <c r="E69" s="150"/>
    </row>
    <row r="70" spans="2:6" x14ac:dyDescent="0.35">
      <c r="B70" s="262" t="s">
        <v>103</v>
      </c>
      <c r="C70" s="262"/>
      <c r="D70" s="124" t="s">
        <v>99</v>
      </c>
      <c r="E70" s="216">
        <f>'Other Charges'!E15</f>
        <v>4.1000000000000003E-3</v>
      </c>
      <c r="F70" t="s">
        <v>310</v>
      </c>
    </row>
    <row r="71" spans="2:6" x14ac:dyDescent="0.35">
      <c r="B71" s="262" t="s">
        <v>104</v>
      </c>
      <c r="C71" s="262"/>
      <c r="D71" s="124" t="s">
        <v>99</v>
      </c>
      <c r="E71" s="216">
        <f>'Other Charges'!E16</f>
        <v>4.0000000000000002E-4</v>
      </c>
      <c r="F71" t="s">
        <v>310</v>
      </c>
    </row>
    <row r="72" spans="2:6" x14ac:dyDescent="0.35">
      <c r="B72" s="262" t="s">
        <v>105</v>
      </c>
      <c r="C72" s="262"/>
      <c r="D72" s="124" t="s">
        <v>99</v>
      </c>
      <c r="E72" s="216">
        <f>'Other Charges'!E17</f>
        <v>1.5E-3</v>
      </c>
      <c r="F72" t="s">
        <v>310</v>
      </c>
    </row>
    <row r="73" spans="2:6" x14ac:dyDescent="0.35">
      <c r="B73" s="262" t="s">
        <v>106</v>
      </c>
      <c r="C73" s="262"/>
      <c r="D73" s="124" t="s">
        <v>28</v>
      </c>
      <c r="E73" s="217">
        <f>'Other Charges'!E18</f>
        <v>0.25</v>
      </c>
      <c r="F73" t="s">
        <v>310</v>
      </c>
    </row>
    <row r="74" spans="2:6" ht="18" x14ac:dyDescent="0.35">
      <c r="B74" s="271" t="s">
        <v>18</v>
      </c>
      <c r="C74" s="271"/>
      <c r="D74" s="271"/>
      <c r="E74" s="284"/>
    </row>
    <row r="75" spans="2:6" ht="51" customHeight="1" x14ac:dyDescent="0.35">
      <c r="B75" s="273" t="s">
        <v>112</v>
      </c>
      <c r="C75" s="273"/>
      <c r="D75" s="273"/>
      <c r="E75" s="283"/>
    </row>
    <row r="76" spans="2:6" x14ac:dyDescent="0.35">
      <c r="B76" s="113"/>
      <c r="C76" s="113"/>
      <c r="D76" s="113"/>
      <c r="E76" s="125"/>
    </row>
    <row r="77" spans="2:6" x14ac:dyDescent="0.35">
      <c r="B77" s="274" t="s">
        <v>89</v>
      </c>
      <c r="C77" s="275"/>
      <c r="D77" s="275"/>
      <c r="E77" s="275"/>
    </row>
    <row r="78" spans="2:6" x14ac:dyDescent="0.35">
      <c r="B78" s="115"/>
      <c r="C78" s="116"/>
      <c r="D78" s="116"/>
      <c r="E78" s="116"/>
    </row>
    <row r="79" spans="2:6" ht="39" customHeight="1" x14ac:dyDescent="0.35">
      <c r="B79" s="273" t="s">
        <v>90</v>
      </c>
      <c r="C79" s="273"/>
      <c r="D79" s="273"/>
      <c r="E79" s="273"/>
    </row>
    <row r="80" spans="2:6" x14ac:dyDescent="0.35">
      <c r="B80" s="113"/>
      <c r="C80" s="113"/>
      <c r="D80" s="113"/>
      <c r="E80" s="113"/>
    </row>
    <row r="81" spans="2:7" ht="47.25" customHeight="1" x14ac:dyDescent="0.35">
      <c r="B81" s="273" t="s">
        <v>91</v>
      </c>
      <c r="C81" s="273"/>
      <c r="D81" s="273"/>
      <c r="E81" s="273"/>
    </row>
    <row r="82" spans="2:7" x14ac:dyDescent="0.35">
      <c r="B82" s="113"/>
      <c r="C82" s="113"/>
      <c r="D82" s="113"/>
      <c r="E82" s="113"/>
    </row>
    <row r="83" spans="2:7" ht="44.25" customHeight="1" x14ac:dyDescent="0.35">
      <c r="B83" s="273" t="s">
        <v>92</v>
      </c>
      <c r="C83" s="273"/>
      <c r="D83" s="273"/>
      <c r="E83" s="273"/>
    </row>
    <row r="84" spans="2:7" x14ac:dyDescent="0.35">
      <c r="B84" s="113"/>
      <c r="C84" s="113"/>
      <c r="D84" s="113"/>
      <c r="E84" s="113"/>
    </row>
    <row r="85" spans="2:7" ht="38.25" customHeight="1" x14ac:dyDescent="0.35">
      <c r="B85" s="273" t="s">
        <v>93</v>
      </c>
      <c r="C85" s="273"/>
      <c r="D85" s="273"/>
      <c r="E85" s="273"/>
    </row>
    <row r="86" spans="2:7" x14ac:dyDescent="0.35">
      <c r="B86" s="113"/>
      <c r="C86" s="113"/>
      <c r="D86" s="113"/>
      <c r="E86" s="113"/>
    </row>
    <row r="87" spans="2:7" x14ac:dyDescent="0.35">
      <c r="B87" s="279" t="s">
        <v>94</v>
      </c>
      <c r="C87" s="280"/>
      <c r="D87" s="280"/>
      <c r="E87" s="280"/>
    </row>
    <row r="88" spans="2:7" x14ac:dyDescent="0.35">
      <c r="B88" s="117"/>
      <c r="C88" s="118"/>
      <c r="D88" s="118"/>
      <c r="E88" s="118"/>
    </row>
    <row r="89" spans="2:7" x14ac:dyDescent="0.35">
      <c r="B89" s="262" t="s">
        <v>110</v>
      </c>
      <c r="C89" s="262"/>
      <c r="D89" s="124" t="s">
        <v>28</v>
      </c>
      <c r="E89" s="211">
        <v>105.13</v>
      </c>
      <c r="F89" s="244" t="s">
        <v>24</v>
      </c>
    </row>
    <row r="90" spans="2:7" x14ac:dyDescent="0.35">
      <c r="B90" s="262" t="s">
        <v>97</v>
      </c>
      <c r="C90" s="262"/>
      <c r="D90" s="120" t="s">
        <v>28</v>
      </c>
      <c r="E90" s="211">
        <v>0.42</v>
      </c>
      <c r="F90" s="244" t="s">
        <v>25</v>
      </c>
    </row>
    <row r="91" spans="2:7" x14ac:dyDescent="0.35">
      <c r="B91" s="262" t="s">
        <v>113</v>
      </c>
      <c r="C91" s="262"/>
      <c r="D91" s="124" t="s">
        <v>99</v>
      </c>
      <c r="E91" s="215">
        <v>2.5000000000000001E-2</v>
      </c>
      <c r="F91" s="244" t="s">
        <v>24</v>
      </c>
    </row>
    <row r="92" spans="2:7" x14ac:dyDescent="0.35">
      <c r="B92" s="119" t="s">
        <v>315</v>
      </c>
      <c r="C92" s="119"/>
      <c r="D92" s="124" t="s">
        <v>28</v>
      </c>
      <c r="E92" s="215">
        <v>-1.05</v>
      </c>
      <c r="F92" s="244" t="s">
        <v>24</v>
      </c>
    </row>
    <row r="93" spans="2:7" ht="32.25" hidden="1" customHeight="1" x14ac:dyDescent="0.35">
      <c r="B93" s="276" t="s">
        <v>303</v>
      </c>
      <c r="C93" s="277"/>
      <c r="D93" s="124" t="s">
        <v>99</v>
      </c>
      <c r="E93" s="208">
        <v>0</v>
      </c>
      <c r="F93" s="244" t="s">
        <v>25</v>
      </c>
    </row>
    <row r="94" spans="2:7" ht="32.25" hidden="1" customHeight="1" x14ac:dyDescent="0.35">
      <c r="B94" s="276" t="s">
        <v>321</v>
      </c>
      <c r="C94" s="277"/>
      <c r="D94" s="124" t="s">
        <v>99</v>
      </c>
      <c r="E94" s="208">
        <v>0</v>
      </c>
      <c r="F94" s="244" t="s">
        <v>25</v>
      </c>
    </row>
    <row r="95" spans="2:7" ht="27.75" customHeight="1" x14ac:dyDescent="0.35">
      <c r="B95" s="276" t="s">
        <v>320</v>
      </c>
      <c r="C95" s="277"/>
      <c r="D95" s="120" t="s">
        <v>99</v>
      </c>
      <c r="E95" s="215">
        <v>0</v>
      </c>
      <c r="F95" t="s">
        <v>25</v>
      </c>
      <c r="G95" t="s">
        <v>313</v>
      </c>
    </row>
    <row r="96" spans="2:7" x14ac:dyDescent="0.35">
      <c r="B96" s="262" t="s">
        <v>100</v>
      </c>
      <c r="C96" s="262"/>
      <c r="D96" s="124" t="s">
        <v>99</v>
      </c>
      <c r="E96" s="255">
        <v>1.21E-2</v>
      </c>
      <c r="F96" s="244" t="s">
        <v>26</v>
      </c>
    </row>
    <row r="97" spans="2:6" x14ac:dyDescent="0.35">
      <c r="B97" s="262" t="s">
        <v>101</v>
      </c>
      <c r="C97" s="262"/>
      <c r="D97" s="124" t="s">
        <v>99</v>
      </c>
      <c r="E97" s="255">
        <v>8.8000000000000005E-3</v>
      </c>
      <c r="F97" s="244" t="s">
        <v>26</v>
      </c>
    </row>
    <row r="98" spans="2:6" x14ac:dyDescent="0.35">
      <c r="B98" s="119"/>
      <c r="C98" s="119"/>
      <c r="D98" s="124"/>
      <c r="E98" s="149"/>
    </row>
    <row r="99" spans="2:6" x14ac:dyDescent="0.35">
      <c r="B99" s="281" t="s">
        <v>102</v>
      </c>
      <c r="C99" s="282"/>
      <c r="D99" s="123"/>
      <c r="E99" s="150"/>
    </row>
    <row r="100" spans="2:6" x14ac:dyDescent="0.35">
      <c r="B100" s="122"/>
      <c r="C100" s="121"/>
      <c r="D100" s="123"/>
      <c r="E100" s="150"/>
    </row>
    <row r="101" spans="2:6" x14ac:dyDescent="0.35">
      <c r="B101" s="262" t="s">
        <v>103</v>
      </c>
      <c r="C101" s="262"/>
      <c r="D101" s="124" t="s">
        <v>99</v>
      </c>
      <c r="E101" s="216">
        <f>'Other Charges'!E15</f>
        <v>4.1000000000000003E-3</v>
      </c>
      <c r="F101" s="244" t="s">
        <v>310</v>
      </c>
    </row>
    <row r="102" spans="2:6" x14ac:dyDescent="0.35">
      <c r="B102" s="262" t="s">
        <v>104</v>
      </c>
      <c r="C102" s="262"/>
      <c r="D102" s="124" t="s">
        <v>99</v>
      </c>
      <c r="E102" s="216">
        <f>'Other Charges'!E16</f>
        <v>4.0000000000000002E-4</v>
      </c>
      <c r="F102" s="244" t="s">
        <v>310</v>
      </c>
    </row>
    <row r="103" spans="2:6" x14ac:dyDescent="0.35">
      <c r="B103" s="262" t="s">
        <v>105</v>
      </c>
      <c r="C103" s="262"/>
      <c r="D103" s="124" t="s">
        <v>99</v>
      </c>
      <c r="E103" s="216">
        <f>'Other Charges'!E17</f>
        <v>1.5E-3</v>
      </c>
      <c r="F103" s="244" t="s">
        <v>310</v>
      </c>
    </row>
    <row r="104" spans="2:6" x14ac:dyDescent="0.35">
      <c r="B104" s="262" t="s">
        <v>106</v>
      </c>
      <c r="C104" s="262"/>
      <c r="D104" s="124" t="s">
        <v>28</v>
      </c>
      <c r="E104" s="217">
        <f>'Other Charges'!E18</f>
        <v>0.25</v>
      </c>
      <c r="F104" s="244" t="s">
        <v>310</v>
      </c>
    </row>
    <row r="105" spans="2:6" ht="18" x14ac:dyDescent="0.35">
      <c r="B105" s="271" t="s">
        <v>19</v>
      </c>
      <c r="C105" s="271"/>
      <c r="D105" s="271"/>
      <c r="E105" s="284"/>
    </row>
    <row r="106" spans="2:6" ht="51.75" customHeight="1" x14ac:dyDescent="0.35">
      <c r="B106" s="273" t="s">
        <v>114</v>
      </c>
      <c r="C106" s="273"/>
      <c r="D106" s="273"/>
      <c r="E106" s="283"/>
    </row>
    <row r="107" spans="2:6" x14ac:dyDescent="0.35">
      <c r="B107" s="113"/>
      <c r="C107" s="113"/>
      <c r="D107" s="113"/>
      <c r="E107" s="125"/>
    </row>
    <row r="108" spans="2:6" x14ac:dyDescent="0.35">
      <c r="B108" s="274" t="s">
        <v>89</v>
      </c>
      <c r="C108" s="275"/>
      <c r="D108" s="275"/>
      <c r="E108" s="275"/>
    </row>
    <row r="109" spans="2:6" x14ac:dyDescent="0.35">
      <c r="B109" s="115"/>
      <c r="C109" s="116"/>
      <c r="D109" s="116"/>
      <c r="E109" s="116"/>
    </row>
    <row r="110" spans="2:6" ht="33.75" customHeight="1" x14ac:dyDescent="0.35">
      <c r="B110" s="273" t="s">
        <v>90</v>
      </c>
      <c r="C110" s="273"/>
      <c r="D110" s="273"/>
      <c r="E110" s="273"/>
    </row>
    <row r="111" spans="2:6" x14ac:dyDescent="0.35">
      <c r="B111" s="113"/>
      <c r="C111" s="113"/>
      <c r="D111" s="113"/>
      <c r="E111" s="113"/>
    </row>
    <row r="112" spans="2:6" ht="50.25" customHeight="1" x14ac:dyDescent="0.35">
      <c r="B112" s="273" t="s">
        <v>91</v>
      </c>
      <c r="C112" s="273"/>
      <c r="D112" s="273"/>
      <c r="E112" s="273"/>
    </row>
    <row r="113" spans="2:6" x14ac:dyDescent="0.35">
      <c r="B113" s="113"/>
      <c r="C113" s="113"/>
      <c r="D113" s="113"/>
      <c r="E113" s="113"/>
    </row>
    <row r="114" spans="2:6" ht="49.5" customHeight="1" x14ac:dyDescent="0.35">
      <c r="B114" s="273" t="s">
        <v>92</v>
      </c>
      <c r="C114" s="273"/>
      <c r="D114" s="273"/>
      <c r="E114" s="273"/>
    </row>
    <row r="115" spans="2:6" x14ac:dyDescent="0.35">
      <c r="B115" s="113"/>
      <c r="C115" s="113"/>
      <c r="D115" s="113"/>
      <c r="E115" s="113"/>
    </row>
    <row r="116" spans="2:6" ht="38.25" customHeight="1" x14ac:dyDescent="0.35">
      <c r="B116" s="273" t="s">
        <v>93</v>
      </c>
      <c r="C116" s="273"/>
      <c r="D116" s="273"/>
      <c r="E116" s="273"/>
    </row>
    <row r="117" spans="2:6" x14ac:dyDescent="0.35">
      <c r="B117" s="113"/>
      <c r="C117" s="113"/>
      <c r="D117" s="113"/>
      <c r="E117" s="113"/>
    </row>
    <row r="118" spans="2:6" x14ac:dyDescent="0.35">
      <c r="B118" s="279" t="s">
        <v>94</v>
      </c>
      <c r="C118" s="280"/>
      <c r="D118" s="280"/>
      <c r="E118" s="280"/>
    </row>
    <row r="119" spans="2:6" x14ac:dyDescent="0.35">
      <c r="B119" s="117"/>
      <c r="C119" s="118"/>
      <c r="D119" s="118"/>
      <c r="E119" s="118"/>
    </row>
    <row r="120" spans="2:6" x14ac:dyDescent="0.35">
      <c r="B120" s="262" t="s">
        <v>243</v>
      </c>
      <c r="C120" s="262"/>
      <c r="D120" s="120" t="s">
        <v>28</v>
      </c>
      <c r="E120" s="211">
        <v>2.29</v>
      </c>
      <c r="F120" s="244" t="s">
        <v>24</v>
      </c>
    </row>
    <row r="121" spans="2:6" x14ac:dyDescent="0.35">
      <c r="B121" s="262" t="s">
        <v>48</v>
      </c>
      <c r="C121" s="262"/>
      <c r="D121" s="120" t="s">
        <v>99</v>
      </c>
      <c r="E121" s="215">
        <v>0.3695</v>
      </c>
      <c r="F121" s="244" t="s">
        <v>24</v>
      </c>
    </row>
    <row r="122" spans="2:6" x14ac:dyDescent="0.35">
      <c r="B122" s="119" t="s">
        <v>315</v>
      </c>
      <c r="C122" s="119"/>
      <c r="D122" s="120" t="s">
        <v>99</v>
      </c>
      <c r="E122" s="215">
        <v>-4.4999999999999997E-3</v>
      </c>
      <c r="F122" s="244" t="s">
        <v>24</v>
      </c>
    </row>
    <row r="123" spans="2:6" ht="38.25" hidden="1" customHeight="1" x14ac:dyDescent="0.35">
      <c r="B123" s="276" t="s">
        <v>303</v>
      </c>
      <c r="C123" s="277"/>
      <c r="D123" s="120" t="s">
        <v>99</v>
      </c>
      <c r="E123" s="208">
        <v>0</v>
      </c>
      <c r="F123" s="244" t="s">
        <v>25</v>
      </c>
    </row>
    <row r="124" spans="2:6" ht="38.25" customHeight="1" x14ac:dyDescent="0.35">
      <c r="B124" s="276" t="s">
        <v>321</v>
      </c>
      <c r="C124" s="277"/>
      <c r="D124" s="120" t="s">
        <v>99</v>
      </c>
      <c r="E124" s="215">
        <v>0</v>
      </c>
      <c r="F124" s="244" t="s">
        <v>25</v>
      </c>
    </row>
    <row r="125" spans="2:6" ht="28.5" customHeight="1" x14ac:dyDescent="0.35">
      <c r="B125" s="276" t="s">
        <v>319</v>
      </c>
      <c r="C125" s="277"/>
      <c r="D125" s="120" t="s">
        <v>99</v>
      </c>
      <c r="E125" s="215">
        <v>0</v>
      </c>
      <c r="F125" s="244" t="s">
        <v>25</v>
      </c>
    </row>
    <row r="126" spans="2:6" x14ac:dyDescent="0.35">
      <c r="B126" s="262" t="s">
        <v>100</v>
      </c>
      <c r="C126" s="282"/>
      <c r="D126" s="120" t="s">
        <v>111</v>
      </c>
      <c r="E126" s="255">
        <v>3.3462000000000001</v>
      </c>
      <c r="F126" s="244" t="s">
        <v>26</v>
      </c>
    </row>
    <row r="127" spans="2:6" x14ac:dyDescent="0.35">
      <c r="B127" s="262" t="s">
        <v>101</v>
      </c>
      <c r="C127" s="282"/>
      <c r="D127" s="120" t="s">
        <v>111</v>
      </c>
      <c r="E127" s="255">
        <v>2.4119000000000002</v>
      </c>
      <c r="F127" s="244" t="s">
        <v>26</v>
      </c>
    </row>
    <row r="128" spans="2:6" x14ac:dyDescent="0.35">
      <c r="B128" s="119"/>
      <c r="C128" s="121"/>
      <c r="D128" s="120"/>
      <c r="E128" s="149"/>
    </row>
    <row r="129" spans="2:6" x14ac:dyDescent="0.35">
      <c r="B129" s="281" t="s">
        <v>102</v>
      </c>
      <c r="C129" s="282"/>
      <c r="D129" s="123"/>
      <c r="E129" s="150"/>
    </row>
    <row r="130" spans="2:6" x14ac:dyDescent="0.35">
      <c r="B130" s="122"/>
      <c r="C130" s="121"/>
      <c r="D130" s="123"/>
      <c r="E130" s="150"/>
    </row>
    <row r="131" spans="2:6" x14ac:dyDescent="0.35">
      <c r="B131" s="262" t="s">
        <v>103</v>
      </c>
      <c r="C131" s="262"/>
      <c r="D131" s="124" t="s">
        <v>99</v>
      </c>
      <c r="E131" s="216">
        <f>'Other Charges'!E15</f>
        <v>4.1000000000000003E-3</v>
      </c>
      <c r="F131" s="244" t="s">
        <v>310</v>
      </c>
    </row>
    <row r="132" spans="2:6" x14ac:dyDescent="0.35">
      <c r="B132" s="262" t="s">
        <v>104</v>
      </c>
      <c r="C132" s="262"/>
      <c r="D132" s="124" t="s">
        <v>99</v>
      </c>
      <c r="E132" s="216">
        <f>'Other Charges'!E16</f>
        <v>4.0000000000000002E-4</v>
      </c>
      <c r="F132" s="244" t="s">
        <v>310</v>
      </c>
    </row>
    <row r="133" spans="2:6" x14ac:dyDescent="0.35">
      <c r="B133" s="262" t="s">
        <v>105</v>
      </c>
      <c r="C133" s="282"/>
      <c r="D133" s="124" t="s">
        <v>99</v>
      </c>
      <c r="E133" s="216">
        <f>'Other Charges'!E17</f>
        <v>1.5E-3</v>
      </c>
      <c r="F133" s="244" t="s">
        <v>310</v>
      </c>
    </row>
    <row r="134" spans="2:6" x14ac:dyDescent="0.35">
      <c r="B134" s="262" t="s">
        <v>106</v>
      </c>
      <c r="C134" s="262"/>
      <c r="D134" s="124" t="s">
        <v>28</v>
      </c>
      <c r="E134" s="217">
        <f>'Other Charges'!E18</f>
        <v>0.25</v>
      </c>
      <c r="F134" s="244" t="s">
        <v>310</v>
      </c>
    </row>
    <row r="135" spans="2:6" ht="18" x14ac:dyDescent="0.35">
      <c r="B135" s="271" t="s">
        <v>115</v>
      </c>
      <c r="C135" s="271"/>
      <c r="D135" s="271"/>
      <c r="E135" s="284"/>
    </row>
    <row r="136" spans="2:6" ht="38.25" customHeight="1" x14ac:dyDescent="0.35">
      <c r="B136" s="273" t="s">
        <v>116</v>
      </c>
      <c r="C136" s="273"/>
      <c r="D136" s="273"/>
      <c r="E136" s="283"/>
    </row>
    <row r="137" spans="2:6" x14ac:dyDescent="0.35">
      <c r="B137" s="113"/>
      <c r="C137" s="113"/>
      <c r="D137" s="113"/>
      <c r="E137" s="125"/>
    </row>
    <row r="138" spans="2:6" x14ac:dyDescent="0.35">
      <c r="B138" s="274" t="s">
        <v>89</v>
      </c>
      <c r="C138" s="275"/>
      <c r="D138" s="275"/>
      <c r="E138" s="275"/>
    </row>
    <row r="139" spans="2:6" x14ac:dyDescent="0.35">
      <c r="B139" s="115"/>
      <c r="C139" s="116"/>
      <c r="D139" s="116"/>
      <c r="E139" s="116"/>
    </row>
    <row r="140" spans="2:6" ht="36" customHeight="1" x14ac:dyDescent="0.35">
      <c r="B140" s="273" t="s">
        <v>90</v>
      </c>
      <c r="C140" s="273"/>
      <c r="D140" s="273"/>
      <c r="E140" s="273"/>
    </row>
    <row r="141" spans="2:6" x14ac:dyDescent="0.35">
      <c r="B141" s="113"/>
      <c r="C141" s="113"/>
      <c r="D141" s="113"/>
      <c r="E141" s="113"/>
    </row>
    <row r="142" spans="2:6" ht="48" customHeight="1" x14ac:dyDescent="0.35">
      <c r="B142" s="273" t="s">
        <v>91</v>
      </c>
      <c r="C142" s="273"/>
      <c r="D142" s="273"/>
      <c r="E142" s="273"/>
    </row>
    <row r="143" spans="2:6" x14ac:dyDescent="0.35">
      <c r="B143" s="113"/>
      <c r="C143" s="113"/>
      <c r="D143" s="113"/>
      <c r="E143" s="113"/>
    </row>
    <row r="144" spans="2:6" ht="27" customHeight="1" x14ac:dyDescent="0.35">
      <c r="B144" s="273" t="s">
        <v>117</v>
      </c>
      <c r="C144" s="273"/>
      <c r="D144" s="273"/>
      <c r="E144" s="273"/>
    </row>
    <row r="145" spans="2:5" x14ac:dyDescent="0.35">
      <c r="B145" s="113"/>
      <c r="C145" s="113"/>
      <c r="D145" s="113"/>
      <c r="E145" s="113"/>
    </row>
    <row r="146" spans="2:5" ht="38.25" customHeight="1" x14ac:dyDescent="0.35">
      <c r="B146" s="273" t="s">
        <v>93</v>
      </c>
      <c r="C146" s="273"/>
      <c r="D146" s="273"/>
      <c r="E146" s="273"/>
    </row>
    <row r="147" spans="2:5" x14ac:dyDescent="0.35">
      <c r="B147" s="113"/>
      <c r="C147" s="113"/>
      <c r="D147" s="113"/>
      <c r="E147" s="113"/>
    </row>
    <row r="148" spans="2:5" x14ac:dyDescent="0.35">
      <c r="B148" s="279" t="s">
        <v>94</v>
      </c>
      <c r="C148" s="280"/>
      <c r="D148" s="280"/>
      <c r="E148" s="280"/>
    </row>
    <row r="149" spans="2:5" x14ac:dyDescent="0.35">
      <c r="B149" s="117"/>
      <c r="C149" s="118"/>
      <c r="D149" s="118"/>
      <c r="E149" s="118"/>
    </row>
    <row r="150" spans="2:5" x14ac:dyDescent="0.35">
      <c r="B150" s="262" t="s">
        <v>110</v>
      </c>
      <c r="C150" s="262"/>
      <c r="D150" s="120" t="s">
        <v>28</v>
      </c>
      <c r="E150" s="207">
        <v>5</v>
      </c>
    </row>
    <row r="151" spans="2:5" x14ac:dyDescent="0.35">
      <c r="B151" s="127"/>
      <c r="C151" s="119"/>
      <c r="D151" s="120"/>
      <c r="E151" s="148"/>
    </row>
    <row r="152" spans="2:5" ht="18.5" x14ac:dyDescent="0.4">
      <c r="B152" s="154" t="s">
        <v>118</v>
      </c>
      <c r="C152" s="128"/>
      <c r="D152" s="128"/>
      <c r="E152" s="155"/>
    </row>
    <row r="153" spans="2:5" x14ac:dyDescent="0.35">
      <c r="B153" s="262" t="s">
        <v>119</v>
      </c>
      <c r="C153" s="262"/>
      <c r="D153" s="120" t="s">
        <v>111</v>
      </c>
      <c r="E153" s="215">
        <v>-0.6</v>
      </c>
    </row>
    <row r="154" spans="2:5" x14ac:dyDescent="0.35">
      <c r="B154" s="262" t="s">
        <v>120</v>
      </c>
      <c r="C154" s="262"/>
      <c r="D154" s="120" t="s">
        <v>29</v>
      </c>
      <c r="E154" s="211">
        <v>-1</v>
      </c>
    </row>
    <row r="155" spans="2:5" ht="18" x14ac:dyDescent="0.4">
      <c r="B155" s="156" t="s">
        <v>121</v>
      </c>
      <c r="C155" s="129"/>
      <c r="D155" s="129"/>
      <c r="E155" s="157"/>
    </row>
    <row r="156" spans="2:5" ht="38.25" customHeight="1" x14ac:dyDescent="0.35">
      <c r="B156" s="263" t="s">
        <v>90</v>
      </c>
      <c r="C156" s="263"/>
      <c r="D156" s="263"/>
      <c r="E156" s="264"/>
    </row>
    <row r="157" spans="2:5" x14ac:dyDescent="0.35">
      <c r="B157" s="114"/>
      <c r="C157" s="114"/>
      <c r="D157" s="114"/>
      <c r="E157" s="130"/>
    </row>
    <row r="158" spans="2:5" ht="49.5" customHeight="1" x14ac:dyDescent="0.35">
      <c r="B158" s="263" t="s">
        <v>122</v>
      </c>
      <c r="C158" s="263"/>
      <c r="D158" s="263"/>
      <c r="E158" s="264"/>
    </row>
    <row r="159" spans="2:5" x14ac:dyDescent="0.35">
      <c r="B159" s="114"/>
      <c r="C159" s="114"/>
      <c r="D159" s="114"/>
      <c r="E159" s="130"/>
    </row>
    <row r="160" spans="2:5" ht="37.5" customHeight="1" x14ac:dyDescent="0.35">
      <c r="B160" s="263" t="s">
        <v>123</v>
      </c>
      <c r="C160" s="263"/>
      <c r="D160" s="263"/>
      <c r="E160" s="264"/>
    </row>
    <row r="161" spans="2:5" x14ac:dyDescent="0.35">
      <c r="B161" s="114"/>
      <c r="C161" s="114"/>
      <c r="D161" s="114"/>
      <c r="E161" s="130"/>
    </row>
    <row r="162" spans="2:5" x14ac:dyDescent="0.35">
      <c r="B162" s="158" t="s">
        <v>124</v>
      </c>
      <c r="C162" s="131"/>
      <c r="D162" s="131"/>
      <c r="E162" s="159"/>
    </row>
    <row r="163" spans="2:5" x14ac:dyDescent="0.35">
      <c r="B163" s="265" t="s">
        <v>125</v>
      </c>
      <c r="C163" s="265"/>
      <c r="D163" s="120" t="s">
        <v>28</v>
      </c>
      <c r="E163" s="211">
        <v>15</v>
      </c>
    </row>
    <row r="164" spans="2:5" x14ac:dyDescent="0.35">
      <c r="B164" s="265" t="s">
        <v>126</v>
      </c>
      <c r="C164" s="265"/>
      <c r="D164" s="120" t="s">
        <v>28</v>
      </c>
      <c r="E164" s="211">
        <v>15</v>
      </c>
    </row>
    <row r="165" spans="2:5" x14ac:dyDescent="0.35">
      <c r="B165" s="265" t="s">
        <v>127</v>
      </c>
      <c r="C165" s="265"/>
      <c r="D165" s="120" t="s">
        <v>28</v>
      </c>
      <c r="E165" s="211">
        <v>15</v>
      </c>
    </row>
    <row r="166" spans="2:5" x14ac:dyDescent="0.35">
      <c r="B166" s="265" t="s">
        <v>128</v>
      </c>
      <c r="C166" s="265"/>
      <c r="D166" s="120" t="s">
        <v>28</v>
      </c>
      <c r="E166" s="211">
        <v>15</v>
      </c>
    </row>
    <row r="167" spans="2:5" x14ac:dyDescent="0.35">
      <c r="B167" s="265" t="s">
        <v>129</v>
      </c>
      <c r="C167" s="265"/>
      <c r="D167" s="120" t="s">
        <v>28</v>
      </c>
      <c r="E167" s="211">
        <v>15</v>
      </c>
    </row>
    <row r="168" spans="2:5" x14ac:dyDescent="0.35">
      <c r="B168" s="265" t="s">
        <v>130</v>
      </c>
      <c r="C168" s="265"/>
      <c r="D168" s="120" t="s">
        <v>28</v>
      </c>
      <c r="E168" s="211">
        <v>15</v>
      </c>
    </row>
    <row r="169" spans="2:5" x14ac:dyDescent="0.35">
      <c r="B169" s="265" t="s">
        <v>131</v>
      </c>
      <c r="C169" s="265"/>
      <c r="D169" s="120" t="s">
        <v>28</v>
      </c>
      <c r="E169" s="211">
        <v>15</v>
      </c>
    </row>
    <row r="170" spans="2:5" x14ac:dyDescent="0.35">
      <c r="B170" s="265" t="s">
        <v>132</v>
      </c>
      <c r="C170" s="265"/>
      <c r="D170" s="120" t="s">
        <v>28</v>
      </c>
      <c r="E170" s="211">
        <v>15</v>
      </c>
    </row>
    <row r="171" spans="2:5" x14ac:dyDescent="0.35">
      <c r="B171" s="265" t="s">
        <v>133</v>
      </c>
      <c r="C171" s="265"/>
      <c r="D171" s="120" t="s">
        <v>28</v>
      </c>
      <c r="E171" s="211">
        <v>15</v>
      </c>
    </row>
    <row r="172" spans="2:5" x14ac:dyDescent="0.35">
      <c r="B172" s="265" t="s">
        <v>134</v>
      </c>
      <c r="C172" s="265"/>
      <c r="D172" s="120" t="s">
        <v>28</v>
      </c>
      <c r="E172" s="211">
        <v>15</v>
      </c>
    </row>
    <row r="173" spans="2:5" x14ac:dyDescent="0.35">
      <c r="B173" s="265" t="s">
        <v>135</v>
      </c>
      <c r="C173" s="265"/>
      <c r="D173" s="120" t="s">
        <v>28</v>
      </c>
      <c r="E173" s="211">
        <v>30</v>
      </c>
    </row>
    <row r="174" spans="2:5" x14ac:dyDescent="0.35">
      <c r="B174" s="265" t="s">
        <v>136</v>
      </c>
      <c r="C174" s="265"/>
      <c r="D174" s="120" t="s">
        <v>28</v>
      </c>
      <c r="E174" s="211">
        <v>15</v>
      </c>
    </row>
    <row r="175" spans="2:5" x14ac:dyDescent="0.35">
      <c r="B175" s="265" t="s">
        <v>137</v>
      </c>
      <c r="C175" s="265"/>
      <c r="D175" s="120" t="s">
        <v>28</v>
      </c>
      <c r="E175" s="211">
        <v>15</v>
      </c>
    </row>
    <row r="176" spans="2:5" x14ac:dyDescent="0.35">
      <c r="B176" s="265" t="s">
        <v>138</v>
      </c>
      <c r="C176" s="265"/>
      <c r="D176" s="120" t="s">
        <v>28</v>
      </c>
      <c r="E176" s="211">
        <v>15</v>
      </c>
    </row>
    <row r="177" spans="2:5" x14ac:dyDescent="0.35">
      <c r="B177" s="265" t="s">
        <v>139</v>
      </c>
      <c r="C177" s="266"/>
      <c r="D177" s="120" t="s">
        <v>28</v>
      </c>
      <c r="E177" s="211">
        <v>30</v>
      </c>
    </row>
    <row r="178" spans="2:5" x14ac:dyDescent="0.35">
      <c r="B178" s="265" t="s">
        <v>140</v>
      </c>
      <c r="C178" s="265"/>
      <c r="D178" s="120" t="s">
        <v>28</v>
      </c>
      <c r="E178" s="211">
        <v>30</v>
      </c>
    </row>
    <row r="179" spans="2:5" x14ac:dyDescent="0.35">
      <c r="B179" s="132"/>
      <c r="C179" s="132"/>
      <c r="D179" s="120"/>
      <c r="E179" s="211"/>
    </row>
    <row r="180" spans="2:5" ht="22.5" customHeight="1" x14ac:dyDescent="0.35">
      <c r="B180" s="158" t="s">
        <v>141</v>
      </c>
      <c r="C180" s="131"/>
      <c r="D180" s="131"/>
      <c r="E180" s="212"/>
    </row>
    <row r="181" spans="2:5" ht="21.75" customHeight="1" x14ac:dyDescent="0.35">
      <c r="B181" s="265" t="s">
        <v>265</v>
      </c>
      <c r="C181" s="265"/>
      <c r="D181" s="120" t="s">
        <v>29</v>
      </c>
      <c r="E181" s="211">
        <v>1.5</v>
      </c>
    </row>
    <row r="182" spans="2:5" x14ac:dyDescent="0.35">
      <c r="B182" s="265" t="s">
        <v>142</v>
      </c>
      <c r="C182" s="265"/>
      <c r="D182" s="120" t="s">
        <v>28</v>
      </c>
      <c r="E182" s="211">
        <v>65</v>
      </c>
    </row>
    <row r="183" spans="2:5" x14ac:dyDescent="0.35">
      <c r="B183" s="265" t="s">
        <v>143</v>
      </c>
      <c r="C183" s="265"/>
      <c r="D183" s="120" t="s">
        <v>28</v>
      </c>
      <c r="E183" s="211">
        <v>185</v>
      </c>
    </row>
    <row r="184" spans="2:5" x14ac:dyDescent="0.35">
      <c r="B184" s="265" t="s">
        <v>144</v>
      </c>
      <c r="C184" s="265"/>
      <c r="D184" s="120" t="s">
        <v>28</v>
      </c>
      <c r="E184" s="211">
        <v>185</v>
      </c>
    </row>
    <row r="185" spans="2:5" x14ac:dyDescent="0.35">
      <c r="B185" s="265" t="s">
        <v>145</v>
      </c>
      <c r="C185" s="265"/>
      <c r="D185" s="120" t="s">
        <v>28</v>
      </c>
      <c r="E185" s="211">
        <v>415</v>
      </c>
    </row>
    <row r="186" spans="2:5" x14ac:dyDescent="0.35">
      <c r="B186" s="132"/>
      <c r="C186" s="132"/>
      <c r="D186" s="120"/>
      <c r="E186" s="211"/>
    </row>
    <row r="187" spans="2:5" x14ac:dyDescent="0.35">
      <c r="B187" s="158" t="s">
        <v>146</v>
      </c>
      <c r="C187" s="133"/>
      <c r="D187" s="134"/>
      <c r="E187" s="213"/>
    </row>
    <row r="188" spans="2:5" x14ac:dyDescent="0.35">
      <c r="B188" s="265" t="s">
        <v>147</v>
      </c>
      <c r="C188" s="265"/>
      <c r="D188" s="120"/>
      <c r="E188" s="214">
        <f>'Other Charges'!F42</f>
        <v>40.590000000000003</v>
      </c>
    </row>
    <row r="189" spans="2:5" x14ac:dyDescent="0.35">
      <c r="B189" s="265" t="s">
        <v>266</v>
      </c>
      <c r="C189" s="266"/>
      <c r="D189" s="120"/>
      <c r="E189" s="214"/>
    </row>
    <row r="190" spans="2:5" x14ac:dyDescent="0.35">
      <c r="B190" s="265" t="s">
        <v>148</v>
      </c>
      <c r="C190" s="265"/>
      <c r="D190" s="120" t="s">
        <v>28</v>
      </c>
      <c r="E190" s="211">
        <v>30</v>
      </c>
    </row>
    <row r="191" spans="2:5" x14ac:dyDescent="0.35">
      <c r="B191" s="265" t="s">
        <v>149</v>
      </c>
      <c r="C191" s="265"/>
      <c r="D191" s="120" t="s">
        <v>28</v>
      </c>
      <c r="E191" s="211">
        <v>165</v>
      </c>
    </row>
    <row r="192" spans="2:5" x14ac:dyDescent="0.35">
      <c r="B192" s="265" t="s">
        <v>150</v>
      </c>
      <c r="C192" s="265"/>
      <c r="D192" s="120" t="s">
        <v>28</v>
      </c>
      <c r="E192" s="211">
        <v>500</v>
      </c>
    </row>
    <row r="193" spans="2:5" x14ac:dyDescent="0.35">
      <c r="B193" s="265" t="s">
        <v>151</v>
      </c>
      <c r="C193" s="265"/>
      <c r="D193" s="120" t="s">
        <v>28</v>
      </c>
      <c r="E193" s="211">
        <v>300</v>
      </c>
    </row>
    <row r="194" spans="2:5" x14ac:dyDescent="0.35">
      <c r="B194" s="265" t="s">
        <v>152</v>
      </c>
      <c r="C194" s="265"/>
      <c r="D194" s="120" t="s">
        <v>28</v>
      </c>
      <c r="E194" s="211">
        <v>1000</v>
      </c>
    </row>
    <row r="195" spans="2:5" ht="18" x14ac:dyDescent="0.4">
      <c r="B195" s="162" t="s">
        <v>153</v>
      </c>
      <c r="C195" s="135"/>
      <c r="D195" s="135"/>
      <c r="E195" s="163"/>
    </row>
    <row r="196" spans="2:5" ht="18" x14ac:dyDescent="0.4">
      <c r="B196" s="162"/>
      <c r="C196" s="135"/>
      <c r="D196" s="135"/>
      <c r="E196" s="163"/>
    </row>
    <row r="197" spans="2:5" ht="34.5" customHeight="1" x14ac:dyDescent="0.35">
      <c r="B197" s="263" t="s">
        <v>90</v>
      </c>
      <c r="C197" s="263"/>
      <c r="D197" s="263"/>
      <c r="E197" s="264"/>
    </row>
    <row r="198" spans="2:5" x14ac:dyDescent="0.35">
      <c r="B198" s="114"/>
      <c r="C198" s="114"/>
      <c r="D198" s="114"/>
      <c r="E198" s="130"/>
    </row>
    <row r="199" spans="2:5" ht="49.5" customHeight="1" x14ac:dyDescent="0.35">
      <c r="B199" s="263" t="s">
        <v>154</v>
      </c>
      <c r="C199" s="263"/>
      <c r="D199" s="263"/>
      <c r="E199" s="264"/>
    </row>
    <row r="200" spans="2:5" x14ac:dyDescent="0.35">
      <c r="B200" s="114"/>
      <c r="C200" s="114"/>
      <c r="D200" s="114"/>
      <c r="E200" s="130"/>
    </row>
    <row r="201" spans="2:5" ht="27.75" customHeight="1" x14ac:dyDescent="0.35">
      <c r="B201" s="263" t="s">
        <v>117</v>
      </c>
      <c r="C201" s="263"/>
      <c r="D201" s="263"/>
      <c r="E201" s="264"/>
    </row>
    <row r="202" spans="2:5" x14ac:dyDescent="0.35">
      <c r="B202" s="114"/>
      <c r="C202" s="114"/>
      <c r="D202" s="114"/>
      <c r="E202" s="130"/>
    </row>
    <row r="203" spans="2:5" ht="37.5" customHeight="1" x14ac:dyDescent="0.35">
      <c r="B203" s="263" t="s">
        <v>155</v>
      </c>
      <c r="C203" s="263"/>
      <c r="D203" s="263"/>
      <c r="E203" s="264"/>
    </row>
    <row r="204" spans="2:5" x14ac:dyDescent="0.35">
      <c r="B204" s="114"/>
      <c r="C204" s="114"/>
      <c r="D204" s="114"/>
      <c r="E204" s="130"/>
    </row>
    <row r="205" spans="2:5" ht="24" customHeight="1" x14ac:dyDescent="0.35">
      <c r="B205" s="263" t="s">
        <v>156</v>
      </c>
      <c r="C205" s="263"/>
      <c r="D205" s="263"/>
      <c r="E205" s="264"/>
    </row>
    <row r="206" spans="2:5" ht="23.25" customHeight="1" x14ac:dyDescent="0.35">
      <c r="B206" s="262" t="s">
        <v>157</v>
      </c>
      <c r="C206" s="262"/>
      <c r="D206" s="164" t="s">
        <v>28</v>
      </c>
      <c r="E206" s="209">
        <f>'Other Charges'!F45</f>
        <v>125.72</v>
      </c>
    </row>
    <row r="207" spans="2:5" x14ac:dyDescent="0.35">
      <c r="B207" s="262" t="s">
        <v>158</v>
      </c>
      <c r="C207" s="262"/>
      <c r="D207" s="164" t="s">
        <v>28</v>
      </c>
      <c r="E207" s="209">
        <f>'Other Charges'!F46</f>
        <v>50.29</v>
      </c>
    </row>
    <row r="208" spans="2:5" x14ac:dyDescent="0.35">
      <c r="B208" s="262" t="s">
        <v>159</v>
      </c>
      <c r="C208" s="262"/>
      <c r="D208" s="164" t="s">
        <v>160</v>
      </c>
      <c r="E208" s="209">
        <f>'Other Charges'!F47</f>
        <v>1.24</v>
      </c>
    </row>
    <row r="209" spans="2:5" x14ac:dyDescent="0.35">
      <c r="B209" s="262" t="s">
        <v>161</v>
      </c>
      <c r="C209" s="262"/>
      <c r="D209" s="164" t="s">
        <v>160</v>
      </c>
      <c r="E209" s="209">
        <f>'Other Charges'!F48</f>
        <v>0.74</v>
      </c>
    </row>
    <row r="210" spans="2:5" x14ac:dyDescent="0.35">
      <c r="B210" s="262" t="s">
        <v>162</v>
      </c>
      <c r="C210" s="262"/>
      <c r="D210" s="164" t="s">
        <v>160</v>
      </c>
      <c r="E210" s="209">
        <f>'Other Charges'!F49</f>
        <v>-0.74</v>
      </c>
    </row>
    <row r="211" spans="2:5" x14ac:dyDescent="0.35">
      <c r="B211" s="262" t="s">
        <v>163</v>
      </c>
      <c r="C211" s="262"/>
      <c r="D211" s="166"/>
      <c r="E211" s="210"/>
    </row>
    <row r="212" spans="2:5" x14ac:dyDescent="0.35">
      <c r="B212" s="285" t="s">
        <v>164</v>
      </c>
      <c r="C212" s="285"/>
      <c r="D212" s="164" t="s">
        <v>28</v>
      </c>
      <c r="E212" s="209">
        <f>'Other Charges'!F51</f>
        <v>0.63</v>
      </c>
    </row>
    <row r="213" spans="2:5" x14ac:dyDescent="0.35">
      <c r="B213" s="285" t="s">
        <v>165</v>
      </c>
      <c r="C213" s="285"/>
      <c r="D213" s="164" t="s">
        <v>28</v>
      </c>
      <c r="E213" s="209">
        <f>'Other Charges'!F52</f>
        <v>1.24</v>
      </c>
    </row>
    <row r="214" spans="2:5" x14ac:dyDescent="0.35">
      <c r="B214" s="262" t="s">
        <v>166</v>
      </c>
      <c r="C214" s="262"/>
      <c r="D214" s="166"/>
      <c r="E214" s="210"/>
    </row>
    <row r="215" spans="2:5" x14ac:dyDescent="0.35">
      <c r="B215" s="262" t="s">
        <v>167</v>
      </c>
      <c r="C215" s="262"/>
      <c r="D215" s="166"/>
      <c r="E215" s="210"/>
    </row>
    <row r="216" spans="2:5" x14ac:dyDescent="0.35">
      <c r="B216" s="262" t="s">
        <v>168</v>
      </c>
      <c r="C216" s="262"/>
      <c r="D216" s="166"/>
      <c r="E216" s="210"/>
    </row>
    <row r="217" spans="2:5" x14ac:dyDescent="0.35">
      <c r="B217" s="285" t="s">
        <v>268</v>
      </c>
      <c r="C217" s="285"/>
      <c r="D217" s="164" t="s">
        <v>28</v>
      </c>
      <c r="E217" s="210" t="s">
        <v>169</v>
      </c>
    </row>
    <row r="218" spans="2:5" x14ac:dyDescent="0.35">
      <c r="B218" s="285" t="s">
        <v>170</v>
      </c>
      <c r="C218" s="285"/>
      <c r="D218" s="164" t="s">
        <v>28</v>
      </c>
      <c r="E218" s="209">
        <f>'Other Charges'!F55</f>
        <v>4.72</v>
      </c>
    </row>
    <row r="219" spans="2:5" ht="27" customHeight="1" x14ac:dyDescent="0.35">
      <c r="B219" s="286" t="s">
        <v>171</v>
      </c>
      <c r="C219" s="286"/>
      <c r="D219" s="164" t="s">
        <v>28</v>
      </c>
      <c r="E219" s="209">
        <f>'Other Charges'!F56</f>
        <v>2.5099999999999998</v>
      </c>
    </row>
    <row r="220" spans="2:5" x14ac:dyDescent="0.35">
      <c r="B220" s="168"/>
      <c r="C220" s="168"/>
      <c r="D220" s="164"/>
      <c r="E220" s="165"/>
    </row>
    <row r="221" spans="2:5" ht="18" x14ac:dyDescent="0.4">
      <c r="B221" s="162" t="s">
        <v>172</v>
      </c>
      <c r="C221" s="129"/>
      <c r="D221" s="129"/>
      <c r="E221" s="157"/>
    </row>
    <row r="222" spans="2:5" ht="18" x14ac:dyDescent="0.4">
      <c r="B222" s="162"/>
      <c r="C222" s="129"/>
      <c r="D222" s="129"/>
      <c r="E222" s="157"/>
    </row>
    <row r="223" spans="2:5" ht="25.5" customHeight="1" x14ac:dyDescent="0.35">
      <c r="B223" s="260" t="s">
        <v>173</v>
      </c>
      <c r="C223" s="260"/>
      <c r="D223" s="260"/>
      <c r="E223" s="261"/>
    </row>
    <row r="224" spans="2:5" x14ac:dyDescent="0.35">
      <c r="B224" s="262" t="s">
        <v>174</v>
      </c>
      <c r="C224" s="262"/>
      <c r="D224" s="136"/>
      <c r="E224" s="214">
        <v>1.0872999999999999</v>
      </c>
    </row>
    <row r="225" spans="2:5" x14ac:dyDescent="0.35">
      <c r="B225" s="262" t="s">
        <v>175</v>
      </c>
      <c r="C225" s="262"/>
      <c r="D225" s="136"/>
      <c r="E225" s="214">
        <v>1.0765</v>
      </c>
    </row>
  </sheetData>
  <autoFilter ref="B22:H41" xr:uid="{D124C031-E5BE-4F4E-B804-B50DBA6C0869}">
    <filterColumn colId="0" showButton="0"/>
    <filterColumn colId="1" showButton="0"/>
    <filterColumn colId="2" showButton="0"/>
  </autoFilter>
  <mergeCells count="158">
    <mergeCell ref="B8:E8"/>
    <mergeCell ref="B9:E9"/>
    <mergeCell ref="B10:E10"/>
    <mergeCell ref="B12:E12"/>
    <mergeCell ref="B14:E14"/>
    <mergeCell ref="B16:E16"/>
    <mergeCell ref="B2:E2"/>
    <mergeCell ref="B3:E3"/>
    <mergeCell ref="B4:E4"/>
    <mergeCell ref="B5:E5"/>
    <mergeCell ref="B6:E6"/>
    <mergeCell ref="B7:E7"/>
    <mergeCell ref="B26:C26"/>
    <mergeCell ref="B27:C27"/>
    <mergeCell ref="B28:C28"/>
    <mergeCell ref="B29:C29"/>
    <mergeCell ref="B18:E18"/>
    <mergeCell ref="B20:E20"/>
    <mergeCell ref="B22:E22"/>
    <mergeCell ref="B24:C24"/>
    <mergeCell ref="B25:C25"/>
    <mergeCell ref="B38:C38"/>
    <mergeCell ref="B39:C39"/>
    <mergeCell ref="B40:E40"/>
    <mergeCell ref="B41:E41"/>
    <mergeCell ref="B43:E43"/>
    <mergeCell ref="B45:E45"/>
    <mergeCell ref="B30:C30"/>
    <mergeCell ref="B31:C31"/>
    <mergeCell ref="B32:C32"/>
    <mergeCell ref="B34:C34"/>
    <mergeCell ref="B36:C36"/>
    <mergeCell ref="B37:C37"/>
    <mergeCell ref="B59:C59"/>
    <mergeCell ref="B60:C60"/>
    <mergeCell ref="B61:C61"/>
    <mergeCell ref="B62:C62"/>
    <mergeCell ref="B47:E47"/>
    <mergeCell ref="B49:E49"/>
    <mergeCell ref="B51:E51"/>
    <mergeCell ref="B53:E53"/>
    <mergeCell ref="B55:E55"/>
    <mergeCell ref="B57:E57"/>
    <mergeCell ref="B71:C71"/>
    <mergeCell ref="B72:C72"/>
    <mergeCell ref="B73:C73"/>
    <mergeCell ref="B74:E74"/>
    <mergeCell ref="B75:E75"/>
    <mergeCell ref="B77:E77"/>
    <mergeCell ref="B63:C63"/>
    <mergeCell ref="B64:C64"/>
    <mergeCell ref="B66:C66"/>
    <mergeCell ref="B68:C68"/>
    <mergeCell ref="B70:C70"/>
    <mergeCell ref="B65:C65"/>
    <mergeCell ref="B67:C67"/>
    <mergeCell ref="B90:C90"/>
    <mergeCell ref="B91:C91"/>
    <mergeCell ref="B93:C93"/>
    <mergeCell ref="B94:C94"/>
    <mergeCell ref="B79:E79"/>
    <mergeCell ref="B81:E81"/>
    <mergeCell ref="B83:E83"/>
    <mergeCell ref="B85:E85"/>
    <mergeCell ref="B87:E87"/>
    <mergeCell ref="B89:C89"/>
    <mergeCell ref="B103:C103"/>
    <mergeCell ref="B104:C104"/>
    <mergeCell ref="B105:E105"/>
    <mergeCell ref="B106:E106"/>
    <mergeCell ref="B108:E108"/>
    <mergeCell ref="B110:E110"/>
    <mergeCell ref="B95:C95"/>
    <mergeCell ref="B96:C96"/>
    <mergeCell ref="B97:C97"/>
    <mergeCell ref="B99:C99"/>
    <mergeCell ref="B101:C101"/>
    <mergeCell ref="B102:C102"/>
    <mergeCell ref="B123:C123"/>
    <mergeCell ref="B124:C124"/>
    <mergeCell ref="B125:C125"/>
    <mergeCell ref="B126:C126"/>
    <mergeCell ref="B112:E112"/>
    <mergeCell ref="B114:E114"/>
    <mergeCell ref="B116:E116"/>
    <mergeCell ref="B118:E118"/>
    <mergeCell ref="B120:C120"/>
    <mergeCell ref="B121:C121"/>
    <mergeCell ref="B135:E135"/>
    <mergeCell ref="B136:E136"/>
    <mergeCell ref="B138:E138"/>
    <mergeCell ref="B140:E140"/>
    <mergeCell ref="B142:E142"/>
    <mergeCell ref="B144:E144"/>
    <mergeCell ref="B127:C127"/>
    <mergeCell ref="B129:C129"/>
    <mergeCell ref="B131:C131"/>
    <mergeCell ref="B132:C132"/>
    <mergeCell ref="B133:C133"/>
    <mergeCell ref="B134:C134"/>
    <mergeCell ref="B158:E158"/>
    <mergeCell ref="B160:E160"/>
    <mergeCell ref="B163:C163"/>
    <mergeCell ref="B164:C164"/>
    <mergeCell ref="B165:C165"/>
    <mergeCell ref="B166:C166"/>
    <mergeCell ref="B146:E146"/>
    <mergeCell ref="B148:E148"/>
    <mergeCell ref="B150:C150"/>
    <mergeCell ref="B153:C153"/>
    <mergeCell ref="B154:C154"/>
    <mergeCell ref="B156:E156"/>
    <mergeCell ref="B173:C173"/>
    <mergeCell ref="B174:C174"/>
    <mergeCell ref="B175:C175"/>
    <mergeCell ref="B176:C176"/>
    <mergeCell ref="B177:C177"/>
    <mergeCell ref="B178:C178"/>
    <mergeCell ref="B167:C167"/>
    <mergeCell ref="B168:C168"/>
    <mergeCell ref="B169:C169"/>
    <mergeCell ref="B170:C170"/>
    <mergeCell ref="B171:C171"/>
    <mergeCell ref="B172:C172"/>
    <mergeCell ref="B189:C189"/>
    <mergeCell ref="B190:C190"/>
    <mergeCell ref="B191:C191"/>
    <mergeCell ref="B192:C192"/>
    <mergeCell ref="B193:C193"/>
    <mergeCell ref="B194:C194"/>
    <mergeCell ref="B181:C181"/>
    <mergeCell ref="B182:C182"/>
    <mergeCell ref="B183:C183"/>
    <mergeCell ref="B184:C184"/>
    <mergeCell ref="B185:C185"/>
    <mergeCell ref="B188:C188"/>
    <mergeCell ref="B207:C207"/>
    <mergeCell ref="B208:C208"/>
    <mergeCell ref="B209:C209"/>
    <mergeCell ref="B210:C210"/>
    <mergeCell ref="B211:C211"/>
    <mergeCell ref="B212:C212"/>
    <mergeCell ref="B197:E197"/>
    <mergeCell ref="B199:E199"/>
    <mergeCell ref="B201:E201"/>
    <mergeCell ref="B203:E203"/>
    <mergeCell ref="B205:E205"/>
    <mergeCell ref="B206:C206"/>
    <mergeCell ref="B219:C219"/>
    <mergeCell ref="B223:E223"/>
    <mergeCell ref="B224:C224"/>
    <mergeCell ref="B225:C225"/>
    <mergeCell ref="B213:C213"/>
    <mergeCell ref="B214:C214"/>
    <mergeCell ref="B215:C215"/>
    <mergeCell ref="B216:C216"/>
    <mergeCell ref="B217:C217"/>
    <mergeCell ref="B218:C218"/>
  </mergeCells>
  <pageMargins left="0.7" right="0.7" top="0.75" bottom="0.75" header="0.3" footer="0.3"/>
  <pageSetup scale="85" orientation="portrait" verticalDpi="1200" r:id="rId1"/>
  <rowBreaks count="7" manualBreakCount="7">
    <brk id="39" max="16383" man="1"/>
    <brk id="73" max="16383" man="1"/>
    <brk id="104" max="16383" man="1"/>
    <brk id="134" max="16383" man="1"/>
    <brk id="154" max="16383" man="1"/>
    <brk id="194" max="4" man="1"/>
    <brk id="22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1C872-E83A-42AD-8CC0-14C40106F5D4}">
  <sheetPr>
    <pageSetUpPr fitToPage="1"/>
  </sheetPr>
  <dimension ref="A1:L384"/>
  <sheetViews>
    <sheetView view="pageBreakPreview" topLeftCell="A79" zoomScaleNormal="100" zoomScaleSheetLayoutView="100" workbookViewId="0">
      <selection activeCell="J49" sqref="J49"/>
    </sheetView>
  </sheetViews>
  <sheetFormatPr defaultRowHeight="14.5" x14ac:dyDescent="0.35"/>
  <cols>
    <col min="1" max="1" width="34.7265625" style="31" customWidth="1"/>
    <col min="2" max="2" width="13.26953125" style="31" customWidth="1"/>
    <col min="3" max="3" width="26.7265625" style="31" customWidth="1"/>
    <col min="4" max="4" width="10.26953125" style="31" bestFit="1" customWidth="1"/>
    <col min="5" max="5" width="18.26953125" style="31" customWidth="1"/>
    <col min="6" max="6" width="12.7265625" style="31" customWidth="1"/>
    <col min="7" max="7" width="14.26953125" style="31" bestFit="1" customWidth="1"/>
    <col min="8" max="8" width="18.7265625" style="31" bestFit="1" customWidth="1"/>
    <col min="9" max="9" width="13.54296875" style="31" bestFit="1" customWidth="1"/>
    <col min="10" max="10" width="15.7265625" style="31" customWidth="1"/>
    <col min="11" max="11" width="22.26953125" style="31" customWidth="1"/>
    <col min="12" max="12" width="14.453125" style="31" customWidth="1"/>
  </cols>
  <sheetData>
    <row r="1" spans="1:12" ht="23" x14ac:dyDescent="0.35">
      <c r="A1" s="1"/>
      <c r="B1" s="1"/>
      <c r="C1" s="218"/>
      <c r="D1" s="1"/>
      <c r="E1" s="1"/>
      <c r="F1" s="218"/>
      <c r="G1" s="1"/>
      <c r="H1" s="1"/>
      <c r="I1" s="2"/>
      <c r="J1" s="3"/>
      <c r="K1" s="4"/>
      <c r="L1" s="4"/>
    </row>
    <row r="2" spans="1:12" ht="17.5" x14ac:dyDescent="0.35">
      <c r="A2" s="5"/>
      <c r="B2" s="5"/>
      <c r="C2" s="219"/>
      <c r="D2" s="5"/>
      <c r="E2" s="5"/>
      <c r="F2" s="219"/>
      <c r="G2" s="5"/>
      <c r="H2" s="5"/>
      <c r="I2" s="2"/>
      <c r="J2" s="3"/>
      <c r="K2" s="4"/>
      <c r="L2" s="4"/>
    </row>
    <row r="3" spans="1:12" x14ac:dyDescent="0.35">
      <c r="A3"/>
      <c r="B3"/>
      <c r="C3"/>
      <c r="D3"/>
      <c r="E3"/>
      <c r="F3"/>
      <c r="G3"/>
      <c r="H3"/>
      <c r="I3" s="2"/>
      <c r="J3" s="3"/>
      <c r="K3" s="4"/>
      <c r="L3" s="4"/>
    </row>
    <row r="4" spans="1:12" ht="17.5" x14ac:dyDescent="0.35">
      <c r="A4" s="5"/>
      <c r="B4" s="5"/>
      <c r="C4" s="219"/>
      <c r="D4" s="5"/>
      <c r="E4" s="5"/>
      <c r="F4" s="233"/>
      <c r="G4" s="6"/>
      <c r="H4" s="6"/>
      <c r="I4" s="2"/>
      <c r="J4" s="3"/>
      <c r="K4" s="4"/>
      <c r="L4" s="4"/>
    </row>
    <row r="5" spans="1:12" ht="15.5" x14ac:dyDescent="0.35">
      <c r="A5" s="4"/>
      <c r="B5" s="7"/>
      <c r="C5" s="8"/>
      <c r="D5" s="4"/>
      <c r="E5" s="4"/>
      <c r="F5" s="8"/>
      <c r="G5" s="4"/>
      <c r="H5" s="4"/>
      <c r="I5" s="2"/>
      <c r="J5" s="3"/>
      <c r="K5" s="4"/>
      <c r="L5" s="4"/>
    </row>
    <row r="6" spans="1:12" x14ac:dyDescent="0.35">
      <c r="A6" s="4"/>
      <c r="B6" s="4"/>
      <c r="C6" s="8"/>
      <c r="D6" s="4"/>
      <c r="E6" s="4"/>
      <c r="F6" s="8"/>
      <c r="G6" s="4"/>
      <c r="H6" s="4"/>
      <c r="I6" s="2"/>
      <c r="J6" s="3"/>
      <c r="K6" s="4"/>
      <c r="L6" s="4"/>
    </row>
    <row r="7" spans="1:12" x14ac:dyDescent="0.35">
      <c r="A7" s="4"/>
      <c r="B7" s="4"/>
      <c r="C7" s="8"/>
      <c r="D7" s="4"/>
      <c r="E7" s="4"/>
      <c r="F7" s="8"/>
      <c r="G7" s="4"/>
      <c r="H7" s="4"/>
      <c r="I7" s="2"/>
      <c r="J7" s="3"/>
      <c r="K7" s="4"/>
      <c r="L7" s="4"/>
    </row>
    <row r="8" spans="1:12" x14ac:dyDescent="0.35">
      <c r="A8" s="4"/>
      <c r="B8" s="4"/>
      <c r="C8" s="8"/>
      <c r="D8" s="4"/>
      <c r="E8" s="4"/>
      <c r="F8" s="8"/>
      <c r="G8" s="4"/>
      <c r="H8" s="4"/>
      <c r="I8" s="4"/>
      <c r="J8" s="3"/>
      <c r="K8" s="8"/>
      <c r="L8" s="8"/>
    </row>
    <row r="9" spans="1:12" x14ac:dyDescent="0.35">
      <c r="A9" s="8"/>
      <c r="B9" s="8"/>
      <c r="C9" s="8"/>
      <c r="D9" s="8"/>
      <c r="E9" s="8"/>
      <c r="F9" s="8"/>
      <c r="G9" s="8"/>
      <c r="H9" s="8"/>
      <c r="I9" s="8"/>
      <c r="J9" s="8"/>
      <c r="K9" s="8"/>
      <c r="L9" s="8"/>
    </row>
    <row r="10" spans="1:12" ht="18" x14ac:dyDescent="0.4">
      <c r="A10" s="292"/>
      <c r="B10" s="292"/>
      <c r="C10" s="292"/>
      <c r="D10" s="292"/>
      <c r="E10" s="292"/>
      <c r="F10" s="292"/>
      <c r="G10" s="292"/>
      <c r="H10" s="292"/>
      <c r="I10" s="292"/>
      <c r="J10" s="292"/>
      <c r="K10" s="9"/>
      <c r="L10" s="9"/>
    </row>
    <row r="11" spans="1:12" ht="18" x14ac:dyDescent="0.4">
      <c r="A11" s="292"/>
      <c r="B11" s="292"/>
      <c r="C11" s="292"/>
      <c r="D11" s="292"/>
      <c r="E11" s="292"/>
      <c r="F11" s="292"/>
      <c r="G11" s="292"/>
      <c r="H11" s="292"/>
      <c r="I11" s="292"/>
      <c r="J11" s="292"/>
      <c r="K11" s="292"/>
      <c r="L11" s="292"/>
    </row>
    <row r="12" spans="1:12" x14ac:dyDescent="0.35">
      <c r="A12" s="293" t="s">
        <v>0</v>
      </c>
      <c r="B12" s="293"/>
      <c r="C12" s="293"/>
      <c r="D12" s="293"/>
      <c r="E12" s="293"/>
      <c r="F12" s="293"/>
      <c r="G12" s="293"/>
      <c r="H12" s="293"/>
      <c r="I12" s="293"/>
      <c r="J12" s="293"/>
      <c r="K12" s="293"/>
      <c r="L12" s="8"/>
    </row>
    <row r="13" spans="1:12" x14ac:dyDescent="0.35">
      <c r="A13" s="8" t="s">
        <v>1</v>
      </c>
      <c r="B13" s="8"/>
      <c r="C13" s="8"/>
      <c r="D13" s="8"/>
      <c r="E13" s="8"/>
      <c r="F13" s="8"/>
      <c r="G13" s="8"/>
      <c r="H13" s="8"/>
      <c r="I13" s="8"/>
      <c r="J13" s="8"/>
      <c r="K13" s="8"/>
      <c r="L13" s="8"/>
    </row>
    <row r="14" spans="1:12" ht="15.5" x14ac:dyDescent="0.35">
      <c r="A14" s="10" t="s">
        <v>2</v>
      </c>
      <c r="B14" s="8"/>
      <c r="C14" s="8"/>
      <c r="D14" s="8"/>
      <c r="E14" s="8"/>
      <c r="F14" s="8"/>
      <c r="G14" s="8"/>
      <c r="H14" s="8"/>
      <c r="I14" s="8"/>
      <c r="J14" s="8"/>
      <c r="K14" s="8"/>
      <c r="L14" s="8"/>
    </row>
    <row r="15" spans="1:12" ht="65.5" x14ac:dyDescent="0.35">
      <c r="A15" s="294" t="s">
        <v>3</v>
      </c>
      <c r="B15" s="295"/>
      <c r="C15" s="296"/>
      <c r="D15" s="11" t="s">
        <v>4</v>
      </c>
      <c r="E15" s="12" t="s">
        <v>5</v>
      </c>
      <c r="F15" s="12" t="s">
        <v>6</v>
      </c>
      <c r="G15" s="12" t="s">
        <v>7</v>
      </c>
      <c r="H15" s="12" t="s">
        <v>8</v>
      </c>
      <c r="I15" s="12" t="s">
        <v>9</v>
      </c>
      <c r="J15" s="13" t="s">
        <v>10</v>
      </c>
      <c r="K15" s="14" t="s">
        <v>11</v>
      </c>
      <c r="L15" s="8"/>
    </row>
    <row r="16" spans="1:12" x14ac:dyDescent="0.35">
      <c r="A16" s="15" t="s">
        <v>81</v>
      </c>
      <c r="B16" s="16"/>
      <c r="C16" s="220"/>
      <c r="D16" s="17" t="s">
        <v>33</v>
      </c>
      <c r="E16" s="18" t="s">
        <v>13</v>
      </c>
      <c r="F16" s="234">
        <v>1.0829</v>
      </c>
      <c r="G16" s="19">
        <f t="shared" ref="G16:G35" si="0">IF(ISBLANK(F16),"", F16)</f>
        <v>1.0829</v>
      </c>
      <c r="H16" s="20">
        <v>750</v>
      </c>
      <c r="I16" s="20"/>
      <c r="J16" s="18" t="s">
        <v>14</v>
      </c>
      <c r="K16" s="21"/>
      <c r="L16" s="8"/>
    </row>
    <row r="17" spans="1:12" x14ac:dyDescent="0.35">
      <c r="A17" s="15" t="s">
        <v>15</v>
      </c>
      <c r="B17" s="16"/>
      <c r="C17" s="220"/>
      <c r="D17" s="17" t="s">
        <v>35</v>
      </c>
      <c r="E17" s="18" t="s">
        <v>16</v>
      </c>
      <c r="F17" s="234">
        <v>1.0829</v>
      </c>
      <c r="G17" s="19">
        <f t="shared" si="0"/>
        <v>1.0829</v>
      </c>
      <c r="H17" s="20">
        <v>225000</v>
      </c>
      <c r="I17" s="20">
        <v>500</v>
      </c>
      <c r="J17" s="18" t="s">
        <v>17</v>
      </c>
      <c r="K17" s="21"/>
      <c r="L17" s="8"/>
    </row>
    <row r="18" spans="1:12" x14ac:dyDescent="0.35">
      <c r="A18" s="15" t="s">
        <v>18</v>
      </c>
      <c r="B18" s="16"/>
      <c r="C18" s="220"/>
      <c r="D18" s="17" t="s">
        <v>33</v>
      </c>
      <c r="E18" s="18" t="s">
        <v>13</v>
      </c>
      <c r="F18" s="234">
        <v>1.0829</v>
      </c>
      <c r="G18" s="19">
        <f t="shared" si="0"/>
        <v>1.0829</v>
      </c>
      <c r="H18" s="20">
        <v>200</v>
      </c>
      <c r="I18" s="20"/>
      <c r="J18" s="18" t="s">
        <v>14</v>
      </c>
      <c r="K18" s="21"/>
      <c r="L18" s="8"/>
    </row>
    <row r="19" spans="1:12" x14ac:dyDescent="0.35">
      <c r="A19" s="15" t="s">
        <v>19</v>
      </c>
      <c r="B19" s="16"/>
      <c r="C19" s="220"/>
      <c r="D19" s="17" t="s">
        <v>35</v>
      </c>
      <c r="E19" s="18" t="s">
        <v>16</v>
      </c>
      <c r="F19" s="234">
        <v>1.0829</v>
      </c>
      <c r="G19" s="19">
        <f t="shared" si="0"/>
        <v>1.0829</v>
      </c>
      <c r="H19" s="20">
        <v>3000</v>
      </c>
      <c r="I19" s="20">
        <v>10</v>
      </c>
      <c r="J19" s="18" t="s">
        <v>17</v>
      </c>
      <c r="K19" s="22">
        <v>75</v>
      </c>
      <c r="L19" s="8"/>
    </row>
    <row r="20" spans="1:12" x14ac:dyDescent="0.35">
      <c r="A20" s="23" t="s">
        <v>82</v>
      </c>
      <c r="B20" s="24"/>
      <c r="C20" s="220"/>
      <c r="D20" s="17" t="s">
        <v>33</v>
      </c>
      <c r="E20" s="18" t="s">
        <v>13</v>
      </c>
      <c r="F20" s="234">
        <v>1.0829</v>
      </c>
      <c r="G20" s="19">
        <f t="shared" si="0"/>
        <v>1.0829</v>
      </c>
      <c r="H20" s="20">
        <v>2000</v>
      </c>
      <c r="I20" s="20"/>
      <c r="J20" s="18" t="s">
        <v>14</v>
      </c>
      <c r="K20" s="21"/>
      <c r="L20" s="8"/>
    </row>
    <row r="21" spans="1:12" x14ac:dyDescent="0.35">
      <c r="A21" s="23" t="s">
        <v>18</v>
      </c>
      <c r="B21" s="24"/>
      <c r="C21" s="220"/>
      <c r="D21" s="17" t="s">
        <v>33</v>
      </c>
      <c r="E21" s="18" t="s">
        <v>13</v>
      </c>
      <c r="F21" s="234">
        <v>1.0829</v>
      </c>
      <c r="G21" s="19">
        <f t="shared" si="0"/>
        <v>1.0829</v>
      </c>
      <c r="H21" s="20">
        <v>15</v>
      </c>
      <c r="I21" s="20"/>
      <c r="J21" s="18" t="s">
        <v>14</v>
      </c>
      <c r="K21" s="21"/>
      <c r="L21" s="8"/>
    </row>
    <row r="22" spans="1:12" hidden="1" x14ac:dyDescent="0.35">
      <c r="A22" s="23" t="s">
        <v>20</v>
      </c>
      <c r="B22" s="24"/>
      <c r="C22" s="220"/>
      <c r="D22" s="17" t="s">
        <v>176</v>
      </c>
      <c r="E22" s="18"/>
      <c r="F22" s="234">
        <v>1.0829</v>
      </c>
      <c r="G22" s="19">
        <f t="shared" si="0"/>
        <v>1.0829</v>
      </c>
      <c r="H22" s="20"/>
      <c r="I22" s="20"/>
      <c r="J22" s="18"/>
      <c r="K22" s="21"/>
      <c r="L22" s="8"/>
    </row>
    <row r="23" spans="1:12" hidden="1" x14ac:dyDescent="0.35">
      <c r="A23" s="23" t="s">
        <v>20</v>
      </c>
      <c r="B23" s="24"/>
      <c r="C23" s="220"/>
      <c r="D23" s="17" t="s">
        <v>176</v>
      </c>
      <c r="E23" s="18"/>
      <c r="F23" s="234">
        <v>1.0829</v>
      </c>
      <c r="G23" s="19">
        <f t="shared" si="0"/>
        <v>1.0829</v>
      </c>
      <c r="H23" s="20"/>
      <c r="I23" s="20"/>
      <c r="J23" s="18"/>
      <c r="K23" s="21"/>
      <c r="L23" s="8"/>
    </row>
    <row r="24" spans="1:12" hidden="1" x14ac:dyDescent="0.35">
      <c r="A24" s="23" t="s">
        <v>20</v>
      </c>
      <c r="B24" s="24"/>
      <c r="C24" s="220"/>
      <c r="D24" s="17" t="s">
        <v>176</v>
      </c>
      <c r="E24" s="18"/>
      <c r="F24" s="234">
        <v>1.0829</v>
      </c>
      <c r="G24" s="19">
        <f t="shared" si="0"/>
        <v>1.0829</v>
      </c>
      <c r="H24" s="20"/>
      <c r="I24" s="20"/>
      <c r="J24" s="18"/>
      <c r="K24" s="21"/>
      <c r="L24" s="8"/>
    </row>
    <row r="25" spans="1:12" hidden="1" x14ac:dyDescent="0.35">
      <c r="A25" s="23" t="s">
        <v>20</v>
      </c>
      <c r="B25" s="24"/>
      <c r="C25" s="220"/>
      <c r="D25" s="17" t="s">
        <v>176</v>
      </c>
      <c r="E25" s="18"/>
      <c r="F25" s="234">
        <v>1.0829</v>
      </c>
      <c r="G25" s="19">
        <f t="shared" si="0"/>
        <v>1.0829</v>
      </c>
      <c r="H25" s="20"/>
      <c r="I25" s="20"/>
      <c r="J25" s="18"/>
      <c r="K25" s="21"/>
      <c r="L25" s="8"/>
    </row>
    <row r="26" spans="1:12" hidden="1" x14ac:dyDescent="0.35">
      <c r="A26" s="23" t="s">
        <v>20</v>
      </c>
      <c r="B26" s="24"/>
      <c r="C26" s="220"/>
      <c r="D26" s="17" t="s">
        <v>176</v>
      </c>
      <c r="E26" s="18"/>
      <c r="F26" s="234">
        <v>1.0829</v>
      </c>
      <c r="G26" s="19">
        <f t="shared" si="0"/>
        <v>1.0829</v>
      </c>
      <c r="H26" s="20"/>
      <c r="I26" s="20"/>
      <c r="J26" s="18"/>
      <c r="K26" s="21"/>
      <c r="L26" s="8"/>
    </row>
    <row r="27" spans="1:12" hidden="1" x14ac:dyDescent="0.35">
      <c r="A27" s="23" t="s">
        <v>20</v>
      </c>
      <c r="B27" s="24"/>
      <c r="C27" s="220"/>
      <c r="D27" s="17" t="s">
        <v>176</v>
      </c>
      <c r="E27" s="18"/>
      <c r="F27" s="234">
        <v>1.0829</v>
      </c>
      <c r="G27" s="19">
        <f t="shared" si="0"/>
        <v>1.0829</v>
      </c>
      <c r="H27" s="20"/>
      <c r="I27" s="20"/>
      <c r="J27" s="18"/>
      <c r="K27" s="21"/>
      <c r="L27" s="8"/>
    </row>
    <row r="28" spans="1:12" hidden="1" x14ac:dyDescent="0.35">
      <c r="A28" s="23" t="s">
        <v>20</v>
      </c>
      <c r="B28" s="24"/>
      <c r="C28" s="220"/>
      <c r="D28" s="17" t="s">
        <v>176</v>
      </c>
      <c r="E28" s="18"/>
      <c r="F28" s="234">
        <v>1.0829</v>
      </c>
      <c r="G28" s="19">
        <f t="shared" si="0"/>
        <v>1.0829</v>
      </c>
      <c r="H28" s="20"/>
      <c r="I28" s="20"/>
      <c r="J28" s="18"/>
      <c r="K28" s="21"/>
      <c r="L28" s="8"/>
    </row>
    <row r="29" spans="1:12" hidden="1" x14ac:dyDescent="0.35">
      <c r="A29" s="23" t="s">
        <v>20</v>
      </c>
      <c r="B29" s="24"/>
      <c r="C29" s="220"/>
      <c r="D29" s="17" t="s">
        <v>176</v>
      </c>
      <c r="E29" s="18"/>
      <c r="F29" s="234">
        <v>1.0829</v>
      </c>
      <c r="G29" s="19">
        <f t="shared" si="0"/>
        <v>1.0829</v>
      </c>
      <c r="H29" s="20"/>
      <c r="I29" s="20"/>
      <c r="J29" s="18"/>
      <c r="K29" s="21"/>
      <c r="L29" s="8"/>
    </row>
    <row r="30" spans="1:12" hidden="1" x14ac:dyDescent="0.35">
      <c r="A30" s="23" t="s">
        <v>20</v>
      </c>
      <c r="B30" s="24"/>
      <c r="C30" s="220"/>
      <c r="D30" s="17" t="s">
        <v>176</v>
      </c>
      <c r="E30" s="18"/>
      <c r="F30" s="234">
        <v>1.0829</v>
      </c>
      <c r="G30" s="19">
        <f t="shared" si="0"/>
        <v>1.0829</v>
      </c>
      <c r="H30" s="20"/>
      <c r="I30" s="20"/>
      <c r="J30" s="18"/>
      <c r="K30" s="21"/>
      <c r="L30" s="8"/>
    </row>
    <row r="31" spans="1:12" hidden="1" x14ac:dyDescent="0.35">
      <c r="A31" s="23" t="s">
        <v>20</v>
      </c>
      <c r="B31" s="24"/>
      <c r="C31" s="220"/>
      <c r="D31" s="17" t="s">
        <v>176</v>
      </c>
      <c r="E31" s="18"/>
      <c r="F31" s="234">
        <v>1.0829</v>
      </c>
      <c r="G31" s="19">
        <f t="shared" si="0"/>
        <v>1.0829</v>
      </c>
      <c r="H31" s="20"/>
      <c r="I31" s="20"/>
      <c r="J31" s="18"/>
      <c r="K31" s="21"/>
      <c r="L31" s="8"/>
    </row>
    <row r="32" spans="1:12" hidden="1" x14ac:dyDescent="0.35">
      <c r="A32" s="23" t="s">
        <v>20</v>
      </c>
      <c r="B32" s="24"/>
      <c r="C32" s="220"/>
      <c r="D32" s="17" t="s">
        <v>176</v>
      </c>
      <c r="E32" s="18"/>
      <c r="F32" s="234">
        <v>1.0829</v>
      </c>
      <c r="G32" s="19">
        <f t="shared" si="0"/>
        <v>1.0829</v>
      </c>
      <c r="H32" s="20"/>
      <c r="I32" s="20"/>
      <c r="J32" s="18"/>
      <c r="K32" s="21"/>
      <c r="L32" s="8"/>
    </row>
    <row r="33" spans="1:12" hidden="1" x14ac:dyDescent="0.35">
      <c r="A33" s="23" t="s">
        <v>20</v>
      </c>
      <c r="B33" s="24"/>
      <c r="C33" s="220"/>
      <c r="D33" s="17" t="s">
        <v>176</v>
      </c>
      <c r="E33" s="18"/>
      <c r="F33" s="234">
        <v>1.0829</v>
      </c>
      <c r="G33" s="19">
        <f t="shared" si="0"/>
        <v>1.0829</v>
      </c>
      <c r="H33" s="20"/>
      <c r="I33" s="20"/>
      <c r="J33" s="18"/>
      <c r="K33" s="21"/>
      <c r="L33" s="8"/>
    </row>
    <row r="34" spans="1:12" hidden="1" x14ac:dyDescent="0.35">
      <c r="A34" s="23" t="s">
        <v>20</v>
      </c>
      <c r="B34" s="24"/>
      <c r="C34" s="220"/>
      <c r="D34" s="17" t="s">
        <v>176</v>
      </c>
      <c r="E34" s="18"/>
      <c r="F34" s="234">
        <v>1.0829</v>
      </c>
      <c r="G34" s="19">
        <f t="shared" si="0"/>
        <v>1.0829</v>
      </c>
      <c r="H34" s="20"/>
      <c r="I34" s="20"/>
      <c r="J34" s="18"/>
      <c r="K34" s="21"/>
      <c r="L34" s="8"/>
    </row>
    <row r="35" spans="1:12" hidden="1" x14ac:dyDescent="0.35">
      <c r="A35" s="23" t="s">
        <v>20</v>
      </c>
      <c r="B35" s="24"/>
      <c r="C35" s="220"/>
      <c r="D35" s="17" t="s">
        <v>176</v>
      </c>
      <c r="E35" s="18"/>
      <c r="F35" s="234">
        <v>1.0829</v>
      </c>
      <c r="G35" s="19">
        <f t="shared" si="0"/>
        <v>1.0829</v>
      </c>
      <c r="H35" s="20"/>
      <c r="I35" s="20"/>
      <c r="J35" s="18"/>
      <c r="K35" s="21"/>
      <c r="L35" s="8"/>
    </row>
    <row r="36" spans="1:12" x14ac:dyDescent="0.35">
      <c r="A36" s="8"/>
      <c r="B36" s="8"/>
      <c r="C36" s="8"/>
      <c r="D36" s="8"/>
      <c r="E36" s="8"/>
      <c r="F36" s="8"/>
      <c r="G36" s="8"/>
      <c r="H36" s="8"/>
      <c r="I36" s="8"/>
      <c r="J36" s="8"/>
      <c r="K36" s="8"/>
      <c r="L36" s="8"/>
    </row>
    <row r="37" spans="1:12" ht="15.5" x14ac:dyDescent="0.35">
      <c r="A37" s="10" t="s">
        <v>21</v>
      </c>
      <c r="B37" s="8"/>
      <c r="C37" s="8"/>
      <c r="D37" s="8"/>
      <c r="E37" s="8"/>
      <c r="F37" s="8"/>
      <c r="G37" s="8"/>
      <c r="H37" s="8"/>
      <c r="I37" s="8"/>
      <c r="J37" s="8"/>
      <c r="K37" s="8"/>
      <c r="L37" s="8"/>
    </row>
    <row r="38" spans="1:12" x14ac:dyDescent="0.35">
      <c r="A38" s="300" t="s">
        <v>3</v>
      </c>
      <c r="B38" s="301"/>
      <c r="C38" s="302"/>
      <c r="D38" s="309" t="s">
        <v>4</v>
      </c>
      <c r="E38" s="298" t="s">
        <v>22</v>
      </c>
      <c r="F38" s="298"/>
      <c r="G38" s="298"/>
      <c r="H38" s="298"/>
      <c r="I38" s="298"/>
      <c r="J38" s="298"/>
      <c r="K38" s="298" t="s">
        <v>23</v>
      </c>
      <c r="L38" s="298"/>
    </row>
    <row r="39" spans="1:12" x14ac:dyDescent="0.35">
      <c r="A39" s="303"/>
      <c r="B39" s="304"/>
      <c r="C39" s="305"/>
      <c r="D39" s="309"/>
      <c r="E39" s="299" t="s">
        <v>24</v>
      </c>
      <c r="F39" s="299"/>
      <c r="G39" s="299" t="s">
        <v>25</v>
      </c>
      <c r="H39" s="299"/>
      <c r="I39" s="299" t="s">
        <v>26</v>
      </c>
      <c r="J39" s="299"/>
      <c r="K39" s="299" t="s">
        <v>27</v>
      </c>
      <c r="L39" s="299"/>
    </row>
    <row r="40" spans="1:12" x14ac:dyDescent="0.35">
      <c r="A40" s="306"/>
      <c r="B40" s="307"/>
      <c r="C40" s="308"/>
      <c r="D40" s="309"/>
      <c r="E40" s="25" t="s">
        <v>28</v>
      </c>
      <c r="F40" s="11" t="s">
        <v>29</v>
      </c>
      <c r="G40" s="25" t="s">
        <v>28</v>
      </c>
      <c r="H40" s="25" t="s">
        <v>29</v>
      </c>
      <c r="I40" s="25" t="s">
        <v>28</v>
      </c>
      <c r="J40" s="25" t="s">
        <v>29</v>
      </c>
      <c r="K40" s="25" t="s">
        <v>28</v>
      </c>
      <c r="L40" s="25" t="s">
        <v>29</v>
      </c>
    </row>
    <row r="41" spans="1:12" x14ac:dyDescent="0.35">
      <c r="A41" s="297" t="str">
        <f t="shared" ref="A41:A60" si="1">IF(ISBLANK(A16), "", IF(A16 = "Add additional scenarios if required", "", IF(J16="YES", A16 &amp; " - " &amp; E16 &amp; " - Interval Customers", A16 &amp; " - " &amp;E16)))</f>
        <v>RESIDENTIAL R1 (i)SERVICE CLASSIFICATION - RPP</v>
      </c>
      <c r="B41" s="297"/>
      <c r="C41" s="297"/>
      <c r="D41" s="26" t="str">
        <f t="shared" ref="D41:D55" si="2">IF(ISBLANK(D16), "", D16)</f>
        <v>kWh</v>
      </c>
      <c r="E41" s="139">
        <f>I80</f>
        <v>1.3500000000000014</v>
      </c>
      <c r="F41" s="140">
        <f>J80</f>
        <v>3.250662171923914E-2</v>
      </c>
      <c r="G41" s="139">
        <f>I89</f>
        <v>1.0499999999999972</v>
      </c>
      <c r="H41" s="140">
        <f>J89</f>
        <v>2.1690713887254336E-2</v>
      </c>
      <c r="I41" s="139">
        <f>I92</f>
        <v>1.6185224999999832</v>
      </c>
      <c r="J41" s="140">
        <f>J92</f>
        <v>2.4971901408508031E-2</v>
      </c>
      <c r="K41" s="139">
        <f>I106</f>
        <v>1.4726871804999746</v>
      </c>
      <c r="L41" s="141">
        <f>J106</f>
        <v>1.0211620360005462E-2</v>
      </c>
    </row>
    <row r="42" spans="1:12" x14ac:dyDescent="0.35">
      <c r="A42" s="297" t="str">
        <f t="shared" si="1"/>
        <v>RESIDENTIAL R2 SERVICE CLASSIFICATION - Non-RPP (Other)</v>
      </c>
      <c r="B42" s="297"/>
      <c r="C42" s="297"/>
      <c r="D42" s="26" t="str">
        <f t="shared" si="2"/>
        <v>kW</v>
      </c>
      <c r="E42" s="139">
        <f>I136</f>
        <v>721.57000000000016</v>
      </c>
      <c r="F42" s="140">
        <f>J136</f>
        <v>0.32767209630763233</v>
      </c>
      <c r="G42" s="139">
        <f>I145</f>
        <v>3203.57</v>
      </c>
      <c r="H42" s="140">
        <f>J145</f>
        <v>-11.445817999928531</v>
      </c>
      <c r="I42" s="139">
        <f>I148</f>
        <v>3327.7699999999995</v>
      </c>
      <c r="J42" s="140">
        <f>J148</f>
        <v>0.93000969758622309</v>
      </c>
      <c r="K42" s="139">
        <f>I168</f>
        <v>3760.3801000000021</v>
      </c>
      <c r="L42" s="141">
        <f>J168</f>
        <v>7.5756282298526184E-2</v>
      </c>
    </row>
    <row r="43" spans="1:12" x14ac:dyDescent="0.35">
      <c r="A43" s="297" t="str">
        <f t="shared" si="1"/>
        <v>SEASONAL CUSTOMERS SERVICE CLASSIFICATION - RPP</v>
      </c>
      <c r="B43" s="297"/>
      <c r="C43" s="297"/>
      <c r="D43" s="26" t="str">
        <f t="shared" si="2"/>
        <v>kWh</v>
      </c>
      <c r="E43" s="139">
        <f>I188</f>
        <v>4.5999999999999943</v>
      </c>
      <c r="F43" s="140">
        <f>J188</f>
        <v>4.4027565084226589E-2</v>
      </c>
      <c r="G43" s="139">
        <f>I197</f>
        <v>4.6399999999999864</v>
      </c>
      <c r="H43" s="140">
        <f>J197</f>
        <v>4.3567222917945569E-2</v>
      </c>
      <c r="I43" s="139">
        <f>I200</f>
        <v>4.7916059999999874</v>
      </c>
      <c r="J43" s="140">
        <f>J200</f>
        <v>4.3215509389435088E-2</v>
      </c>
      <c r="K43" s="139">
        <f>I212</f>
        <v>4.7868143940000323</v>
      </c>
      <c r="L43" s="141">
        <f>J212</f>
        <v>3.623567793353575E-2</v>
      </c>
    </row>
    <row r="44" spans="1:12" x14ac:dyDescent="0.35">
      <c r="A44" s="297" t="str">
        <f t="shared" si="1"/>
        <v>STREET LIGHTING SERVICE CLASSIFICATION - Non-RPP (Other)</v>
      </c>
      <c r="B44" s="297"/>
      <c r="C44" s="297"/>
      <c r="D44" s="26" t="str">
        <f t="shared" si="2"/>
        <v>kW</v>
      </c>
      <c r="E44" s="139">
        <f>I243</f>
        <v>60.75</v>
      </c>
      <c r="F44" s="140">
        <f>J243</f>
        <v>5.0373134328358209E-2</v>
      </c>
      <c r="G44" s="139">
        <f>I252</f>
        <v>99.450000000000045</v>
      </c>
      <c r="H44" s="140">
        <f>J252</f>
        <v>8.2394876813321138E-2</v>
      </c>
      <c r="I44" s="139">
        <f>I255</f>
        <v>101.24600000000009</v>
      </c>
      <c r="J44" s="140">
        <f>J255</f>
        <v>8.0177227101730558E-2</v>
      </c>
      <c r="K44" s="139">
        <f>I275</f>
        <v>114.40797999999995</v>
      </c>
      <c r="L44" s="141">
        <f>J275</f>
        <v>5.749119347756429E-2</v>
      </c>
    </row>
    <row r="45" spans="1:12" x14ac:dyDescent="0.35">
      <c r="A45" s="297" t="str">
        <f t="shared" si="1"/>
        <v>RESIDENTIAL R1(ii) SERVICE CLASSIFICATION - RPP</v>
      </c>
      <c r="B45" s="297"/>
      <c r="C45" s="297"/>
      <c r="D45" s="26" t="str">
        <f t="shared" si="2"/>
        <v>kWh</v>
      </c>
      <c r="E45" s="139">
        <f>I295</f>
        <v>6.7799999999999869</v>
      </c>
      <c r="F45" s="140">
        <f>J295</f>
        <v>5.9546811874231394E-2</v>
      </c>
      <c r="G45" s="139">
        <f>I304</f>
        <v>5.9799999999999613</v>
      </c>
      <c r="H45" s="140">
        <f>J304</f>
        <v>4.5474997450966406E-2</v>
      </c>
      <c r="I45" s="139">
        <f>I307</f>
        <v>7.4960599999999715</v>
      </c>
      <c r="J45" s="140">
        <f>J307</f>
        <v>4.2773525490374754E-2</v>
      </c>
      <c r="K45" s="139">
        <f>I319</f>
        <v>7.4885639400000059</v>
      </c>
      <c r="L45" s="141">
        <f>J319</f>
        <v>1.9390969497048858E-2</v>
      </c>
    </row>
    <row r="46" spans="1:12" x14ac:dyDescent="0.35">
      <c r="A46" s="297" t="str">
        <f t="shared" si="1"/>
        <v>SEASONAL CUSTOMERS SERVICE CLASSIFICATION - RPP</v>
      </c>
      <c r="B46" s="297"/>
      <c r="C46" s="297"/>
      <c r="D46" s="26" t="str">
        <f t="shared" si="2"/>
        <v>kWh</v>
      </c>
      <c r="E46" s="139">
        <f>I349</f>
        <v>8.4664999999999964</v>
      </c>
      <c r="F46" s="140">
        <f>J349</f>
        <v>8.8203274350573208E-2</v>
      </c>
      <c r="G46" s="139">
        <f>I358</f>
        <v>8.4694999999999965</v>
      </c>
      <c r="H46" s="140">
        <f>J358</f>
        <v>8.7740784238643163E-2</v>
      </c>
      <c r="I46" s="139">
        <f>I361</f>
        <v>8.4808704499999976</v>
      </c>
      <c r="J46" s="140">
        <f>J361</f>
        <v>8.7560941970798153E-2</v>
      </c>
      <c r="K46" s="139">
        <f>I373</f>
        <v>8.4846772795499987</v>
      </c>
      <c r="L46" s="141">
        <f>J373</f>
        <v>8.6059221490281432E-2</v>
      </c>
    </row>
    <row r="47" spans="1:12" x14ac:dyDescent="0.35">
      <c r="A47" s="297" t="str">
        <f t="shared" si="1"/>
        <v/>
      </c>
      <c r="B47" s="297"/>
      <c r="C47" s="297"/>
      <c r="D47" s="26" t="str">
        <f t="shared" si="2"/>
        <v/>
      </c>
      <c r="E47" s="27" t="str">
        <f t="shared" ref="E47:E60" si="3">IF(LEN($G47)&gt;1, (SUMPRODUCT(--($C$64:$C$1973=$B22), --($A$64:$A$1973=$D22), --($B$64:$B$1973="ST_A"), $L$64:$L$1973)), "")</f>
        <v/>
      </c>
      <c r="F47" s="140" t="str">
        <f t="shared" ref="F47:F60" si="4">IF(LEN($G47)&gt;1, (SUMPRODUCT(--($C$64:$C$1973=$B22), --($A$64:$A$1973=$D22), --($B$64:$B$1973="ST_A"), $M$64:$M$1973)), "")</f>
        <v/>
      </c>
      <c r="G47" s="27"/>
      <c r="H47" s="28" t="str">
        <f t="shared" ref="H47:H60" si="5">IF(LEN($G47)&gt;1, (SUMPRODUCT(--($C$64:$C$1973=$B22), --($A$64:$A$1973=$D22), --($B$64:$B$1973="ST_B"), $M$64:$M$1973)), "")</f>
        <v/>
      </c>
      <c r="I47" s="27" t="str">
        <f t="shared" ref="I47:I60" si="6">IF(LEN($G47)&gt;1, (SUMPRODUCT(--($C$64:$C$1973=$B22), --($A$64:$A$1973=$D22), --($B$64:$B$1973="ST_C"), $L$64:$L$1973)), "")</f>
        <v/>
      </c>
      <c r="J47" s="28" t="str">
        <f t="shared" ref="J47:J60" si="7">IF(LEN($G47)&gt;1, (SUMPRODUCT(--($C$64:$C$1973=$B22), --($A$64:$A$1973=$D22), --($B$64:$B$1973="ST_C"), $M$64:$M$1973)), "")</f>
        <v/>
      </c>
      <c r="K47" s="27" t="str">
        <f t="shared" ref="K47:K60" si="8">IF(LEN($G47)&gt;1, (SUMPRODUCT(--($C$64:$C$1973=$B22), --($A$64:$A$1973=$D22), --($B$64:$B$1973=$B47&amp;"_TOTAL"), $L$64:$L$1973)), "")</f>
        <v/>
      </c>
      <c r="L47" s="28" t="str">
        <f t="shared" ref="L47:L60" si="9">IF(LEN($G47)&gt;1, (SUMPRODUCT(--($C$64:$C$1973=$B22), --($A$64:$A$1973=$D22), --($B$64:$B$1973=$B47&amp;"_TOTAL"), $M$64:$M$1973)), "")</f>
        <v/>
      </c>
    </row>
    <row r="48" spans="1:12" x14ac:dyDescent="0.35">
      <c r="A48" s="297" t="str">
        <f t="shared" si="1"/>
        <v/>
      </c>
      <c r="B48" s="297"/>
      <c r="C48" s="297"/>
      <c r="D48" s="26" t="str">
        <f t="shared" si="2"/>
        <v/>
      </c>
      <c r="E48" s="27" t="str">
        <f t="shared" si="3"/>
        <v/>
      </c>
      <c r="F48" s="140" t="str">
        <f t="shared" si="4"/>
        <v/>
      </c>
      <c r="G48" s="27"/>
      <c r="H48" s="28" t="str">
        <f t="shared" si="5"/>
        <v/>
      </c>
      <c r="I48" s="27" t="str">
        <f t="shared" si="6"/>
        <v/>
      </c>
      <c r="J48" s="28" t="str">
        <f t="shared" si="7"/>
        <v/>
      </c>
      <c r="K48" s="27" t="str">
        <f t="shared" si="8"/>
        <v/>
      </c>
      <c r="L48" s="28" t="str">
        <f t="shared" si="9"/>
        <v/>
      </c>
    </row>
    <row r="49" spans="1:12" x14ac:dyDescent="0.35">
      <c r="A49" s="297" t="str">
        <f t="shared" si="1"/>
        <v/>
      </c>
      <c r="B49" s="297"/>
      <c r="C49" s="297"/>
      <c r="D49" s="26" t="str">
        <f t="shared" si="2"/>
        <v/>
      </c>
      <c r="E49" s="27" t="str">
        <f t="shared" si="3"/>
        <v/>
      </c>
      <c r="F49" s="140" t="str">
        <f t="shared" si="4"/>
        <v/>
      </c>
      <c r="G49" s="27"/>
      <c r="H49" s="28" t="str">
        <f t="shared" si="5"/>
        <v/>
      </c>
      <c r="I49" s="27" t="str">
        <f t="shared" si="6"/>
        <v/>
      </c>
      <c r="J49" s="28" t="str">
        <f t="shared" si="7"/>
        <v/>
      </c>
      <c r="K49" s="27" t="str">
        <f t="shared" si="8"/>
        <v/>
      </c>
      <c r="L49" s="28" t="str">
        <f t="shared" si="9"/>
        <v/>
      </c>
    </row>
    <row r="50" spans="1:12" x14ac:dyDescent="0.35">
      <c r="A50" s="297" t="str">
        <f t="shared" si="1"/>
        <v/>
      </c>
      <c r="B50" s="297"/>
      <c r="C50" s="297"/>
      <c r="D50" s="26" t="str">
        <f t="shared" si="2"/>
        <v/>
      </c>
      <c r="E50" s="27" t="str">
        <f t="shared" si="3"/>
        <v/>
      </c>
      <c r="F50" s="140" t="str">
        <f t="shared" si="4"/>
        <v/>
      </c>
      <c r="G50" s="27"/>
      <c r="H50" s="28" t="str">
        <f t="shared" si="5"/>
        <v/>
      </c>
      <c r="I50" s="27" t="str">
        <f t="shared" si="6"/>
        <v/>
      </c>
      <c r="J50" s="28" t="str">
        <f t="shared" si="7"/>
        <v/>
      </c>
      <c r="K50" s="27" t="str">
        <f t="shared" si="8"/>
        <v/>
      </c>
      <c r="L50" s="28" t="str">
        <f t="shared" si="9"/>
        <v/>
      </c>
    </row>
    <row r="51" spans="1:12" x14ac:dyDescent="0.35">
      <c r="A51" s="297" t="str">
        <f t="shared" si="1"/>
        <v/>
      </c>
      <c r="B51" s="297"/>
      <c r="C51" s="297"/>
      <c r="D51" s="26" t="str">
        <f t="shared" si="2"/>
        <v/>
      </c>
      <c r="E51" s="27" t="str">
        <f t="shared" si="3"/>
        <v/>
      </c>
      <c r="F51" s="140" t="str">
        <f t="shared" si="4"/>
        <v/>
      </c>
      <c r="G51" s="27"/>
      <c r="H51" s="28" t="str">
        <f t="shared" si="5"/>
        <v/>
      </c>
      <c r="I51" s="27" t="str">
        <f t="shared" si="6"/>
        <v/>
      </c>
      <c r="J51" s="28" t="str">
        <f t="shared" si="7"/>
        <v/>
      </c>
      <c r="K51" s="27" t="str">
        <f t="shared" si="8"/>
        <v/>
      </c>
      <c r="L51" s="28" t="str">
        <f t="shared" si="9"/>
        <v/>
      </c>
    </row>
    <row r="52" spans="1:12" x14ac:dyDescent="0.35">
      <c r="A52" s="297" t="str">
        <f t="shared" si="1"/>
        <v/>
      </c>
      <c r="B52" s="297"/>
      <c r="C52" s="297"/>
      <c r="D52" s="26" t="str">
        <f t="shared" si="2"/>
        <v/>
      </c>
      <c r="E52" s="27" t="str">
        <f t="shared" si="3"/>
        <v/>
      </c>
      <c r="F52" s="140" t="str">
        <f t="shared" si="4"/>
        <v/>
      </c>
      <c r="G52" s="27"/>
      <c r="H52" s="28" t="str">
        <f t="shared" si="5"/>
        <v/>
      </c>
      <c r="I52" s="27" t="str">
        <f t="shared" si="6"/>
        <v/>
      </c>
      <c r="J52" s="28" t="str">
        <f t="shared" si="7"/>
        <v/>
      </c>
      <c r="K52" s="27" t="str">
        <f t="shared" si="8"/>
        <v/>
      </c>
      <c r="L52" s="28" t="str">
        <f t="shared" si="9"/>
        <v/>
      </c>
    </row>
    <row r="53" spans="1:12" x14ac:dyDescent="0.35">
      <c r="A53" s="297" t="str">
        <f t="shared" si="1"/>
        <v/>
      </c>
      <c r="B53" s="297"/>
      <c r="C53" s="297"/>
      <c r="D53" s="26" t="str">
        <f t="shared" si="2"/>
        <v/>
      </c>
      <c r="E53" s="27" t="str">
        <f t="shared" si="3"/>
        <v/>
      </c>
      <c r="F53" s="140" t="str">
        <f t="shared" si="4"/>
        <v/>
      </c>
      <c r="G53" s="27"/>
      <c r="H53" s="28" t="str">
        <f t="shared" si="5"/>
        <v/>
      </c>
      <c r="I53" s="27" t="str">
        <f t="shared" si="6"/>
        <v/>
      </c>
      <c r="J53" s="28" t="str">
        <f t="shared" si="7"/>
        <v/>
      </c>
      <c r="K53" s="27" t="str">
        <f t="shared" si="8"/>
        <v/>
      </c>
      <c r="L53" s="28" t="str">
        <f t="shared" si="9"/>
        <v/>
      </c>
    </row>
    <row r="54" spans="1:12" x14ac:dyDescent="0.35">
      <c r="A54" s="297" t="str">
        <f t="shared" si="1"/>
        <v/>
      </c>
      <c r="B54" s="297"/>
      <c r="C54" s="297"/>
      <c r="D54" s="26" t="str">
        <f t="shared" si="2"/>
        <v/>
      </c>
      <c r="E54" s="27" t="str">
        <f t="shared" si="3"/>
        <v/>
      </c>
      <c r="F54" s="140" t="str">
        <f t="shared" si="4"/>
        <v/>
      </c>
      <c r="G54" s="27"/>
      <c r="H54" s="28" t="str">
        <f t="shared" si="5"/>
        <v/>
      </c>
      <c r="I54" s="27" t="str">
        <f t="shared" si="6"/>
        <v/>
      </c>
      <c r="J54" s="28" t="str">
        <f t="shared" si="7"/>
        <v/>
      </c>
      <c r="K54" s="27" t="str">
        <f t="shared" si="8"/>
        <v/>
      </c>
      <c r="L54" s="28" t="str">
        <f t="shared" si="9"/>
        <v/>
      </c>
    </row>
    <row r="55" spans="1:12" x14ac:dyDescent="0.35">
      <c r="A55" s="297" t="str">
        <f t="shared" si="1"/>
        <v/>
      </c>
      <c r="B55" s="297"/>
      <c r="C55" s="297"/>
      <c r="D55" s="26" t="str">
        <f t="shared" si="2"/>
        <v/>
      </c>
      <c r="E55" s="27" t="str">
        <f t="shared" si="3"/>
        <v/>
      </c>
      <c r="F55" s="140" t="str">
        <f t="shared" si="4"/>
        <v/>
      </c>
      <c r="G55" s="27"/>
      <c r="H55" s="28" t="str">
        <f t="shared" si="5"/>
        <v/>
      </c>
      <c r="I55" s="27" t="str">
        <f t="shared" si="6"/>
        <v/>
      </c>
      <c r="J55" s="28" t="str">
        <f t="shared" si="7"/>
        <v/>
      </c>
      <c r="K55" s="27" t="str">
        <f t="shared" si="8"/>
        <v/>
      </c>
      <c r="L55" s="28" t="str">
        <f t="shared" si="9"/>
        <v/>
      </c>
    </row>
    <row r="56" spans="1:12" x14ac:dyDescent="0.35">
      <c r="A56" s="297" t="str">
        <f t="shared" si="1"/>
        <v/>
      </c>
      <c r="B56" s="297"/>
      <c r="C56" s="297"/>
      <c r="D56" s="26" t="str">
        <f>IF(ISBLANK(D31), "", D31)</f>
        <v/>
      </c>
      <c r="E56" s="27" t="str">
        <f t="shared" si="3"/>
        <v/>
      </c>
      <c r="F56" s="140" t="str">
        <f t="shared" si="4"/>
        <v/>
      </c>
      <c r="G56" s="27"/>
      <c r="H56" s="28" t="str">
        <f t="shared" si="5"/>
        <v/>
      </c>
      <c r="I56" s="27" t="str">
        <f t="shared" si="6"/>
        <v/>
      </c>
      <c r="J56" s="28" t="str">
        <f t="shared" si="7"/>
        <v/>
      </c>
      <c r="K56" s="27" t="str">
        <f t="shared" si="8"/>
        <v/>
      </c>
      <c r="L56" s="28" t="str">
        <f t="shared" si="9"/>
        <v/>
      </c>
    </row>
    <row r="57" spans="1:12" x14ac:dyDescent="0.35">
      <c r="A57" s="297" t="str">
        <f t="shared" si="1"/>
        <v/>
      </c>
      <c r="B57" s="297"/>
      <c r="C57" s="297"/>
      <c r="D57" s="26" t="str">
        <f>IF(ISBLANK(D32), "", D32)</f>
        <v/>
      </c>
      <c r="E57" s="27" t="str">
        <f t="shared" si="3"/>
        <v/>
      </c>
      <c r="F57" s="140" t="str">
        <f t="shared" si="4"/>
        <v/>
      </c>
      <c r="G57" s="27"/>
      <c r="H57" s="28" t="str">
        <f t="shared" si="5"/>
        <v/>
      </c>
      <c r="I57" s="27" t="str">
        <f t="shared" si="6"/>
        <v/>
      </c>
      <c r="J57" s="28" t="str">
        <f t="shared" si="7"/>
        <v/>
      </c>
      <c r="K57" s="27" t="str">
        <f t="shared" si="8"/>
        <v/>
      </c>
      <c r="L57" s="28" t="str">
        <f t="shared" si="9"/>
        <v/>
      </c>
    </row>
    <row r="58" spans="1:12" x14ac:dyDescent="0.35">
      <c r="A58" s="297" t="str">
        <f t="shared" si="1"/>
        <v/>
      </c>
      <c r="B58" s="297"/>
      <c r="C58" s="297"/>
      <c r="D58" s="26" t="str">
        <f>IF(ISBLANK(D33), "", D33)</f>
        <v/>
      </c>
      <c r="E58" s="27" t="str">
        <f t="shared" si="3"/>
        <v/>
      </c>
      <c r="F58" s="140" t="str">
        <f t="shared" si="4"/>
        <v/>
      </c>
      <c r="G58" s="27"/>
      <c r="H58" s="28" t="str">
        <f t="shared" si="5"/>
        <v/>
      </c>
      <c r="I58" s="27" t="str">
        <f t="shared" si="6"/>
        <v/>
      </c>
      <c r="J58" s="28" t="str">
        <f t="shared" si="7"/>
        <v/>
      </c>
      <c r="K58" s="27" t="str">
        <f t="shared" si="8"/>
        <v/>
      </c>
      <c r="L58" s="28" t="str">
        <f t="shared" si="9"/>
        <v/>
      </c>
    </row>
    <row r="59" spans="1:12" x14ac:dyDescent="0.35">
      <c r="A59" s="297" t="str">
        <f t="shared" si="1"/>
        <v/>
      </c>
      <c r="B59" s="297"/>
      <c r="C59" s="297"/>
      <c r="D59" s="26" t="str">
        <f>IF(ISBLANK(D34), "", D34)</f>
        <v/>
      </c>
      <c r="E59" s="27" t="str">
        <f t="shared" si="3"/>
        <v/>
      </c>
      <c r="F59" s="140" t="str">
        <f t="shared" si="4"/>
        <v/>
      </c>
      <c r="G59" s="27"/>
      <c r="H59" s="28" t="str">
        <f t="shared" si="5"/>
        <v/>
      </c>
      <c r="I59" s="27" t="str">
        <f t="shared" si="6"/>
        <v/>
      </c>
      <c r="J59" s="28" t="str">
        <f t="shared" si="7"/>
        <v/>
      </c>
      <c r="K59" s="27" t="str">
        <f t="shared" si="8"/>
        <v/>
      </c>
      <c r="L59" s="28" t="str">
        <f t="shared" si="9"/>
        <v/>
      </c>
    </row>
    <row r="60" spans="1:12" x14ac:dyDescent="0.35">
      <c r="A60" s="297" t="str">
        <f t="shared" si="1"/>
        <v/>
      </c>
      <c r="B60" s="297"/>
      <c r="C60" s="297"/>
      <c r="D60" s="26" t="str">
        <f>IF(ISBLANK(D35), "", D35)</f>
        <v/>
      </c>
      <c r="E60" s="27" t="str">
        <f t="shared" si="3"/>
        <v/>
      </c>
      <c r="F60" s="140" t="str">
        <f t="shared" si="4"/>
        <v/>
      </c>
      <c r="G60" s="27"/>
      <c r="H60" s="28" t="str">
        <f t="shared" si="5"/>
        <v/>
      </c>
      <c r="I60" s="27" t="str">
        <f t="shared" si="6"/>
        <v/>
      </c>
      <c r="J60" s="28" t="str">
        <f t="shared" si="7"/>
        <v/>
      </c>
      <c r="K60" s="27" t="str">
        <f t="shared" si="8"/>
        <v/>
      </c>
      <c r="L60" s="28" t="str">
        <f t="shared" si="9"/>
        <v/>
      </c>
    </row>
    <row r="61" spans="1:12" x14ac:dyDescent="0.35">
      <c r="A61" s="8"/>
      <c r="B61" s="8"/>
      <c r="C61" s="8"/>
      <c r="D61" s="8"/>
      <c r="E61" s="8"/>
      <c r="F61" s="8"/>
      <c r="G61" s="8"/>
      <c r="H61" s="8"/>
      <c r="I61" s="8"/>
      <c r="J61" s="8"/>
      <c r="K61" s="8"/>
      <c r="L61" s="8"/>
    </row>
    <row r="62" spans="1:12" x14ac:dyDescent="0.35">
      <c r="A62" s="29"/>
      <c r="B62" s="29"/>
      <c r="D62" s="29"/>
      <c r="E62" s="29"/>
      <c r="G62" s="29"/>
      <c r="H62" s="29"/>
      <c r="I62" s="29"/>
      <c r="J62" s="29"/>
      <c r="K62" s="29"/>
      <c r="L62" s="29"/>
    </row>
    <row r="63" spans="1:12" x14ac:dyDescent="0.35">
      <c r="A63" s="8"/>
      <c r="B63" s="8"/>
      <c r="C63" s="8"/>
      <c r="D63" s="8"/>
      <c r="E63" s="8"/>
      <c r="F63" s="8"/>
      <c r="G63" s="8"/>
      <c r="H63" s="8"/>
      <c r="I63" s="8"/>
      <c r="J63" s="8"/>
      <c r="K63" s="8"/>
      <c r="L63" s="8"/>
    </row>
    <row r="64" spans="1:12" x14ac:dyDescent="0.35">
      <c r="A64" s="30" t="s">
        <v>30</v>
      </c>
      <c r="B64" s="310" t="str">
        <f>A16</f>
        <v>RESIDENTIAL R1 (i)SERVICE CLASSIFICATION</v>
      </c>
      <c r="C64" s="310"/>
      <c r="D64" s="310"/>
      <c r="E64" s="310"/>
      <c r="F64" s="310"/>
      <c r="G64" s="310"/>
      <c r="H64" s="31" t="str">
        <f>IF(K16="DEMAND - INTERVAL","RTSR - INTERVAL METERED","")</f>
        <v/>
      </c>
    </row>
    <row r="65" spans="1:11" x14ac:dyDescent="0.35">
      <c r="A65" s="30" t="s">
        <v>31</v>
      </c>
      <c r="B65" s="311" t="str">
        <f>E16</f>
        <v>RPP</v>
      </c>
      <c r="C65" s="311"/>
      <c r="D65" s="311"/>
      <c r="E65" s="32"/>
      <c r="F65" s="235"/>
    </row>
    <row r="66" spans="1:11" ht="15.5" x14ac:dyDescent="0.35">
      <c r="A66" s="30" t="s">
        <v>32</v>
      </c>
      <c r="B66" s="33">
        <f>H16</f>
        <v>750</v>
      </c>
      <c r="C66" s="34" t="s">
        <v>33</v>
      </c>
      <c r="G66" s="35"/>
      <c r="H66" s="35"/>
      <c r="I66" s="35"/>
      <c r="J66" s="35"/>
      <c r="K66" s="35"/>
    </row>
    <row r="67" spans="1:11" ht="15.5" x14ac:dyDescent="0.35">
      <c r="A67" s="30" t="s">
        <v>34</v>
      </c>
      <c r="B67" s="33">
        <f>I16</f>
        <v>0</v>
      </c>
      <c r="C67" s="221" t="s">
        <v>35</v>
      </c>
      <c r="D67" s="36"/>
      <c r="E67" s="37"/>
      <c r="F67" s="37"/>
      <c r="G67" s="37"/>
    </row>
    <row r="68" spans="1:11" x14ac:dyDescent="0.35">
      <c r="A68" s="30" t="s">
        <v>36</v>
      </c>
      <c r="B68" s="38">
        <f>F16</f>
        <v>1.0829</v>
      </c>
    </row>
    <row r="69" spans="1:11" x14ac:dyDescent="0.35">
      <c r="A69" s="30" t="s">
        <v>37</v>
      </c>
      <c r="B69" s="38">
        <f>G16</f>
        <v>1.0829</v>
      </c>
    </row>
    <row r="71" spans="1:11" x14ac:dyDescent="0.35">
      <c r="B71" s="34"/>
      <c r="C71" s="312" t="s">
        <v>38</v>
      </c>
      <c r="D71" s="313"/>
      <c r="E71" s="314"/>
      <c r="F71" s="312" t="s">
        <v>39</v>
      </c>
      <c r="G71" s="313"/>
      <c r="H71" s="314"/>
      <c r="I71" s="312" t="s">
        <v>40</v>
      </c>
      <c r="J71" s="314"/>
    </row>
    <row r="72" spans="1:11" x14ac:dyDescent="0.35">
      <c r="B72" s="315"/>
      <c r="C72" s="39" t="s">
        <v>41</v>
      </c>
      <c r="D72" s="39" t="s">
        <v>42</v>
      </c>
      <c r="E72" s="40" t="s">
        <v>43</v>
      </c>
      <c r="F72" s="39" t="s">
        <v>41</v>
      </c>
      <c r="G72" s="41" t="s">
        <v>42</v>
      </c>
      <c r="H72" s="40" t="s">
        <v>43</v>
      </c>
      <c r="I72" s="317" t="s">
        <v>44</v>
      </c>
      <c r="J72" s="319" t="s">
        <v>45</v>
      </c>
    </row>
    <row r="73" spans="1:11" x14ac:dyDescent="0.35">
      <c r="B73" s="316"/>
      <c r="C73" s="42" t="s">
        <v>46</v>
      </c>
      <c r="D73" s="42"/>
      <c r="E73" s="43" t="s">
        <v>46</v>
      </c>
      <c r="F73" s="42" t="s">
        <v>46</v>
      </c>
      <c r="G73" s="43"/>
      <c r="H73" s="43" t="s">
        <v>46</v>
      </c>
      <c r="I73" s="318"/>
      <c r="J73" s="320"/>
    </row>
    <row r="74" spans="1:11" x14ac:dyDescent="0.35">
      <c r="A74" s="44" t="s">
        <v>47</v>
      </c>
      <c r="B74" s="45"/>
      <c r="C74" s="242">
        <f>'Current (2025) Tariff'!D24</f>
        <v>67.36</v>
      </c>
      <c r="D74" s="46">
        <v>1</v>
      </c>
      <c r="E74" s="47">
        <f>D74*C74</f>
        <v>67.36</v>
      </c>
      <c r="F74" s="251">
        <f>'Proposed (2026) Tariff'!E24</f>
        <v>70.56</v>
      </c>
      <c r="G74" s="48">
        <f>D74</f>
        <v>1</v>
      </c>
      <c r="H74" s="49">
        <f>G74*F74</f>
        <v>70.56</v>
      </c>
      <c r="I74" s="50">
        <f t="shared" ref="I74:I95" si="10">H74-E74</f>
        <v>3.2000000000000028</v>
      </c>
      <c r="J74" s="51">
        <f>IF(ISERROR(I74/E74), "", I74/E74)</f>
        <v>4.7505938242280325E-2</v>
      </c>
    </row>
    <row r="75" spans="1:11" x14ac:dyDescent="0.35">
      <c r="A75" s="44" t="s">
        <v>48</v>
      </c>
      <c r="B75" s="45"/>
      <c r="C75" s="76">
        <v>0</v>
      </c>
      <c r="D75" s="46">
        <f>IF($E67&gt;0, $E67, $E66)</f>
        <v>0</v>
      </c>
      <c r="E75" s="47">
        <f t="shared" ref="E75:E87" si="11">D75*C75</f>
        <v>0</v>
      </c>
      <c r="F75" s="78">
        <v>0</v>
      </c>
      <c r="G75" s="48">
        <f>IF($E67&gt;0, $E67, $E66)</f>
        <v>0</v>
      </c>
      <c r="H75" s="49">
        <f>G75*F75</f>
        <v>0</v>
      </c>
      <c r="I75" s="50">
        <f t="shared" si="10"/>
        <v>0</v>
      </c>
      <c r="J75" s="51" t="str">
        <f t="shared" ref="J75:J85" si="12">IF(ISERROR(I75/E75), "", I75/E75)</f>
        <v/>
      </c>
    </row>
    <row r="76" spans="1:11" x14ac:dyDescent="0.35">
      <c r="A76" s="44" t="s">
        <v>49</v>
      </c>
      <c r="B76" s="45"/>
      <c r="C76" s="76">
        <v>0</v>
      </c>
      <c r="D76" s="46">
        <f>IF($E67&gt;0, $E67, $E66)</f>
        <v>0</v>
      </c>
      <c r="E76" s="47">
        <v>0</v>
      </c>
      <c r="F76" s="78"/>
      <c r="G76" s="48">
        <f>IF($E67&gt;0, $E67, $E66)</f>
        <v>0</v>
      </c>
      <c r="H76" s="49">
        <v>0</v>
      </c>
      <c r="I76" s="50"/>
      <c r="J76" s="51"/>
    </row>
    <row r="77" spans="1:11" x14ac:dyDescent="0.35">
      <c r="A77" s="44" t="s">
        <v>50</v>
      </c>
      <c r="B77" s="45"/>
      <c r="C77" s="76">
        <v>0</v>
      </c>
      <c r="D77" s="46">
        <f>IF($E67&gt;0, $E67, $E66)</f>
        <v>0</v>
      </c>
      <c r="E77" s="47">
        <f>'Other Charges'!D38-E74</f>
        <v>-24.479999999999997</v>
      </c>
      <c r="F77" s="78"/>
      <c r="G77" s="52">
        <f>IF($E67&gt;0, $E67, $E66)</f>
        <v>0</v>
      </c>
      <c r="H77" s="49">
        <f>'Other Charges'!D38-'Bill Impact'!F74</f>
        <v>-27.68</v>
      </c>
      <c r="I77" s="50">
        <f>H77-E77</f>
        <v>-3.2000000000000028</v>
      </c>
      <c r="J77" s="51">
        <f>IF(ISERROR(I77/E77), "", I77/E77)</f>
        <v>0.13071895424836616</v>
      </c>
    </row>
    <row r="78" spans="1:11" x14ac:dyDescent="0.35">
      <c r="A78" s="44" t="s">
        <v>51</v>
      </c>
      <c r="B78" s="45"/>
      <c r="C78" s="242">
        <f>+'Current (2025) Tariff'!D27+'Current (2025) Tariff'!D28</f>
        <v>-1.3499999999999999</v>
      </c>
      <c r="D78" s="46">
        <v>1</v>
      </c>
      <c r="E78" s="47">
        <f t="shared" si="11"/>
        <v>-1.3499999999999999</v>
      </c>
      <c r="F78" s="236">
        <v>0</v>
      </c>
      <c r="G78" s="48">
        <f>D78</f>
        <v>1</v>
      </c>
      <c r="H78" s="49">
        <f t="shared" ref="H78:H85" si="13">G78*F78</f>
        <v>0</v>
      </c>
      <c r="I78" s="50">
        <f t="shared" si="10"/>
        <v>1.3499999999999999</v>
      </c>
      <c r="J78" s="51">
        <f t="shared" si="12"/>
        <v>-1</v>
      </c>
    </row>
    <row r="79" spans="1:11" x14ac:dyDescent="0.35">
      <c r="A79" s="44" t="s">
        <v>52</v>
      </c>
      <c r="B79" s="45"/>
      <c r="C79" s="76">
        <v>0</v>
      </c>
      <c r="D79" s="46">
        <v>750</v>
      </c>
      <c r="E79" s="47">
        <f>D79*C79</f>
        <v>0</v>
      </c>
      <c r="F79" s="78">
        <v>0</v>
      </c>
      <c r="G79" s="48">
        <v>750</v>
      </c>
      <c r="H79" s="49">
        <f t="shared" si="13"/>
        <v>0</v>
      </c>
      <c r="I79" s="50">
        <f t="shared" si="10"/>
        <v>0</v>
      </c>
      <c r="J79" s="51" t="str">
        <f t="shared" si="12"/>
        <v/>
      </c>
    </row>
    <row r="80" spans="1:11" x14ac:dyDescent="0.35">
      <c r="A80" s="53" t="s">
        <v>53</v>
      </c>
      <c r="B80" s="54"/>
      <c r="C80" s="223"/>
      <c r="D80" s="55"/>
      <c r="E80" s="56">
        <f>SUM(E74:E79)</f>
        <v>41.53</v>
      </c>
      <c r="F80" s="237"/>
      <c r="G80" s="57"/>
      <c r="H80" s="56">
        <f>SUM(H74:H79)</f>
        <v>42.88</v>
      </c>
      <c r="I80" s="58">
        <f t="shared" si="10"/>
        <v>1.3500000000000014</v>
      </c>
      <c r="J80" s="59">
        <f>IF((E80)=0,"",(I80/E80))</f>
        <v>3.250662171923914E-2</v>
      </c>
    </row>
    <row r="81" spans="1:11" x14ac:dyDescent="0.35">
      <c r="A81" s="60" t="s">
        <v>54</v>
      </c>
      <c r="B81" s="45"/>
      <c r="C81" s="245">
        <f>'Other Charges'!E26</f>
        <v>9.9039999999999989E-2</v>
      </c>
      <c r="D81" s="61">
        <f>B66*(B68-1)</f>
        <v>62.174999999999983</v>
      </c>
      <c r="E81" s="47">
        <f>D81*C81</f>
        <v>6.1578119999999981</v>
      </c>
      <c r="F81" s="253">
        <f>'Other Charges'!E26</f>
        <v>9.9039999999999989E-2</v>
      </c>
      <c r="G81" s="62">
        <f>IF(F81=0, 0, B66*B69-B66)</f>
        <v>62.174999999999955</v>
      </c>
      <c r="H81" s="49">
        <f>G81*F81</f>
        <v>6.1578119999999945</v>
      </c>
      <c r="I81" s="50">
        <f>H81-E81</f>
        <v>0</v>
      </c>
      <c r="J81" s="51">
        <f>IF(ISERROR(I81/E81), "", I81/E81)</f>
        <v>0</v>
      </c>
    </row>
    <row r="82" spans="1:11" ht="25" x14ac:dyDescent="0.35">
      <c r="A82" s="60" t="s">
        <v>55</v>
      </c>
      <c r="B82" s="45"/>
      <c r="C82" s="245">
        <f>'Current (2025) Tariff'!D32</f>
        <v>2.0000000000000001E-4</v>
      </c>
      <c r="D82" s="63">
        <v>750</v>
      </c>
      <c r="E82" s="47">
        <f t="shared" si="11"/>
        <v>0.15</v>
      </c>
      <c r="F82" s="253">
        <f>'Proposed (2026) Tariff'!E29</f>
        <v>0</v>
      </c>
      <c r="G82" s="64">
        <v>750</v>
      </c>
      <c r="H82" s="49">
        <f t="shared" si="13"/>
        <v>0</v>
      </c>
      <c r="I82" s="50">
        <f t="shared" si="10"/>
        <v>-0.15</v>
      </c>
      <c r="J82" s="51">
        <f t="shared" si="12"/>
        <v>-1</v>
      </c>
    </row>
    <row r="83" spans="1:11" x14ac:dyDescent="0.35">
      <c r="A83" s="60" t="s">
        <v>56</v>
      </c>
      <c r="B83" s="45"/>
      <c r="C83" s="245">
        <f>'Current (2025) Tariff'!D31</f>
        <v>2.0000000000000001E-4</v>
      </c>
      <c r="D83" s="63">
        <v>750</v>
      </c>
      <c r="E83" s="47">
        <f>D83*C83</f>
        <v>0.15</v>
      </c>
      <c r="F83" s="253">
        <f>'Proposed (2026) Tariff'!E28</f>
        <v>0</v>
      </c>
      <c r="G83" s="64">
        <v>750</v>
      </c>
      <c r="H83" s="49">
        <f>G83*F83</f>
        <v>0</v>
      </c>
      <c r="I83" s="50">
        <f t="shared" si="10"/>
        <v>-0.15</v>
      </c>
      <c r="J83" s="51">
        <f t="shared" si="12"/>
        <v>-1</v>
      </c>
    </row>
    <row r="84" spans="1:11" x14ac:dyDescent="0.35">
      <c r="A84" s="60" t="s">
        <v>57</v>
      </c>
      <c r="B84" s="45"/>
      <c r="C84" s="76">
        <v>0</v>
      </c>
      <c r="D84" s="63">
        <f>B66</f>
        <v>750</v>
      </c>
      <c r="E84" s="47">
        <f>D84*C84</f>
        <v>0</v>
      </c>
      <c r="F84" s="78">
        <v>0</v>
      </c>
      <c r="G84" s="64">
        <f>B66</f>
        <v>750</v>
      </c>
      <c r="H84" s="49">
        <f t="shared" si="13"/>
        <v>0</v>
      </c>
      <c r="I84" s="50">
        <f t="shared" si="10"/>
        <v>0</v>
      </c>
      <c r="J84" s="51" t="str">
        <f t="shared" si="12"/>
        <v/>
      </c>
    </row>
    <row r="85" spans="1:11" x14ac:dyDescent="0.35">
      <c r="A85" s="44" t="s">
        <v>58</v>
      </c>
      <c r="B85" s="45"/>
      <c r="C85" s="76">
        <v>0</v>
      </c>
      <c r="D85" s="63">
        <f>IF($E67&gt;0, $E67, $E66)</f>
        <v>0</v>
      </c>
      <c r="E85" s="47">
        <f t="shared" si="11"/>
        <v>0</v>
      </c>
      <c r="F85" s="78"/>
      <c r="G85" s="64">
        <f>IF($E67&gt;0, $E67, $E66)</f>
        <v>0</v>
      </c>
      <c r="H85" s="49">
        <f t="shared" si="13"/>
        <v>0</v>
      </c>
      <c r="I85" s="50">
        <f t="shared" si="10"/>
        <v>0</v>
      </c>
      <c r="J85" s="51" t="str">
        <f t="shared" si="12"/>
        <v/>
      </c>
    </row>
    <row r="86" spans="1:11" x14ac:dyDescent="0.35">
      <c r="A86" s="60" t="s">
        <v>59</v>
      </c>
      <c r="B86" s="45"/>
      <c r="C86" s="243">
        <f>'Current (2025) Tariff'!D29</f>
        <v>0.42</v>
      </c>
      <c r="D86" s="46">
        <v>1</v>
      </c>
      <c r="E86" s="47">
        <f>D86*C86</f>
        <v>0.42</v>
      </c>
      <c r="F86" s="252">
        <f>'Proposed (2026) Tariff'!E26</f>
        <v>0.42</v>
      </c>
      <c r="G86" s="52">
        <v>1</v>
      </c>
      <c r="H86" s="49">
        <f>G86*F86</f>
        <v>0.42</v>
      </c>
      <c r="I86" s="50">
        <f t="shared" si="10"/>
        <v>0</v>
      </c>
      <c r="J86" s="51">
        <f>IF(ISERROR(I86/E86), "", I86/E86)</f>
        <v>0</v>
      </c>
    </row>
    <row r="87" spans="1:11" x14ac:dyDescent="0.35">
      <c r="A87" s="44" t="s">
        <v>60</v>
      </c>
      <c r="B87" s="45"/>
      <c r="C87" s="222">
        <v>0</v>
      </c>
      <c r="D87" s="46">
        <v>1</v>
      </c>
      <c r="E87" s="47">
        <f t="shared" si="11"/>
        <v>0</v>
      </c>
      <c r="F87" s="236">
        <v>0</v>
      </c>
      <c r="G87" s="52">
        <v>1</v>
      </c>
      <c r="H87" s="49">
        <f>G87*F87</f>
        <v>0</v>
      </c>
      <c r="I87" s="50">
        <f>H87-E87</f>
        <v>0</v>
      </c>
      <c r="J87" s="51" t="str">
        <f>IF(ISERROR(I87/E87), "", I87/E87)</f>
        <v/>
      </c>
    </row>
    <row r="88" spans="1:11" x14ac:dyDescent="0.35">
      <c r="A88" s="44" t="s">
        <v>61</v>
      </c>
      <c r="B88" s="45"/>
      <c r="C88" s="76">
        <v>0</v>
      </c>
      <c r="D88" s="63">
        <f>IF($E67&gt;0, $E67, $E66)</f>
        <v>0</v>
      </c>
      <c r="E88" s="47">
        <f>D88*C88</f>
        <v>0</v>
      </c>
      <c r="F88" s="78">
        <v>0</v>
      </c>
      <c r="G88" s="64">
        <f>IF($E67&gt;0, $E67, $E66)</f>
        <v>0</v>
      </c>
      <c r="H88" s="49">
        <f>G88*F88</f>
        <v>0</v>
      </c>
      <c r="I88" s="50">
        <f t="shared" si="10"/>
        <v>0</v>
      </c>
      <c r="J88" s="51" t="str">
        <f>IF(ISERROR(I88/E88), "", I88/E88)</f>
        <v/>
      </c>
    </row>
    <row r="89" spans="1:11" ht="26" x14ac:dyDescent="0.35">
      <c r="A89" s="65" t="s">
        <v>62</v>
      </c>
      <c r="B89" s="66"/>
      <c r="C89" s="225"/>
      <c r="D89" s="67"/>
      <c r="E89" s="68">
        <f>SUM(E80:E88)</f>
        <v>48.407812</v>
      </c>
      <c r="F89" s="239"/>
      <c r="G89" s="69"/>
      <c r="H89" s="68">
        <f>SUM(H80:H88)</f>
        <v>49.457811999999997</v>
      </c>
      <c r="I89" s="58">
        <f t="shared" si="10"/>
        <v>1.0499999999999972</v>
      </c>
      <c r="J89" s="59">
        <f>IF((E89)=0,"",(I89/E89))</f>
        <v>2.1690713887254336E-2</v>
      </c>
    </row>
    <row r="90" spans="1:11" x14ac:dyDescent="0.35">
      <c r="A90" s="70" t="s">
        <v>63</v>
      </c>
      <c r="B90" s="45"/>
      <c r="C90" s="245">
        <f>'Current (2025) Tariff'!D34</f>
        <v>1.17E-2</v>
      </c>
      <c r="D90" s="61">
        <f>B66*B69</f>
        <v>812.17499999999995</v>
      </c>
      <c r="E90" s="47">
        <f>D90*C90</f>
        <v>9.5024475000000006</v>
      </c>
      <c r="F90" s="254">
        <f>'Proposed (2026) Tariff'!E31</f>
        <v>1.21E-2</v>
      </c>
      <c r="G90" s="62">
        <f>D90</f>
        <v>812.17499999999995</v>
      </c>
      <c r="H90" s="49">
        <f>G90*F90</f>
        <v>9.8273174999999995</v>
      </c>
      <c r="I90" s="50">
        <f t="shared" si="10"/>
        <v>0.32486999999999888</v>
      </c>
      <c r="J90" s="51">
        <f>IF(ISERROR(I90/E90), "", I90/E90)</f>
        <v>3.4188034188034067E-2</v>
      </c>
      <c r="K90" s="71" t="str">
        <f>IF(ISERROR(ABS(J90)), "", IF(ABS(J90)&gt;=4%, "In the manager's summary, discuss the reasoning for the change in RTSR rates", ""))</f>
        <v/>
      </c>
    </row>
    <row r="91" spans="1:11" ht="25" x14ac:dyDescent="0.35">
      <c r="A91" s="72" t="s">
        <v>64</v>
      </c>
      <c r="B91" s="45"/>
      <c r="C91" s="245">
        <f>'Current (2025) Tariff'!D35</f>
        <v>8.5000000000000006E-3</v>
      </c>
      <c r="D91" s="61">
        <f>B66*B68</f>
        <v>812.17499999999995</v>
      </c>
      <c r="E91" s="47">
        <f>D91*C91</f>
        <v>6.9034874999999998</v>
      </c>
      <c r="F91" s="254">
        <f>'Proposed (2026) Tariff'!E32</f>
        <v>8.8000000000000005E-3</v>
      </c>
      <c r="G91" s="62">
        <f>D91</f>
        <v>812.17499999999995</v>
      </c>
      <c r="H91" s="49">
        <f>G91*F91</f>
        <v>7.1471400000000003</v>
      </c>
      <c r="I91" s="50">
        <f t="shared" si="10"/>
        <v>0.24365250000000049</v>
      </c>
      <c r="J91" s="51">
        <f>IF(ISERROR(I91/E91), "", I91/E91)</f>
        <v>3.5294117647058899E-2</v>
      </c>
      <c r="K91" s="71" t="str">
        <f>IF(ISERROR(ABS(J91)), "", IF(ABS(J91)&gt;=4%, "In the manager's summary, discuss the reasoning for the change in RTSR rates", ""))</f>
        <v/>
      </c>
    </row>
    <row r="92" spans="1:11" ht="26" x14ac:dyDescent="0.35">
      <c r="A92" s="65" t="s">
        <v>65</v>
      </c>
      <c r="B92" s="54"/>
      <c r="C92" s="225"/>
      <c r="D92" s="67"/>
      <c r="E92" s="68">
        <f>SUM(E89:E91)</f>
        <v>64.813747000000006</v>
      </c>
      <c r="F92" s="239"/>
      <c r="G92" s="57"/>
      <c r="H92" s="68">
        <f>SUM(H89:H91)</f>
        <v>66.43226949999999</v>
      </c>
      <c r="I92" s="58">
        <f t="shared" si="10"/>
        <v>1.6185224999999832</v>
      </c>
      <c r="J92" s="59">
        <f>IF((E92)=0,"",(I92/E92))</f>
        <v>2.4971901408508031E-2</v>
      </c>
    </row>
    <row r="93" spans="1:11" ht="25" x14ac:dyDescent="0.35">
      <c r="A93" s="73" t="s">
        <v>66</v>
      </c>
      <c r="B93" s="45"/>
      <c r="C93" s="245">
        <f>'Current (2025) Tariff'!D39+'Current (2025) Tariff'!D40</f>
        <v>4.5000000000000005E-3</v>
      </c>
      <c r="D93" s="61">
        <f>B66*B68</f>
        <v>812.17499999999995</v>
      </c>
      <c r="E93" s="74">
        <f t="shared" ref="E93:E99" si="14">D93*C93</f>
        <v>3.6547875000000003</v>
      </c>
      <c r="F93" s="253">
        <f>+'Proposed (2026) Tariff'!E36+'Proposed (2026) Tariff'!E37</f>
        <v>4.5000000000000005E-3</v>
      </c>
      <c r="G93" s="62">
        <f>B66*B69</f>
        <v>812.17499999999995</v>
      </c>
      <c r="H93" s="49">
        <f t="shared" ref="H93:H99" si="15">G93*F93</f>
        <v>3.6547875000000003</v>
      </c>
      <c r="I93" s="50">
        <f t="shared" si="10"/>
        <v>0</v>
      </c>
      <c r="J93" s="51">
        <f t="shared" ref="J93:J101" si="16">IF(ISERROR(I93/E93), "", I93/E93)</f>
        <v>0</v>
      </c>
    </row>
    <row r="94" spans="1:11" ht="25" x14ac:dyDescent="0.35">
      <c r="A94" s="73" t="s">
        <v>67</v>
      </c>
      <c r="B94" s="45"/>
      <c r="C94" s="245">
        <f>'Current (2025) Tariff'!D41</f>
        <v>1.5E-3</v>
      </c>
      <c r="D94" s="61">
        <f>B66*B68</f>
        <v>812.17499999999995</v>
      </c>
      <c r="E94" s="74">
        <f t="shared" si="14"/>
        <v>1.2182625</v>
      </c>
      <c r="F94" s="253">
        <f>+'Proposed (2026) Tariff'!E38</f>
        <v>1.5E-3</v>
      </c>
      <c r="G94" s="62">
        <f>B66*B69</f>
        <v>812.17499999999995</v>
      </c>
      <c r="H94" s="49">
        <f t="shared" si="15"/>
        <v>1.2182625</v>
      </c>
      <c r="I94" s="50">
        <f t="shared" si="10"/>
        <v>0</v>
      </c>
      <c r="J94" s="51">
        <f t="shared" si="16"/>
        <v>0</v>
      </c>
    </row>
    <row r="95" spans="1:11" x14ac:dyDescent="0.35">
      <c r="A95" s="75" t="s">
        <v>68</v>
      </c>
      <c r="B95" s="45"/>
      <c r="C95" s="243">
        <f>'Current (2025) Tariff'!D42</f>
        <v>0.25</v>
      </c>
      <c r="D95" s="46">
        <v>1</v>
      </c>
      <c r="E95" s="74">
        <f t="shared" si="14"/>
        <v>0.25</v>
      </c>
      <c r="F95" s="252">
        <f>+'Proposed (2026) Tariff'!E39</f>
        <v>0.25</v>
      </c>
      <c r="G95" s="48">
        <v>1</v>
      </c>
      <c r="H95" s="49">
        <f t="shared" si="15"/>
        <v>0.25</v>
      </c>
      <c r="I95" s="50">
        <f t="shared" si="10"/>
        <v>0</v>
      </c>
      <c r="J95" s="51">
        <f t="shared" si="16"/>
        <v>0</v>
      </c>
    </row>
    <row r="96" spans="1:11" ht="25" x14ac:dyDescent="0.35">
      <c r="A96" s="73" t="s">
        <v>69</v>
      </c>
      <c r="B96" s="45"/>
      <c r="C96" s="76"/>
      <c r="D96" s="61"/>
      <c r="E96" s="74"/>
      <c r="F96" s="78"/>
      <c r="G96" s="62"/>
      <c r="H96" s="49"/>
      <c r="I96" s="50"/>
      <c r="J96" s="51"/>
    </row>
    <row r="97" spans="1:10" x14ac:dyDescent="0.35">
      <c r="A97" s="75" t="s">
        <v>70</v>
      </c>
      <c r="B97" s="45"/>
      <c r="C97" s="245">
        <f>'Other Charges'!D23</f>
        <v>7.5999999999999998E-2</v>
      </c>
      <c r="D97" s="77">
        <f>$B$66*'Other Charges'!E23</f>
        <v>480</v>
      </c>
      <c r="E97" s="74">
        <f t="shared" si="14"/>
        <v>36.479999999999997</v>
      </c>
      <c r="F97" s="253">
        <f>'Other Charges'!D23</f>
        <v>7.5999999999999998E-2</v>
      </c>
      <c r="G97" s="79">
        <f>D97</f>
        <v>480</v>
      </c>
      <c r="H97" s="49">
        <f t="shared" si="15"/>
        <v>36.479999999999997</v>
      </c>
      <c r="I97" s="50">
        <f>H97-E97</f>
        <v>0</v>
      </c>
      <c r="J97" s="51">
        <f t="shared" si="16"/>
        <v>0</v>
      </c>
    </row>
    <row r="98" spans="1:10" x14ac:dyDescent="0.35">
      <c r="A98" s="75" t="s">
        <v>71</v>
      </c>
      <c r="B98" s="45"/>
      <c r="C98" s="245">
        <f>'Other Charges'!D24</f>
        <v>0.122</v>
      </c>
      <c r="D98" s="77">
        <f>$B$66*'Other Charges'!E24</f>
        <v>135</v>
      </c>
      <c r="E98" s="74">
        <f t="shared" si="14"/>
        <v>16.47</v>
      </c>
      <c r="F98" s="253">
        <f>'Other Charges'!D24</f>
        <v>0.122</v>
      </c>
      <c r="G98" s="79">
        <f>D98</f>
        <v>135</v>
      </c>
      <c r="H98" s="49">
        <f t="shared" si="15"/>
        <v>16.47</v>
      </c>
      <c r="I98" s="50">
        <f>H98-E98</f>
        <v>0</v>
      </c>
      <c r="J98" s="51">
        <f t="shared" si="16"/>
        <v>0</v>
      </c>
    </row>
    <row r="99" spans="1:10" ht="15" thickBot="1" x14ac:dyDescent="0.4">
      <c r="A99" s="31" t="s">
        <v>72</v>
      </c>
      <c r="B99" s="45"/>
      <c r="C99" s="245">
        <f>'Other Charges'!D25</f>
        <v>0.158</v>
      </c>
      <c r="D99" s="77">
        <f>$B$66*'Other Charges'!E25</f>
        <v>135</v>
      </c>
      <c r="E99" s="74">
        <f t="shared" si="14"/>
        <v>21.330000000000002</v>
      </c>
      <c r="F99" s="253">
        <f>'Other Charges'!D25</f>
        <v>0.158</v>
      </c>
      <c r="G99" s="79">
        <f>D99</f>
        <v>135</v>
      </c>
      <c r="H99" s="49">
        <f t="shared" si="15"/>
        <v>21.330000000000002</v>
      </c>
      <c r="I99" s="50">
        <f>H99-E99</f>
        <v>0</v>
      </c>
      <c r="J99" s="51">
        <f t="shared" si="16"/>
        <v>0</v>
      </c>
    </row>
    <row r="100" spans="1:10" hidden="1" x14ac:dyDescent="0.35">
      <c r="A100" s="75" t="s">
        <v>73</v>
      </c>
      <c r="B100" s="45"/>
      <c r="C100" s="76">
        <v>0.1076</v>
      </c>
      <c r="D100" s="77">
        <f>IF(AND(B66*12&gt;=150000),B66*B68,B66)</f>
        <v>750</v>
      </c>
      <c r="E100" s="74">
        <f>D100*C100</f>
        <v>80.7</v>
      </c>
      <c r="F100" s="78">
        <f>C100</f>
        <v>0.1076</v>
      </c>
      <c r="G100" s="79">
        <f>IF(AND(B66*12&gt;=150000),B66*B69,B66)</f>
        <v>750</v>
      </c>
      <c r="H100" s="49">
        <f>G100*F100</f>
        <v>80.7</v>
      </c>
      <c r="I100" s="50">
        <f>H100-E100</f>
        <v>0</v>
      </c>
      <c r="J100" s="51">
        <f t="shared" si="16"/>
        <v>0</v>
      </c>
    </row>
    <row r="101" spans="1:10" ht="15" hidden="1" thickBot="1" x14ac:dyDescent="0.4">
      <c r="A101" s="75" t="s">
        <v>74</v>
      </c>
      <c r="B101" s="45"/>
      <c r="C101" s="76">
        <v>0.1076</v>
      </c>
      <c r="D101" s="77">
        <f>IF(AND(B66*12&gt;=150000),B66*B68,B66)</f>
        <v>750</v>
      </c>
      <c r="E101" s="74">
        <f>D101*C101</f>
        <v>80.7</v>
      </c>
      <c r="F101" s="78">
        <f>C101</f>
        <v>0.1076</v>
      </c>
      <c r="G101" s="79">
        <f>IF(AND(B66*12&gt;=150000),B66*B69,B66)</f>
        <v>750</v>
      </c>
      <c r="H101" s="49">
        <f>G101*F101</f>
        <v>80.7</v>
      </c>
      <c r="I101" s="50">
        <f>H101-E101</f>
        <v>0</v>
      </c>
      <c r="J101" s="51">
        <f t="shared" si="16"/>
        <v>0</v>
      </c>
    </row>
    <row r="102" spans="1:10" ht="15" thickBot="1" x14ac:dyDescent="0.4">
      <c r="A102" s="80"/>
      <c r="B102" s="81"/>
      <c r="C102" s="226"/>
      <c r="D102" s="82"/>
      <c r="E102" s="83"/>
      <c r="F102" s="226"/>
      <c r="G102" s="84"/>
      <c r="H102" s="83"/>
      <c r="I102" s="85"/>
      <c r="J102" s="86"/>
    </row>
    <row r="103" spans="1:10" x14ac:dyDescent="0.35">
      <c r="A103" s="87" t="s">
        <v>75</v>
      </c>
      <c r="B103" s="75"/>
      <c r="C103" s="227"/>
      <c r="D103" s="88"/>
      <c r="E103" s="89">
        <f>SUM(E93:E99,E92)</f>
        <v>144.21679699999999</v>
      </c>
      <c r="F103" s="90"/>
      <c r="G103" s="90"/>
      <c r="H103" s="89">
        <f>SUM(H93:H99,H92)</f>
        <v>145.83531949999997</v>
      </c>
      <c r="I103" s="91">
        <f>H103-E103</f>
        <v>1.6185224999999832</v>
      </c>
      <c r="J103" s="92">
        <f>IF((E103)=0,"",(I103/E103))</f>
        <v>1.1222843203208731E-2</v>
      </c>
    </row>
    <row r="104" spans="1:10" x14ac:dyDescent="0.35">
      <c r="A104" s="93" t="s">
        <v>76</v>
      </c>
      <c r="B104" s="75"/>
      <c r="C104" s="246">
        <f>'Other Charges'!D31</f>
        <v>0.13100000000000001</v>
      </c>
      <c r="D104" s="94"/>
      <c r="E104" s="95">
        <f>E103*C104</f>
        <v>18.892400407</v>
      </c>
      <c r="F104" s="96">
        <v>0.13</v>
      </c>
      <c r="G104" s="46"/>
      <c r="H104" s="95">
        <f>H103*F104</f>
        <v>18.958591534999996</v>
      </c>
      <c r="I104" s="50">
        <f>H104-E104</f>
        <v>6.6191127999996269E-2</v>
      </c>
      <c r="J104" s="97">
        <f>IF((E104)=0,"",(I104/E104))</f>
        <v>3.5035848581459863E-3</v>
      </c>
    </row>
    <row r="105" spans="1:10" x14ac:dyDescent="0.35">
      <c r="A105" s="93" t="s">
        <v>77</v>
      </c>
      <c r="B105"/>
      <c r="C105" s="247">
        <f>'Other Charges'!D31</f>
        <v>0.13100000000000001</v>
      </c>
      <c r="D105" s="94"/>
      <c r="E105" s="95">
        <f>IF(OR(ISNUMBER(SEARCH("[DGEN]", B64))=TRUE, ISNUMBER(SEARCH("STREET LIGHT", B64))=TRUE), 0, IF(AND(B66=0, B67=0),0, IF(AND(B67=0, B66*12&gt;250000), 0, IF(AND(B66=0, B67&gt;=50), 0, IF(B66*12&lt;=250000, C105*E103*-1, IF(B67&lt;50, C105*E103*-1, 0))))))</f>
        <v>-18.892400407</v>
      </c>
      <c r="F105" s="228">
        <f>'Other Charges'!D31</f>
        <v>0.13100000000000001</v>
      </c>
      <c r="G105" s="46"/>
      <c r="H105" s="95">
        <f>IF(OR(ISNUMBER(SEARCH("[DGEN]", B64))=TRUE, ISNUMBER(SEARCH("STREET LIGHT", B64))=TRUE), 0, IF(AND(B66=0, B67=0),0, IF(AND(B67=0, B66*12&gt;250000), 0, IF(AND(B66=0, B67&gt;=50), 0, IF(B66*12&lt;=250000, F105*H103*-1, IF(B67&lt;50, F105*H103*-1, 0))))))</f>
        <v>-19.104426854499998</v>
      </c>
      <c r="I105" s="50">
        <f>H105-E105</f>
        <v>-0.21202644749999777</v>
      </c>
      <c r="J105" s="97"/>
    </row>
    <row r="106" spans="1:10" ht="15" thickBot="1" x14ac:dyDescent="0.4">
      <c r="A106" s="321" t="s">
        <v>78</v>
      </c>
      <c r="B106" s="321"/>
      <c r="C106" s="229"/>
      <c r="D106" s="98"/>
      <c r="E106" s="99">
        <f>E103+E104+E105</f>
        <v>144.21679699999999</v>
      </c>
      <c r="F106" s="240"/>
      <c r="G106" s="100"/>
      <c r="H106" s="101">
        <f>H103+H104+H105</f>
        <v>145.68948418049996</v>
      </c>
      <c r="I106" s="102">
        <f>H106-E106</f>
        <v>1.4726871804999746</v>
      </c>
      <c r="J106" s="103">
        <f>IF((E106)=0,"",(I106/E106))</f>
        <v>1.0211620360005462E-2</v>
      </c>
    </row>
    <row r="107" spans="1:10" ht="15" thickBot="1" x14ac:dyDescent="0.4">
      <c r="A107" s="80"/>
      <c r="B107" s="81"/>
      <c r="C107" s="226"/>
      <c r="D107" s="82"/>
      <c r="E107" s="83"/>
      <c r="F107" s="226"/>
      <c r="G107" s="84"/>
      <c r="H107" s="83"/>
      <c r="I107" s="85"/>
      <c r="J107" s="86"/>
    </row>
    <row r="108" spans="1:10" hidden="1" x14ac:dyDescent="0.35">
      <c r="A108" s="87" t="s">
        <v>79</v>
      </c>
      <c r="B108" s="75"/>
      <c r="C108" s="227"/>
      <c r="D108" s="88"/>
      <c r="E108" s="89">
        <f>SUM(E100,E93:E96,E92)</f>
        <v>150.636797</v>
      </c>
      <c r="F108" s="90"/>
      <c r="G108" s="90"/>
      <c r="H108" s="89">
        <f>SUM(H100,H93:H96,H92)</f>
        <v>152.25531949999998</v>
      </c>
      <c r="I108" s="91">
        <f>H108-E108</f>
        <v>1.6185224999999832</v>
      </c>
      <c r="J108" s="92">
        <f>IF((E108)=0,"",(I108/E108))</f>
        <v>1.0744536077728626E-2</v>
      </c>
    </row>
    <row r="109" spans="1:10" hidden="1" x14ac:dyDescent="0.35">
      <c r="A109" s="93" t="s">
        <v>76</v>
      </c>
      <c r="B109" s="75"/>
      <c r="C109" s="227">
        <v>0.13</v>
      </c>
      <c r="D109" s="88"/>
      <c r="E109" s="95">
        <f>E108*C109</f>
        <v>19.58278361</v>
      </c>
      <c r="F109" s="227">
        <v>0.13</v>
      </c>
      <c r="G109" s="96"/>
      <c r="H109" s="95">
        <f>H108*F109</f>
        <v>19.793191534999998</v>
      </c>
      <c r="I109" s="50">
        <f>H109-E109</f>
        <v>0.21040792499999839</v>
      </c>
      <c r="J109" s="97">
        <f>IF((E109)=0,"",(I109/E109))</f>
        <v>1.0744536077728654E-2</v>
      </c>
    </row>
    <row r="110" spans="1:10" hidden="1" x14ac:dyDescent="0.35">
      <c r="A110" s="93" t="s">
        <v>77</v>
      </c>
      <c r="B110"/>
      <c r="C110" s="228">
        <v>0.11700000000000001</v>
      </c>
      <c r="D110" s="88"/>
      <c r="E110" s="95">
        <f>IF(OR(ISNUMBER(SEARCH("[DGEN]", B64))=TRUE, ISNUMBER(SEARCH("STREET LIGHT", B64))=TRUE), 0, IF(AND(B66=0, B67=0),0, IF(AND(B67=0, B66*12&gt;250000), 0, IF(AND(B66=0, B67&gt;=50), 0, IF(B66*12&lt;=250000, C110*E108*-1, IF(B67&lt;50, C110*E108*-1, 0))))))</f>
        <v>-17.624505249000002</v>
      </c>
      <c r="F110" s="228">
        <v>0.11700000000000001</v>
      </c>
      <c r="G110" s="96"/>
      <c r="H110" s="95">
        <f>IF(OR(ISNUMBER(SEARCH("[DGEN]", B64))=TRUE, ISNUMBER(SEARCH("STREET LIGHT", B64))=TRUE), 0, IF(AND(B66=0, B67=0),0, IF(AND(B67=0, B66*12&gt;250000), 0, IF(AND(B66=0, B67&gt;=50), 0, IF(B66*12&lt;=250000, F110*H108*-1, IF(B67&lt;50, F110*H108*-1, 0))))))</f>
        <v>-17.813872381499998</v>
      </c>
      <c r="I110" s="50"/>
      <c r="J110" s="97"/>
    </row>
    <row r="111" spans="1:10" ht="15" hidden="1" thickBot="1" x14ac:dyDescent="0.4">
      <c r="A111" s="321" t="s">
        <v>79</v>
      </c>
      <c r="B111" s="321"/>
      <c r="C111" s="230"/>
      <c r="D111" s="104"/>
      <c r="E111" s="99">
        <f>SUM(E108,E109)</f>
        <v>170.21958061000001</v>
      </c>
      <c r="F111" s="241"/>
      <c r="G111" s="105"/>
      <c r="H111" s="99">
        <f>SUM(H108,H109)</f>
        <v>172.04851103499999</v>
      </c>
      <c r="I111" s="106">
        <f>H111-E111</f>
        <v>1.8289304249999816</v>
      </c>
      <c r="J111" s="107">
        <f>IF((E111)=0,"",(I111/E111))</f>
        <v>1.0744536077728628E-2</v>
      </c>
    </row>
    <row r="112" spans="1:10" ht="15" hidden="1" thickBot="1" x14ac:dyDescent="0.4">
      <c r="A112" s="80"/>
      <c r="B112" s="81"/>
      <c r="C112" s="231"/>
      <c r="D112" s="108"/>
      <c r="E112" s="109"/>
      <c r="F112" s="231"/>
      <c r="G112" s="82"/>
      <c r="H112" s="109"/>
      <c r="I112" s="110"/>
      <c r="J112" s="86"/>
    </row>
    <row r="113" spans="1:11" hidden="1" x14ac:dyDescent="0.35">
      <c r="A113" s="87" t="s">
        <v>80</v>
      </c>
      <c r="B113" s="75"/>
      <c r="C113" s="227"/>
      <c r="D113" s="88"/>
      <c r="E113" s="89">
        <f>SUM(E101,E93:E96,E92)</f>
        <v>150.636797</v>
      </c>
      <c r="F113" s="90"/>
      <c r="G113" s="90"/>
      <c r="H113" s="89">
        <f>SUM(H101,H93:H96,H92)</f>
        <v>152.25531949999998</v>
      </c>
      <c r="I113" s="91">
        <f>H113-E113</f>
        <v>1.6185224999999832</v>
      </c>
      <c r="J113" s="92">
        <f>IF((E113)=0,"",(I113/E113))</f>
        <v>1.0744536077728626E-2</v>
      </c>
    </row>
    <row r="114" spans="1:11" hidden="1" x14ac:dyDescent="0.35">
      <c r="A114" s="93" t="s">
        <v>76</v>
      </c>
      <c r="B114" s="75"/>
      <c r="C114" s="227">
        <v>0.13</v>
      </c>
      <c r="D114" s="88"/>
      <c r="E114" s="95">
        <f>E113*C114</f>
        <v>19.58278361</v>
      </c>
      <c r="F114" s="227">
        <v>0.13</v>
      </c>
      <c r="G114" s="96"/>
      <c r="H114" s="95">
        <f>H113*F114</f>
        <v>19.793191534999998</v>
      </c>
      <c r="I114" s="50">
        <f>H114-E114</f>
        <v>0.21040792499999839</v>
      </c>
      <c r="J114" s="97">
        <f>IF((E114)=0,"",(I114/E114))</f>
        <v>1.0744536077728654E-2</v>
      </c>
    </row>
    <row r="115" spans="1:11" hidden="1" x14ac:dyDescent="0.35">
      <c r="A115" s="93" t="s">
        <v>77</v>
      </c>
      <c r="B115"/>
      <c r="C115" s="228">
        <v>0.11700000000000001</v>
      </c>
      <c r="D115" s="88"/>
      <c r="E115" s="95">
        <f>IF(OR(ISNUMBER(SEARCH("[DGEN]", B64))=TRUE, ISNUMBER(SEARCH("STREET LIGHT", B64))=TRUE), 0, IF(AND(B66=0, B67=0),0, IF(AND(B67=0, B66*12&gt;250000), 0, IF(AND(B66=0, B67&gt;=50), 0, IF(B66*12&lt;=250000, C115*E113*-1, IF(B67&lt;50, C115*E113*-1, 0))))))</f>
        <v>-17.624505249000002</v>
      </c>
      <c r="F115" s="228">
        <v>0.11700000000000001</v>
      </c>
      <c r="G115" s="96"/>
      <c r="H115" s="95">
        <f>IF(OR(ISNUMBER(SEARCH("[DGEN]", B64))=TRUE, ISNUMBER(SEARCH("STREET LIGHT", B64))=TRUE), 0, IF(AND(B66=0, B67=0),0, IF(AND(B67=0, B66*12&gt;250000), 0, IF(AND(B66=0, B67&gt;=50), 0, IF(B66*12&lt;=250000, F115*H113*-1, IF(B67&lt;50, F115*H113*-1, 0))))))</f>
        <v>-17.813872381499998</v>
      </c>
      <c r="I115" s="50"/>
      <c r="J115" s="97"/>
    </row>
    <row r="116" spans="1:11" ht="15" hidden="1" thickBot="1" x14ac:dyDescent="0.4">
      <c r="A116" s="321" t="s">
        <v>80</v>
      </c>
      <c r="B116" s="321"/>
      <c r="C116" s="230"/>
      <c r="D116" s="104"/>
      <c r="E116" s="99">
        <f>SUM(E113,E114)</f>
        <v>170.21958061000001</v>
      </c>
      <c r="F116" s="241"/>
      <c r="G116" s="105"/>
      <c r="H116" s="99">
        <f>SUM(H113,H114)</f>
        <v>172.04851103499999</v>
      </c>
      <c r="I116" s="106">
        <f>H116-E116</f>
        <v>1.8289304249999816</v>
      </c>
      <c r="J116" s="107">
        <f>IF((E116)=0,"",(I116/E116))</f>
        <v>1.0744536077728628E-2</v>
      </c>
    </row>
    <row r="117" spans="1:11" ht="15" hidden="1" thickBot="1" x14ac:dyDescent="0.4">
      <c r="A117" s="80"/>
      <c r="B117" s="81"/>
      <c r="C117" s="232"/>
      <c r="D117" s="108"/>
      <c r="E117" s="111"/>
      <c r="F117" s="232"/>
      <c r="G117" s="82"/>
      <c r="H117" s="111"/>
      <c r="I117" s="110"/>
      <c r="J117" s="112"/>
    </row>
    <row r="120" spans="1:11" x14ac:dyDescent="0.35">
      <c r="A120" s="30" t="s">
        <v>30</v>
      </c>
      <c r="B120" s="310" t="str">
        <f>A17</f>
        <v>RESIDENTIAL R2 SERVICE CLASSIFICATION</v>
      </c>
      <c r="C120" s="310"/>
      <c r="D120" s="310"/>
      <c r="E120" s="310"/>
      <c r="F120" s="310"/>
      <c r="G120" s="310"/>
      <c r="H120" s="31" t="str">
        <f>IF(K17="DEMAND - INTERVAL","RTSR - INTERVAL METERED","")</f>
        <v/>
      </c>
    </row>
    <row r="121" spans="1:11" x14ac:dyDescent="0.35">
      <c r="A121" s="30" t="s">
        <v>31</v>
      </c>
      <c r="B121" s="311" t="str">
        <f>E17</f>
        <v>Non-RPP (Other)</v>
      </c>
      <c r="C121" s="311"/>
      <c r="D121" s="311"/>
      <c r="E121" s="32"/>
      <c r="F121" s="235"/>
    </row>
    <row r="122" spans="1:11" ht="15.5" x14ac:dyDescent="0.35">
      <c r="A122" s="30" t="s">
        <v>32</v>
      </c>
      <c r="B122" s="33">
        <f>H17</f>
        <v>225000</v>
      </c>
      <c r="C122" s="34" t="s">
        <v>33</v>
      </c>
      <c r="G122" s="35"/>
      <c r="H122" s="35"/>
      <c r="I122" s="35"/>
      <c r="J122" s="35"/>
      <c r="K122" s="35"/>
    </row>
    <row r="123" spans="1:11" ht="15.5" x14ac:dyDescent="0.35">
      <c r="A123" s="30" t="s">
        <v>34</v>
      </c>
      <c r="B123" s="33">
        <f>I17</f>
        <v>500</v>
      </c>
      <c r="C123" s="221" t="s">
        <v>35</v>
      </c>
      <c r="D123" s="36"/>
      <c r="E123" s="37"/>
      <c r="F123" s="37"/>
      <c r="G123" s="37"/>
    </row>
    <row r="124" spans="1:11" x14ac:dyDescent="0.35">
      <c r="A124" s="30" t="s">
        <v>36</v>
      </c>
      <c r="B124" s="38">
        <f>F17</f>
        <v>1.0829</v>
      </c>
    </row>
    <row r="125" spans="1:11" x14ac:dyDescent="0.35">
      <c r="A125" s="30" t="s">
        <v>37</v>
      </c>
      <c r="B125" s="38">
        <f>G17</f>
        <v>1.0829</v>
      </c>
    </row>
    <row r="127" spans="1:11" x14ac:dyDescent="0.35">
      <c r="B127" s="34"/>
      <c r="C127" s="312" t="s">
        <v>38</v>
      </c>
      <c r="D127" s="313"/>
      <c r="E127" s="314"/>
      <c r="F127" s="312" t="s">
        <v>39</v>
      </c>
      <c r="G127" s="313"/>
      <c r="H127" s="314"/>
      <c r="I127" s="312" t="s">
        <v>40</v>
      </c>
      <c r="J127" s="314"/>
    </row>
    <row r="128" spans="1:11" x14ac:dyDescent="0.35">
      <c r="B128" s="315"/>
      <c r="C128" s="39" t="s">
        <v>41</v>
      </c>
      <c r="D128" s="39" t="s">
        <v>42</v>
      </c>
      <c r="E128" s="40" t="s">
        <v>43</v>
      </c>
      <c r="F128" s="39" t="s">
        <v>41</v>
      </c>
      <c r="G128" s="41" t="s">
        <v>42</v>
      </c>
      <c r="H128" s="40" t="s">
        <v>43</v>
      </c>
      <c r="I128" s="317" t="s">
        <v>44</v>
      </c>
      <c r="J128" s="319" t="s">
        <v>45</v>
      </c>
    </row>
    <row r="129" spans="1:10" x14ac:dyDescent="0.35">
      <c r="B129" s="316"/>
      <c r="C129" s="42" t="s">
        <v>46</v>
      </c>
      <c r="D129" s="42"/>
      <c r="E129" s="43" t="s">
        <v>46</v>
      </c>
      <c r="F129" s="42" t="s">
        <v>46</v>
      </c>
      <c r="G129" s="43"/>
      <c r="H129" s="43" t="s">
        <v>46</v>
      </c>
      <c r="I129" s="318"/>
      <c r="J129" s="320"/>
    </row>
    <row r="130" spans="1:10" x14ac:dyDescent="0.35">
      <c r="A130" s="44" t="s">
        <v>47</v>
      </c>
      <c r="B130" s="45"/>
      <c r="C130" s="242">
        <f>'Current (2025) Tariff'!D62</f>
        <v>777.31</v>
      </c>
      <c r="D130" s="46">
        <v>1</v>
      </c>
      <c r="E130" s="47">
        <f>D130*C130</f>
        <v>777.31</v>
      </c>
      <c r="F130" s="251">
        <f>'Proposed (2026) Tariff'!E59</f>
        <v>814.23</v>
      </c>
      <c r="G130" s="48">
        <f>D130</f>
        <v>1</v>
      </c>
      <c r="H130" s="49">
        <f>G130*F130</f>
        <v>814.23</v>
      </c>
      <c r="I130" s="50">
        <f t="shared" ref="I130:I151" si="17">H130-E130</f>
        <v>36.920000000000073</v>
      </c>
      <c r="J130" s="51">
        <f>IF(ISERROR(I130/E130), "", I130/E130)</f>
        <v>4.749713756416369E-2</v>
      </c>
    </row>
    <row r="131" spans="1:10" x14ac:dyDescent="0.35">
      <c r="A131" s="44" t="s">
        <v>48</v>
      </c>
      <c r="B131" s="45"/>
      <c r="C131" s="245">
        <f>'Current (2025) Tariff'!D63</f>
        <v>4.0275999999999996</v>
      </c>
      <c r="D131" s="137">
        <f>B123</f>
        <v>500</v>
      </c>
      <c r="E131" s="47">
        <f t="shared" ref="E131:E143" si="18">D131*C131</f>
        <v>2013.7999999999997</v>
      </c>
      <c r="F131" s="253">
        <f>'Proposed (2026) Tariff'!E60</f>
        <v>4.2188999999999997</v>
      </c>
      <c r="G131" s="138">
        <f>D131</f>
        <v>500</v>
      </c>
      <c r="H131" s="49">
        <f>G131*F131</f>
        <v>2109.4499999999998</v>
      </c>
      <c r="I131" s="50">
        <f t="shared" si="17"/>
        <v>95.650000000000091</v>
      </c>
      <c r="J131" s="51">
        <f t="shared" ref="J131:J141" si="19">IF(ISERROR(I131/E131), "", I131/E131)</f>
        <v>4.7497268844969763E-2</v>
      </c>
    </row>
    <row r="132" spans="1:10" x14ac:dyDescent="0.35">
      <c r="A132" s="44" t="s">
        <v>49</v>
      </c>
      <c r="B132" s="45"/>
      <c r="C132" s="76"/>
      <c r="D132" s="46">
        <f>IF($E123&gt;0, $E123, $E122)</f>
        <v>0</v>
      </c>
      <c r="E132" s="47">
        <v>0</v>
      </c>
      <c r="F132" s="78"/>
      <c r="G132" s="48">
        <f>IF($E123&gt;0, $E123, $E122)</f>
        <v>0</v>
      </c>
      <c r="H132" s="49">
        <v>0</v>
      </c>
      <c r="I132" s="50"/>
      <c r="J132" s="51"/>
    </row>
    <row r="133" spans="1:10" x14ac:dyDescent="0.35">
      <c r="A133" s="44" t="s">
        <v>50</v>
      </c>
      <c r="B133" s="45"/>
      <c r="C133" s="76"/>
      <c r="D133" s="46">
        <f>IF($E123&gt;0, $E123, $E122)</f>
        <v>0</v>
      </c>
      <c r="E133" s="47">
        <v>0</v>
      </c>
      <c r="F133" s="78"/>
      <c r="G133" s="52">
        <f>IF($E123&gt;0, $E123, $E122)</f>
        <v>0</v>
      </c>
      <c r="H133" s="49">
        <v>0</v>
      </c>
      <c r="I133" s="50">
        <f>H133-E133</f>
        <v>0</v>
      </c>
      <c r="J133" s="51" t="str">
        <f>IF(ISERROR(I133/E133), "", I133/E133)</f>
        <v/>
      </c>
    </row>
    <row r="134" spans="1:10" x14ac:dyDescent="0.35">
      <c r="A134" s="44" t="s">
        <v>51</v>
      </c>
      <c r="B134" s="45"/>
      <c r="C134" s="222">
        <v>0</v>
      </c>
      <c r="D134" s="46">
        <v>1</v>
      </c>
      <c r="E134" s="47">
        <f t="shared" si="18"/>
        <v>0</v>
      </c>
      <c r="F134" s="236">
        <v>0</v>
      </c>
      <c r="G134" s="48">
        <f>D134</f>
        <v>1</v>
      </c>
      <c r="H134" s="49">
        <f t="shared" ref="H134:H141" si="20">G134*F134</f>
        <v>0</v>
      </c>
      <c r="I134" s="50">
        <f t="shared" si="17"/>
        <v>0</v>
      </c>
      <c r="J134" s="51" t="str">
        <f t="shared" si="19"/>
        <v/>
      </c>
    </row>
    <row r="135" spans="1:10" x14ac:dyDescent="0.35">
      <c r="A135" s="44" t="s">
        <v>52</v>
      </c>
      <c r="B135" s="45"/>
      <c r="C135" s="245">
        <f>'Current (2025) Tariff'!D66+'Current (2025) Tariff'!D68</f>
        <v>-1.1779999999999999</v>
      </c>
      <c r="D135" s="137">
        <f>B123</f>
        <v>500</v>
      </c>
      <c r="E135" s="47">
        <f t="shared" si="18"/>
        <v>-589</v>
      </c>
      <c r="F135" s="78"/>
      <c r="G135" s="138">
        <f>B123</f>
        <v>500</v>
      </c>
      <c r="H135" s="49">
        <f t="shared" si="20"/>
        <v>0</v>
      </c>
      <c r="I135" s="50">
        <f t="shared" si="17"/>
        <v>589</v>
      </c>
      <c r="J135" s="51">
        <f t="shared" si="19"/>
        <v>-1</v>
      </c>
    </row>
    <row r="136" spans="1:10" x14ac:dyDescent="0.35">
      <c r="A136" s="53" t="s">
        <v>53</v>
      </c>
      <c r="B136" s="54"/>
      <c r="C136" s="223"/>
      <c r="D136" s="55"/>
      <c r="E136" s="56">
        <f>SUM(E130:E135)</f>
        <v>2202.1099999999997</v>
      </c>
      <c r="F136" s="237"/>
      <c r="G136" s="57"/>
      <c r="H136" s="56">
        <f>SUM(H130:H135)</f>
        <v>2923.68</v>
      </c>
      <c r="I136" s="58">
        <f t="shared" si="17"/>
        <v>721.57000000000016</v>
      </c>
      <c r="J136" s="59">
        <f>IF((E136)=0,"",(I136/E136))</f>
        <v>0.32767209630763233</v>
      </c>
    </row>
    <row r="137" spans="1:10" x14ac:dyDescent="0.35">
      <c r="A137" s="60" t="s">
        <v>54</v>
      </c>
      <c r="B137" s="45"/>
      <c r="C137" s="76">
        <v>0</v>
      </c>
      <c r="D137" s="61">
        <f>IF(C137=0, 0, $E122*B124-B122)</f>
        <v>0</v>
      </c>
      <c r="E137" s="47">
        <f>D137*C137</f>
        <v>0</v>
      </c>
      <c r="F137" s="78">
        <v>0</v>
      </c>
      <c r="G137" s="62">
        <f>IF(F137=0, 0, B122*B125-B122)</f>
        <v>0</v>
      </c>
      <c r="H137" s="49">
        <f>G137*F137</f>
        <v>0</v>
      </c>
      <c r="I137" s="50">
        <f>H137-E137</f>
        <v>0</v>
      </c>
      <c r="J137" s="51" t="str">
        <f>IF(ISERROR(I137/E137), "", I137/E137)</f>
        <v/>
      </c>
    </row>
    <row r="138" spans="1:10" ht="25" x14ac:dyDescent="0.35">
      <c r="A138" s="60" t="s">
        <v>55</v>
      </c>
      <c r="B138" s="45"/>
      <c r="C138" s="245">
        <f>'Current (2025) Tariff'!D67</f>
        <v>6.2799999999999995E-2</v>
      </c>
      <c r="D138" s="63">
        <f>B123</f>
        <v>500</v>
      </c>
      <c r="E138" s="47">
        <f t="shared" si="18"/>
        <v>31.4</v>
      </c>
      <c r="F138" s="253">
        <f>+'Proposed (2026) Tariff'!E62</f>
        <v>0</v>
      </c>
      <c r="G138" s="64">
        <f>B123</f>
        <v>500</v>
      </c>
      <c r="H138" s="49">
        <f t="shared" si="20"/>
        <v>0</v>
      </c>
      <c r="I138" s="50">
        <f t="shared" si="17"/>
        <v>-31.4</v>
      </c>
      <c r="J138" s="51">
        <f t="shared" si="19"/>
        <v>-1</v>
      </c>
    </row>
    <row r="139" spans="1:10" x14ac:dyDescent="0.35">
      <c r="A139" s="60" t="s">
        <v>56</v>
      </c>
      <c r="B139" s="45"/>
      <c r="C139" s="245">
        <f>'Current (2025) Tariff'!D65</f>
        <v>0.19320000000000001</v>
      </c>
      <c r="D139" s="63">
        <f>B123</f>
        <v>500</v>
      </c>
      <c r="E139" s="47">
        <f>D139*C139</f>
        <v>96.600000000000009</v>
      </c>
      <c r="F139" s="253">
        <f>'Proposed (2026) Tariff'!E61</f>
        <v>0</v>
      </c>
      <c r="G139" s="64">
        <f>B123</f>
        <v>500</v>
      </c>
      <c r="H139" s="49">
        <f>G139*F139</f>
        <v>0</v>
      </c>
      <c r="I139" s="50">
        <f t="shared" si="17"/>
        <v>-96.600000000000009</v>
      </c>
      <c r="J139" s="51">
        <f t="shared" si="19"/>
        <v>-1</v>
      </c>
    </row>
    <row r="140" spans="1:10" x14ac:dyDescent="0.35">
      <c r="A140" s="60" t="s">
        <v>57</v>
      </c>
      <c r="B140" s="45"/>
      <c r="C140" s="245">
        <f>'Current (2025) Tariff'!D69</f>
        <v>-1.1599999999999999E-2</v>
      </c>
      <c r="D140" s="63">
        <f>B122</f>
        <v>225000</v>
      </c>
      <c r="E140" s="47">
        <f>D140*C140</f>
        <v>-2610</v>
      </c>
      <c r="F140" s="253">
        <f>'Proposed (2026) Tariff'!E63</f>
        <v>0</v>
      </c>
      <c r="G140" s="64">
        <f>B122</f>
        <v>225000</v>
      </c>
      <c r="H140" s="49">
        <f t="shared" si="20"/>
        <v>0</v>
      </c>
      <c r="I140" s="50">
        <f t="shared" si="17"/>
        <v>2610</v>
      </c>
      <c r="J140" s="51">
        <f t="shared" si="19"/>
        <v>-1</v>
      </c>
    </row>
    <row r="141" spans="1:10" x14ac:dyDescent="0.35">
      <c r="A141" s="44" t="s">
        <v>58</v>
      </c>
      <c r="B141" s="45"/>
      <c r="C141" s="76">
        <v>0</v>
      </c>
      <c r="D141" s="63">
        <f>IF($E123&gt;0, $E123, $E122)</f>
        <v>0</v>
      </c>
      <c r="E141" s="47">
        <f t="shared" si="18"/>
        <v>0</v>
      </c>
      <c r="F141" s="78"/>
      <c r="G141" s="64">
        <f>IF($E123&gt;0, $E123, $E122)</f>
        <v>0</v>
      </c>
      <c r="H141" s="49">
        <f t="shared" si="20"/>
        <v>0</v>
      </c>
      <c r="I141" s="50">
        <f t="shared" si="17"/>
        <v>0</v>
      </c>
      <c r="J141" s="51" t="str">
        <f t="shared" si="19"/>
        <v/>
      </c>
    </row>
    <row r="142" spans="1:10" x14ac:dyDescent="0.35">
      <c r="A142" s="60" t="s">
        <v>59</v>
      </c>
      <c r="B142" s="45"/>
      <c r="C142" s="224">
        <v>0</v>
      </c>
      <c r="D142" s="46">
        <v>1</v>
      </c>
      <c r="E142" s="47">
        <f>D142*C142</f>
        <v>0</v>
      </c>
      <c r="F142" s="238">
        <v>0</v>
      </c>
      <c r="G142" s="52">
        <v>1</v>
      </c>
      <c r="H142" s="49">
        <f>G142*F142</f>
        <v>0</v>
      </c>
      <c r="I142" s="50">
        <f t="shared" si="17"/>
        <v>0</v>
      </c>
      <c r="J142" s="51" t="str">
        <f>IF(ISERROR(I142/E142), "", I142/E142)</f>
        <v/>
      </c>
    </row>
    <row r="143" spans="1:10" x14ac:dyDescent="0.35">
      <c r="A143" s="44" t="s">
        <v>60</v>
      </c>
      <c r="B143" s="45"/>
      <c r="C143" s="222">
        <v>0</v>
      </c>
      <c r="D143" s="46">
        <v>1</v>
      </c>
      <c r="E143" s="47">
        <f t="shared" si="18"/>
        <v>0</v>
      </c>
      <c r="F143" s="236">
        <v>0</v>
      </c>
      <c r="G143" s="52">
        <v>1</v>
      </c>
      <c r="H143" s="49">
        <f>G143*F143</f>
        <v>0</v>
      </c>
      <c r="I143" s="50">
        <f>H143-E143</f>
        <v>0</v>
      </c>
      <c r="J143" s="51" t="str">
        <f>IF(ISERROR(I143/E143), "", I143/E143)</f>
        <v/>
      </c>
    </row>
    <row r="144" spans="1:10" x14ac:dyDescent="0.35">
      <c r="A144" s="44" t="s">
        <v>61</v>
      </c>
      <c r="B144" s="45"/>
      <c r="C144" s="76">
        <v>0</v>
      </c>
      <c r="D144" s="63">
        <f>IF($E123&gt;0, $E123, $E122)</f>
        <v>0</v>
      </c>
      <c r="E144" s="47">
        <f>D144*C144</f>
        <v>0</v>
      </c>
      <c r="F144" s="78">
        <v>0</v>
      </c>
      <c r="G144" s="64">
        <f>IF($E123&gt;0, $E123, $E122)</f>
        <v>0</v>
      </c>
      <c r="H144" s="49">
        <f>G144*F144</f>
        <v>0</v>
      </c>
      <c r="I144" s="50">
        <f t="shared" si="17"/>
        <v>0</v>
      </c>
      <c r="J144" s="51" t="str">
        <f>IF(ISERROR(I144/E144), "", I144/E144)</f>
        <v/>
      </c>
    </row>
    <row r="145" spans="1:11" ht="26" x14ac:dyDescent="0.35">
      <c r="A145" s="65" t="s">
        <v>62</v>
      </c>
      <c r="B145" s="66"/>
      <c r="C145" s="225"/>
      <c r="D145" s="67"/>
      <c r="E145" s="68">
        <f>SUM(E136:E144)</f>
        <v>-279.89000000000033</v>
      </c>
      <c r="F145" s="239"/>
      <c r="G145" s="69"/>
      <c r="H145" s="68">
        <f>SUM(H136:H144)</f>
        <v>2923.68</v>
      </c>
      <c r="I145" s="58">
        <f t="shared" si="17"/>
        <v>3203.57</v>
      </c>
      <c r="J145" s="59">
        <f>IF((E145)=0,"",(I145/E145))</f>
        <v>-11.445817999928531</v>
      </c>
    </row>
    <row r="146" spans="1:11" x14ac:dyDescent="0.35">
      <c r="A146" s="70" t="s">
        <v>63</v>
      </c>
      <c r="B146" s="45"/>
      <c r="C146" s="245">
        <f>'Current (2025) Tariff'!D70</f>
        <v>4.4756</v>
      </c>
      <c r="D146" s="61">
        <f>B123</f>
        <v>500</v>
      </c>
      <c r="E146" s="47">
        <f>D146*C146</f>
        <v>2237.8000000000002</v>
      </c>
      <c r="F146" s="254">
        <f>'Proposed (2026) Tariff'!E64</f>
        <v>4.6211000000000002</v>
      </c>
      <c r="G146" s="62">
        <f>D146</f>
        <v>500</v>
      </c>
      <c r="H146" s="49">
        <f>G146*F146</f>
        <v>2310.5500000000002</v>
      </c>
      <c r="I146" s="50">
        <f t="shared" si="17"/>
        <v>72.75</v>
      </c>
      <c r="J146" s="51">
        <f>IF(ISERROR(I146/E146), "", I146/E146)</f>
        <v>3.2509607650370899E-2</v>
      </c>
      <c r="K146" s="71" t="str">
        <f>IF(ISERROR(ABS(J146)), "", IF(ABS(J146)&gt;=4%, "In the manager's summary, discuss the reasoning for the change in RTSR rates", ""))</f>
        <v/>
      </c>
    </row>
    <row r="147" spans="1:11" ht="25" x14ac:dyDescent="0.35">
      <c r="A147" s="72" t="s">
        <v>64</v>
      </c>
      <c r="B147" s="45"/>
      <c r="C147" s="245">
        <f>'Current (2025) Tariff'!D71</f>
        <v>3.2406000000000001</v>
      </c>
      <c r="D147" s="61">
        <f>B123</f>
        <v>500</v>
      </c>
      <c r="E147" s="47">
        <f>D147*C147</f>
        <v>1620.3000000000002</v>
      </c>
      <c r="F147" s="254">
        <f>'Proposed (2026) Tariff'!E66</f>
        <v>3.3435000000000001</v>
      </c>
      <c r="G147" s="62">
        <f>D147</f>
        <v>500</v>
      </c>
      <c r="H147" s="49">
        <f>G147*F147</f>
        <v>1671.75</v>
      </c>
      <c r="I147" s="50">
        <f t="shared" si="17"/>
        <v>51.449999999999818</v>
      </c>
      <c r="J147" s="51">
        <f>IF(ISERROR(I147/E147), "", I147/E147)</f>
        <v>3.1753379003888055E-2</v>
      </c>
      <c r="K147" s="71" t="str">
        <f>IF(ISERROR(ABS(J147)), "", IF(ABS(J147)&gt;=4%, "In the manager's summary, discuss the reasoning for the change in RTSR rates", ""))</f>
        <v/>
      </c>
    </row>
    <row r="148" spans="1:11" ht="26" x14ac:dyDescent="0.35">
      <c r="A148" s="65" t="s">
        <v>65</v>
      </c>
      <c r="B148" s="54"/>
      <c r="C148" s="225"/>
      <c r="D148" s="67"/>
      <c r="E148" s="68">
        <f>SUM(E145:E147)</f>
        <v>3578.21</v>
      </c>
      <c r="F148" s="239"/>
      <c r="G148" s="57"/>
      <c r="H148" s="68">
        <f>SUM(H145:H147)</f>
        <v>6905.98</v>
      </c>
      <c r="I148" s="58">
        <f t="shared" si="17"/>
        <v>3327.7699999999995</v>
      </c>
      <c r="J148" s="59">
        <f>IF((E148)=0,"",(I148/E148))</f>
        <v>0.93000969758622309</v>
      </c>
    </row>
    <row r="149" spans="1:11" ht="25" x14ac:dyDescent="0.35">
      <c r="A149" s="73" t="s">
        <v>66</v>
      </c>
      <c r="B149" s="45"/>
      <c r="C149" s="245">
        <f>'Current (2025) Tariff'!D75+'Current (2025) Tariff'!D76</f>
        <v>4.5000000000000005E-3</v>
      </c>
      <c r="D149" s="61">
        <f>B122*B124</f>
        <v>243652.5</v>
      </c>
      <c r="E149" s="74">
        <f t="shared" ref="E149:E151" si="21">D149*C149</f>
        <v>1096.4362500000002</v>
      </c>
      <c r="F149" s="253">
        <f>'Proposed (2026) Tariff'!E70+'Proposed (2026) Tariff'!E71</f>
        <v>4.5000000000000005E-3</v>
      </c>
      <c r="G149" s="62">
        <f>B122*B125</f>
        <v>243652.5</v>
      </c>
      <c r="H149" s="49">
        <f t="shared" ref="H149:H151" si="22">G149*F149</f>
        <v>1096.4362500000002</v>
      </c>
      <c r="I149" s="50">
        <f t="shared" si="17"/>
        <v>0</v>
      </c>
      <c r="J149" s="51">
        <f t="shared" ref="J149:J153" si="23">IF(ISERROR(I149/E149), "", I149/E149)</f>
        <v>0</v>
      </c>
    </row>
    <row r="150" spans="1:11" ht="25" x14ac:dyDescent="0.35">
      <c r="A150" s="73" t="s">
        <v>67</v>
      </c>
      <c r="B150" s="45"/>
      <c r="C150" s="245">
        <f>'Current (2025) Tariff'!D77</f>
        <v>1.5E-3</v>
      </c>
      <c r="D150" s="61">
        <f>B122*B124</f>
        <v>243652.5</v>
      </c>
      <c r="E150" s="74">
        <f t="shared" si="21"/>
        <v>365.47874999999999</v>
      </c>
      <c r="F150" s="253">
        <f>'Proposed (2026) Tariff'!E72</f>
        <v>1.5E-3</v>
      </c>
      <c r="G150" s="62">
        <f>B122*B125</f>
        <v>243652.5</v>
      </c>
      <c r="H150" s="49">
        <f t="shared" si="22"/>
        <v>365.47874999999999</v>
      </c>
      <c r="I150" s="50">
        <f t="shared" si="17"/>
        <v>0</v>
      </c>
      <c r="J150" s="51">
        <f t="shared" si="23"/>
        <v>0</v>
      </c>
    </row>
    <row r="151" spans="1:11" x14ac:dyDescent="0.35">
      <c r="A151" s="75" t="s">
        <v>68</v>
      </c>
      <c r="B151" s="45"/>
      <c r="C151" s="245">
        <f>'Current (2025) Tariff'!D78</f>
        <v>0.25</v>
      </c>
      <c r="D151" s="46">
        <v>1</v>
      </c>
      <c r="E151" s="74">
        <f t="shared" si="21"/>
        <v>0.25</v>
      </c>
      <c r="F151" s="252">
        <f>'Proposed (2026) Tariff'!E73</f>
        <v>0.25</v>
      </c>
      <c r="G151" s="48">
        <v>1</v>
      </c>
      <c r="H151" s="49">
        <f t="shared" si="22"/>
        <v>0.25</v>
      </c>
      <c r="I151" s="50">
        <f t="shared" si="17"/>
        <v>0</v>
      </c>
      <c r="J151" s="51">
        <f t="shared" si="23"/>
        <v>0</v>
      </c>
    </row>
    <row r="152" spans="1:11" ht="25" x14ac:dyDescent="0.35">
      <c r="A152" s="73" t="s">
        <v>69</v>
      </c>
      <c r="B152" s="45"/>
      <c r="C152" s="76"/>
      <c r="D152" s="61"/>
      <c r="E152" s="74"/>
      <c r="F152" s="78"/>
      <c r="G152" s="62"/>
      <c r="H152" s="49"/>
      <c r="I152" s="50"/>
      <c r="J152" s="51"/>
    </row>
    <row r="153" spans="1:11" ht="15" thickBot="1" x14ac:dyDescent="0.4">
      <c r="A153" s="75" t="s">
        <v>74</v>
      </c>
      <c r="B153" s="45"/>
      <c r="C153" s="245">
        <f>'Other Charges'!E28</f>
        <v>0.15959999999999999</v>
      </c>
      <c r="D153" s="77">
        <f>IF(AND(B122*12&gt;=150000),B122*B124,B122)</f>
        <v>243652.5</v>
      </c>
      <c r="E153" s="74">
        <f>D153*C153</f>
        <v>38886.938999999998</v>
      </c>
      <c r="F153" s="253">
        <f>C153</f>
        <v>0.15959999999999999</v>
      </c>
      <c r="G153" s="79">
        <f>IF(AND(B122*12&gt;=150000),B122*B125,B122)</f>
        <v>243652.5</v>
      </c>
      <c r="H153" s="49">
        <f>G153*F153</f>
        <v>38886.938999999998</v>
      </c>
      <c r="I153" s="50">
        <f>H153-E153</f>
        <v>0</v>
      </c>
      <c r="J153" s="51">
        <f t="shared" si="23"/>
        <v>0</v>
      </c>
    </row>
    <row r="154" spans="1:11" ht="15" hidden="1" thickBot="1" x14ac:dyDescent="0.4">
      <c r="A154" s="80"/>
      <c r="B154" s="81"/>
      <c r="C154" s="226"/>
      <c r="D154" s="82"/>
      <c r="E154" s="83"/>
      <c r="F154" s="226"/>
      <c r="G154" s="84"/>
      <c r="H154" s="83"/>
      <c r="I154" s="85"/>
      <c r="J154" s="86"/>
    </row>
    <row r="155" spans="1:11" hidden="1" x14ac:dyDescent="0.35">
      <c r="A155" s="87" t="s">
        <v>75</v>
      </c>
      <c r="B155" s="75"/>
      <c r="C155" s="227"/>
      <c r="D155" s="88"/>
      <c r="E155" s="89">
        <f>SUM(E149:E152,E148)</f>
        <v>5040.375</v>
      </c>
      <c r="F155" s="90"/>
      <c r="G155" s="90"/>
      <c r="H155" s="89">
        <f>SUM(H149:H152,H148)</f>
        <v>8368.1450000000004</v>
      </c>
      <c r="I155" s="91">
        <f>H155-E155</f>
        <v>3327.7700000000004</v>
      </c>
      <c r="J155" s="92">
        <f>IF((E155)=0,"",(I155/E155))</f>
        <v>0.66022270168390262</v>
      </c>
    </row>
    <row r="156" spans="1:11" hidden="1" x14ac:dyDescent="0.35">
      <c r="A156" s="93" t="s">
        <v>76</v>
      </c>
      <c r="B156" s="75"/>
      <c r="C156" s="227">
        <v>0.13</v>
      </c>
      <c r="D156" s="94"/>
      <c r="E156" s="95">
        <f>E155*C156</f>
        <v>655.24874999999997</v>
      </c>
      <c r="F156" s="96">
        <v>0.13</v>
      </c>
      <c r="G156" s="46"/>
      <c r="H156" s="95">
        <f>H155*F156</f>
        <v>1087.8588500000001</v>
      </c>
      <c r="I156" s="50">
        <f>H156-E156</f>
        <v>432.6101000000001</v>
      </c>
      <c r="J156" s="97">
        <f>IF((E156)=0,"",(I156/E156))</f>
        <v>0.66022270168390262</v>
      </c>
    </row>
    <row r="157" spans="1:11" hidden="1" x14ac:dyDescent="0.35">
      <c r="A157" s="93" t="s">
        <v>77</v>
      </c>
      <c r="B157"/>
      <c r="C157" s="228">
        <v>0.11700000000000001</v>
      </c>
      <c r="D157" s="94"/>
      <c r="E157" s="95">
        <f>IF(OR(ISNUMBER(SEARCH("[DGEN]", B120))=TRUE, ISNUMBER(SEARCH("STREET LIGHT", B120))=TRUE), 0, IF(AND(B122=0, B123=0),0, IF(AND(B123=0, B122*12&gt;250000), 0, IF(AND(B122=0, B123&gt;=50), 0, IF(B122*12&lt;=250000, C157*E155*-1, IF(B123&lt;50, C157*E155*-1, 0))))))</f>
        <v>0</v>
      </c>
      <c r="F157" s="228">
        <v>0.11700000000000001</v>
      </c>
      <c r="G157" s="46"/>
      <c r="H157" s="95">
        <f>IF(OR(ISNUMBER(SEARCH("[DGEN]", B120))=TRUE, ISNUMBER(SEARCH("STREET LIGHT", B120))=TRUE), 0, IF(AND(B122=0, B123=0),0, IF(AND(B123=0, B122*12&gt;250000), 0, IF(AND(B122=0, B123&gt;=50), 0, IF(B122*12&lt;=250000, F157*H155*-1, IF(B123&lt;50, F157*H155*-1, 0))))))</f>
        <v>0</v>
      </c>
      <c r="I157" s="50">
        <f>H157-E157</f>
        <v>0</v>
      </c>
      <c r="J157" s="97"/>
    </row>
    <row r="158" spans="1:11" ht="15" hidden="1" thickBot="1" x14ac:dyDescent="0.4">
      <c r="A158" s="321" t="s">
        <v>78</v>
      </c>
      <c r="B158" s="321"/>
      <c r="C158" s="229"/>
      <c r="D158" s="98"/>
      <c r="E158" s="99">
        <f>E155+E156+E157</f>
        <v>5695.6237499999997</v>
      </c>
      <c r="F158" s="240"/>
      <c r="G158" s="100"/>
      <c r="H158" s="101">
        <f>H155+H156+H157</f>
        <v>9456.003850000001</v>
      </c>
      <c r="I158" s="102">
        <f>H158-E158</f>
        <v>3760.3801000000012</v>
      </c>
      <c r="J158" s="103">
        <f>IF((E158)=0,"",(I158/E158))</f>
        <v>0.66022270168390274</v>
      </c>
    </row>
    <row r="159" spans="1:11" ht="15" hidden="1" thickBot="1" x14ac:dyDescent="0.4">
      <c r="A159" s="80"/>
      <c r="B159" s="81"/>
      <c r="C159" s="226"/>
      <c r="D159" s="82"/>
      <c r="E159" s="83"/>
      <c r="F159" s="226"/>
      <c r="G159" s="84"/>
      <c r="H159" s="83"/>
      <c r="I159" s="85"/>
      <c r="J159" s="86"/>
    </row>
    <row r="160" spans="1:11" hidden="1" x14ac:dyDescent="0.35">
      <c r="A160" s="87" t="s">
        <v>79</v>
      </c>
      <c r="B160" s="75"/>
      <c r="C160" s="227"/>
      <c r="D160" s="88"/>
      <c r="E160" s="89" t="e">
        <f>SUM(#REF!,E149:E152,E148)</f>
        <v>#REF!</v>
      </c>
      <c r="F160" s="90"/>
      <c r="G160" s="90"/>
      <c r="H160" s="89" t="e">
        <f>SUM(#REF!,H149:H152,H148)</f>
        <v>#REF!</v>
      </c>
      <c r="I160" s="91" t="e">
        <f>H160-E160</f>
        <v>#REF!</v>
      </c>
      <c r="J160" s="92" t="e">
        <f>IF((E160)=0,"",(I160/E160))</f>
        <v>#REF!</v>
      </c>
    </row>
    <row r="161" spans="1:11" hidden="1" x14ac:dyDescent="0.35">
      <c r="A161" s="93" t="s">
        <v>76</v>
      </c>
      <c r="B161" s="75"/>
      <c r="C161" s="227">
        <v>0.13</v>
      </c>
      <c r="D161" s="88"/>
      <c r="E161" s="95" t="e">
        <f>E160*C161</f>
        <v>#REF!</v>
      </c>
      <c r="F161" s="227">
        <v>0.13</v>
      </c>
      <c r="G161" s="96"/>
      <c r="H161" s="95" t="e">
        <f>H160*F161</f>
        <v>#REF!</v>
      </c>
      <c r="I161" s="50" t="e">
        <f>H161-E161</f>
        <v>#REF!</v>
      </c>
      <c r="J161" s="97" t="e">
        <f>IF((E161)=0,"",(I161/E161))</f>
        <v>#REF!</v>
      </c>
    </row>
    <row r="162" spans="1:11" hidden="1" x14ac:dyDescent="0.35">
      <c r="A162" s="93" t="s">
        <v>77</v>
      </c>
      <c r="B162"/>
      <c r="C162" s="228">
        <v>0.11700000000000001</v>
      </c>
      <c r="D162" s="88"/>
      <c r="E162" s="95">
        <f>IF(OR(ISNUMBER(SEARCH("[DGEN]", B120))=TRUE, ISNUMBER(SEARCH("STREET LIGHT", B120))=TRUE), 0, IF(AND(B122=0, B123=0),0, IF(AND(B123=0, B122*12&gt;250000), 0, IF(AND(B122=0, B123&gt;=50), 0, IF(B122*12&lt;=250000, C162*E160*-1, IF(B123&lt;50, C162*E160*-1, 0))))))</f>
        <v>0</v>
      </c>
      <c r="F162" s="228">
        <v>0.11700000000000001</v>
      </c>
      <c r="G162" s="96"/>
      <c r="H162" s="95">
        <f>IF(OR(ISNUMBER(SEARCH("[DGEN]", B120))=TRUE, ISNUMBER(SEARCH("STREET LIGHT", B120))=TRUE), 0, IF(AND(B122=0, B123=0),0, IF(AND(B123=0, B122*12&gt;250000), 0, IF(AND(B122=0, B123&gt;=50), 0, IF(B122*12&lt;=250000, F162*H160*-1, IF(B123&lt;50, F162*H160*-1, 0))))))</f>
        <v>0</v>
      </c>
      <c r="I162" s="50"/>
      <c r="J162" s="97"/>
    </row>
    <row r="163" spans="1:11" ht="15" hidden="1" thickBot="1" x14ac:dyDescent="0.4">
      <c r="A163" s="321" t="s">
        <v>79</v>
      </c>
      <c r="B163" s="321"/>
      <c r="C163" s="230"/>
      <c r="D163" s="104"/>
      <c r="E163" s="99" t="e">
        <f>SUM(E160,E161)</f>
        <v>#REF!</v>
      </c>
      <c r="F163" s="241"/>
      <c r="G163" s="105"/>
      <c r="H163" s="99" t="e">
        <f>SUM(H160,H161)</f>
        <v>#REF!</v>
      </c>
      <c r="I163" s="106" t="e">
        <f>H163-E163</f>
        <v>#REF!</v>
      </c>
      <c r="J163" s="107" t="e">
        <f>IF((E163)=0,"",(I163/E163))</f>
        <v>#REF!</v>
      </c>
    </row>
    <row r="164" spans="1:11" ht="15" thickBot="1" x14ac:dyDescent="0.4">
      <c r="A164" s="80"/>
      <c r="B164" s="81"/>
      <c r="C164" s="231"/>
      <c r="D164" s="108"/>
      <c r="E164" s="109"/>
      <c r="F164" s="231"/>
      <c r="G164" s="82"/>
      <c r="H164" s="109"/>
      <c r="I164" s="110"/>
      <c r="J164" s="86"/>
    </row>
    <row r="165" spans="1:11" x14ac:dyDescent="0.35">
      <c r="A165" s="87" t="s">
        <v>80</v>
      </c>
      <c r="B165" s="75"/>
      <c r="C165" s="227"/>
      <c r="D165" s="88"/>
      <c r="E165" s="89">
        <f>SUM(E153,E149:E152,E148)</f>
        <v>43927.313999999998</v>
      </c>
      <c r="F165" s="90"/>
      <c r="G165" s="90"/>
      <c r="H165" s="89">
        <f>SUM(H153,H149:H152,H148)</f>
        <v>47255.084000000003</v>
      </c>
      <c r="I165" s="91">
        <f>H165-E165</f>
        <v>3327.7700000000041</v>
      </c>
      <c r="J165" s="92">
        <f>IF((E165)=0,"",(I165/E165))</f>
        <v>7.5756282298526254E-2</v>
      </c>
    </row>
    <row r="166" spans="1:11" x14ac:dyDescent="0.35">
      <c r="A166" s="93" t="s">
        <v>76</v>
      </c>
      <c r="B166" s="75"/>
      <c r="C166" s="227">
        <v>0.13</v>
      </c>
      <c r="D166" s="88"/>
      <c r="E166" s="95">
        <f>E165*C166</f>
        <v>5710.5508200000004</v>
      </c>
      <c r="F166" s="227">
        <v>0.13</v>
      </c>
      <c r="G166" s="96"/>
      <c r="H166" s="95">
        <f>H165*F166</f>
        <v>6143.1609200000003</v>
      </c>
      <c r="I166" s="50">
        <f>H166-E166</f>
        <v>432.61009999999987</v>
      </c>
      <c r="J166" s="97">
        <f>IF((E166)=0,"",(I166/E166))</f>
        <v>7.5756282298526129E-2</v>
      </c>
    </row>
    <row r="167" spans="1:11" x14ac:dyDescent="0.35">
      <c r="A167" s="93" t="s">
        <v>77</v>
      </c>
      <c r="B167"/>
      <c r="C167" s="228"/>
      <c r="D167" s="88"/>
      <c r="E167" s="95"/>
      <c r="F167" s="228"/>
      <c r="G167" s="96"/>
      <c r="H167" s="95">
        <f>IF(OR(ISNUMBER(SEARCH("[DGEN]", B120))=TRUE, ISNUMBER(SEARCH("STREET LIGHT", B120))=TRUE), 0, IF(AND(B122=0, B123=0),0, IF(AND(B123=0, B122*12&gt;250000), 0, IF(AND(B122=0, B123&gt;=50), 0, IF(B122*12&lt;=250000, F167*H165*-1, IF(B123&lt;50, F167*H165*-1, 0))))))</f>
        <v>0</v>
      </c>
      <c r="I167" s="50"/>
      <c r="J167" s="97"/>
    </row>
    <row r="168" spans="1:11" ht="15" thickBot="1" x14ac:dyDescent="0.4">
      <c r="A168" s="321" t="s">
        <v>80</v>
      </c>
      <c r="B168" s="321"/>
      <c r="C168" s="230"/>
      <c r="D168" s="104"/>
      <c r="E168" s="99">
        <f>SUM(E165,E166)</f>
        <v>49637.864820000003</v>
      </c>
      <c r="F168" s="241"/>
      <c r="G168" s="105"/>
      <c r="H168" s="99">
        <f>SUM(H165,H166)</f>
        <v>53398.244920000005</v>
      </c>
      <c r="I168" s="106">
        <f>H168-E168</f>
        <v>3760.3801000000021</v>
      </c>
      <c r="J168" s="107">
        <f>IF((E168)=0,"",(I168/E168))</f>
        <v>7.5756282298526184E-2</v>
      </c>
    </row>
    <row r="169" spans="1:11" ht="15" thickBot="1" x14ac:dyDescent="0.4">
      <c r="A169" s="80"/>
      <c r="B169" s="81"/>
      <c r="C169" s="232"/>
      <c r="D169" s="108"/>
      <c r="E169" s="111"/>
      <c r="F169" s="232"/>
      <c r="G169" s="82"/>
      <c r="H169" s="111"/>
      <c r="I169" s="110"/>
      <c r="J169" s="112"/>
    </row>
    <row r="172" spans="1:11" x14ac:dyDescent="0.35">
      <c r="A172" s="30" t="s">
        <v>30</v>
      </c>
      <c r="B172" s="310" t="str">
        <f>A18</f>
        <v>SEASONAL CUSTOMERS SERVICE CLASSIFICATION</v>
      </c>
      <c r="C172" s="310"/>
      <c r="D172" s="310"/>
      <c r="E172" s="310"/>
      <c r="F172" s="310"/>
      <c r="G172" s="310"/>
      <c r="H172" s="31" t="str">
        <f>IF(K18="DEMAND - INTERVAL","RTSR - INTERVAL METERED","")</f>
        <v/>
      </c>
    </row>
    <row r="173" spans="1:11" x14ac:dyDescent="0.35">
      <c r="A173" s="30" t="s">
        <v>31</v>
      </c>
      <c r="B173" s="311" t="str">
        <f>E18</f>
        <v>RPP</v>
      </c>
      <c r="C173" s="311"/>
      <c r="D173" s="311"/>
      <c r="E173" s="32"/>
      <c r="F173" s="235"/>
    </row>
    <row r="174" spans="1:11" ht="15.5" x14ac:dyDescent="0.35">
      <c r="A174" s="30" t="s">
        <v>32</v>
      </c>
      <c r="B174" s="33">
        <f>H18</f>
        <v>200</v>
      </c>
      <c r="C174" s="34" t="s">
        <v>33</v>
      </c>
      <c r="G174" s="35"/>
      <c r="H174" s="35"/>
      <c r="I174" s="35"/>
      <c r="J174" s="35"/>
      <c r="K174" s="35"/>
    </row>
    <row r="175" spans="1:11" ht="15.5" x14ac:dyDescent="0.35">
      <c r="A175" s="30" t="s">
        <v>34</v>
      </c>
      <c r="B175" s="33">
        <f>I18</f>
        <v>0</v>
      </c>
      <c r="C175" s="221" t="s">
        <v>35</v>
      </c>
      <c r="D175" s="36"/>
      <c r="E175" s="37"/>
      <c r="F175" s="37"/>
      <c r="G175" s="37"/>
    </row>
    <row r="176" spans="1:11" x14ac:dyDescent="0.35">
      <c r="A176" s="30" t="s">
        <v>36</v>
      </c>
      <c r="B176" s="38">
        <f>F18</f>
        <v>1.0829</v>
      </c>
    </row>
    <row r="177" spans="1:10" x14ac:dyDescent="0.35">
      <c r="A177" s="30" t="s">
        <v>37</v>
      </c>
      <c r="B177" s="38">
        <f>G18</f>
        <v>1.0829</v>
      </c>
    </row>
    <row r="179" spans="1:10" x14ac:dyDescent="0.35">
      <c r="B179" s="34"/>
      <c r="C179" s="312" t="s">
        <v>38</v>
      </c>
      <c r="D179" s="313"/>
      <c r="E179" s="314"/>
      <c r="F179" s="312" t="s">
        <v>39</v>
      </c>
      <c r="G179" s="313"/>
      <c r="H179" s="314"/>
      <c r="I179" s="312" t="s">
        <v>40</v>
      </c>
      <c r="J179" s="314"/>
    </row>
    <row r="180" spans="1:10" x14ac:dyDescent="0.35">
      <c r="B180" s="315"/>
      <c r="C180" s="39" t="s">
        <v>41</v>
      </c>
      <c r="D180" s="39" t="s">
        <v>42</v>
      </c>
      <c r="E180" s="40" t="s">
        <v>43</v>
      </c>
      <c r="F180" s="39" t="s">
        <v>41</v>
      </c>
      <c r="G180" s="41" t="s">
        <v>42</v>
      </c>
      <c r="H180" s="40" t="s">
        <v>43</v>
      </c>
      <c r="I180" s="317" t="s">
        <v>44</v>
      </c>
      <c r="J180" s="319" t="s">
        <v>45</v>
      </c>
    </row>
    <row r="181" spans="1:10" x14ac:dyDescent="0.35">
      <c r="B181" s="316"/>
      <c r="C181" s="42" t="s">
        <v>46</v>
      </c>
      <c r="D181" s="42"/>
      <c r="E181" s="43" t="s">
        <v>46</v>
      </c>
      <c r="F181" s="42" t="s">
        <v>46</v>
      </c>
      <c r="G181" s="43"/>
      <c r="H181" s="43" t="s">
        <v>46</v>
      </c>
      <c r="I181" s="318"/>
      <c r="J181" s="320"/>
    </row>
    <row r="182" spans="1:10" x14ac:dyDescent="0.35">
      <c r="A182" s="44" t="s">
        <v>47</v>
      </c>
      <c r="B182" s="45"/>
      <c r="C182" s="242">
        <f>'Current (2025) Tariff'!D94</f>
        <v>99.05</v>
      </c>
      <c r="D182" s="46">
        <v>1</v>
      </c>
      <c r="E182" s="47">
        <f>D182*C182</f>
        <v>99.05</v>
      </c>
      <c r="F182" s="251">
        <f>'Proposed (2026) Tariff'!E89</f>
        <v>105.13</v>
      </c>
      <c r="G182" s="48">
        <f>D182</f>
        <v>1</v>
      </c>
      <c r="H182" s="49">
        <f>G182*F182</f>
        <v>105.13</v>
      </c>
      <c r="I182" s="50">
        <f t="shared" ref="I182:I203" si="24">H182-E182</f>
        <v>6.0799999999999983</v>
      </c>
      <c r="J182" s="51">
        <f>IF(ISERROR(I182/E182), "", I182/E182)</f>
        <v>6.1383139828369494E-2</v>
      </c>
    </row>
    <row r="183" spans="1:10" x14ac:dyDescent="0.35">
      <c r="A183" s="44" t="s">
        <v>48</v>
      </c>
      <c r="B183" s="45"/>
      <c r="C183" s="245">
        <f>'Current (2025) Tariff'!D98</f>
        <v>4.5900000000000003E-2</v>
      </c>
      <c r="D183" s="137">
        <f>B174</f>
        <v>200</v>
      </c>
      <c r="E183" s="47">
        <f t="shared" ref="E183:E195" si="25">D183*C183</f>
        <v>9.1800000000000015</v>
      </c>
      <c r="F183" s="253">
        <f>'Proposed (2026) Tariff'!E91</f>
        <v>2.5000000000000001E-2</v>
      </c>
      <c r="G183" s="138">
        <f>D183</f>
        <v>200</v>
      </c>
      <c r="H183" s="49">
        <f>G183*F183</f>
        <v>5</v>
      </c>
      <c r="I183" s="50">
        <f t="shared" si="24"/>
        <v>-4.1800000000000015</v>
      </c>
      <c r="J183" s="51">
        <f t="shared" ref="J183:J193" si="26">IF(ISERROR(I183/E183), "", I183/E183)</f>
        <v>-0.45533769063180835</v>
      </c>
    </row>
    <row r="184" spans="1:10" x14ac:dyDescent="0.35">
      <c r="A184" s="44" t="s">
        <v>49</v>
      </c>
      <c r="B184" s="45"/>
      <c r="C184" s="76"/>
      <c r="D184" s="46">
        <f>IF($E175&gt;0, $E175, $E174)</f>
        <v>0</v>
      </c>
      <c r="E184" s="47">
        <v>0</v>
      </c>
      <c r="F184" s="78"/>
      <c r="G184" s="48">
        <f>IF($E175&gt;0, $E175, $E174)</f>
        <v>0</v>
      </c>
      <c r="H184" s="49">
        <v>0</v>
      </c>
      <c r="I184" s="50"/>
      <c r="J184" s="51"/>
    </row>
    <row r="185" spans="1:10" x14ac:dyDescent="0.35">
      <c r="A185" s="44" t="s">
        <v>50</v>
      </c>
      <c r="B185" s="45"/>
      <c r="C185" s="76"/>
      <c r="D185" s="46">
        <f>IF($E175&gt;0, $E175, $E174)</f>
        <v>0</v>
      </c>
      <c r="E185" s="47">
        <v>0</v>
      </c>
      <c r="F185" s="78"/>
      <c r="G185" s="52">
        <f>IF($E175&gt;0, $E175, $E174)</f>
        <v>0</v>
      </c>
      <c r="H185" s="49">
        <v>0</v>
      </c>
      <c r="I185" s="50">
        <f>H185-E185</f>
        <v>0</v>
      </c>
      <c r="J185" s="51" t="str">
        <f>IF(ISERROR(I185/E185), "", I185/E185)</f>
        <v/>
      </c>
    </row>
    <row r="186" spans="1:10" x14ac:dyDescent="0.35">
      <c r="A186" s="44" t="s">
        <v>51</v>
      </c>
      <c r="B186" s="45"/>
      <c r="C186" s="242">
        <f>+'Current (2025) Tariff'!D95+'Current (2025) Tariff'!D96</f>
        <v>-3.75</v>
      </c>
      <c r="D186" s="46">
        <v>1</v>
      </c>
      <c r="E186" s="47">
        <f t="shared" si="25"/>
        <v>-3.75</v>
      </c>
      <c r="F186" s="236">
        <f>'Proposed (2026) Tariff'!E92</f>
        <v>-1.05</v>
      </c>
      <c r="G186" s="48">
        <f>D186</f>
        <v>1</v>
      </c>
      <c r="H186" s="49">
        <f t="shared" ref="H186:H193" si="27">G186*F186</f>
        <v>-1.05</v>
      </c>
      <c r="I186" s="50">
        <f t="shared" si="24"/>
        <v>2.7</v>
      </c>
      <c r="J186" s="51">
        <f t="shared" si="26"/>
        <v>-0.72000000000000008</v>
      </c>
    </row>
    <row r="187" spans="1:10" x14ac:dyDescent="0.35">
      <c r="A187" s="44" t="s">
        <v>52</v>
      </c>
      <c r="B187" s="45"/>
      <c r="C187" s="76"/>
      <c r="D187" s="137">
        <f>B174</f>
        <v>200</v>
      </c>
      <c r="E187" s="47">
        <f t="shared" si="25"/>
        <v>0</v>
      </c>
      <c r="F187" s="78">
        <v>0</v>
      </c>
      <c r="G187" s="138">
        <f>B174</f>
        <v>200</v>
      </c>
      <c r="H187" s="49">
        <f t="shared" si="27"/>
        <v>0</v>
      </c>
      <c r="I187" s="50">
        <f t="shared" si="24"/>
        <v>0</v>
      </c>
      <c r="J187" s="51" t="str">
        <f t="shared" si="26"/>
        <v/>
      </c>
    </row>
    <row r="188" spans="1:10" x14ac:dyDescent="0.35">
      <c r="A188" s="53" t="s">
        <v>53</v>
      </c>
      <c r="B188" s="54"/>
      <c r="C188" s="223"/>
      <c r="D188" s="55"/>
      <c r="E188" s="56">
        <f>SUM(E182:E187)</f>
        <v>104.48</v>
      </c>
      <c r="F188" s="237"/>
      <c r="G188" s="57"/>
      <c r="H188" s="56">
        <f>SUM(H182:H187)</f>
        <v>109.08</v>
      </c>
      <c r="I188" s="58">
        <f t="shared" si="24"/>
        <v>4.5999999999999943</v>
      </c>
      <c r="J188" s="59">
        <f>IF((E188)=0,"",(I188/E188))</f>
        <v>4.4027565084226589E-2</v>
      </c>
    </row>
    <row r="189" spans="1:10" x14ac:dyDescent="0.35">
      <c r="A189" s="60" t="s">
        <v>54</v>
      </c>
      <c r="B189" s="45"/>
      <c r="C189" s="245">
        <f>'Other Charges'!E26</f>
        <v>9.9039999999999989E-2</v>
      </c>
      <c r="D189" s="61">
        <f>B174*(B176-1)</f>
        <v>16.579999999999995</v>
      </c>
      <c r="E189" s="47">
        <f>D189*C189</f>
        <v>1.6420831999999994</v>
      </c>
      <c r="F189" s="253">
        <f>'Other Charges'!E26</f>
        <v>9.9039999999999989E-2</v>
      </c>
      <c r="G189" s="62">
        <f>IF(F189=0, 0, B174*B177-B174)</f>
        <v>16.579999999999984</v>
      </c>
      <c r="H189" s="49">
        <f>G189*F189</f>
        <v>1.6420831999999983</v>
      </c>
      <c r="I189" s="50">
        <f>H189-E189</f>
        <v>0</v>
      </c>
      <c r="J189" s="51">
        <f>IF(ISERROR(I189/E189), "", I189/E189)</f>
        <v>0</v>
      </c>
    </row>
    <row r="190" spans="1:10" ht="25" x14ac:dyDescent="0.35">
      <c r="A190" s="60" t="s">
        <v>55</v>
      </c>
      <c r="B190" s="45"/>
      <c r="C190" s="245">
        <f>'Current (2025) Tariff'!D100</f>
        <v>-4.0000000000000002E-4</v>
      </c>
      <c r="D190" s="63">
        <f>B174</f>
        <v>200</v>
      </c>
      <c r="E190" s="47">
        <f t="shared" si="25"/>
        <v>-0.08</v>
      </c>
      <c r="F190" s="253">
        <f>'Proposed (2026) Tariff'!E94</f>
        <v>0</v>
      </c>
      <c r="G190" s="64">
        <f>B174</f>
        <v>200</v>
      </c>
      <c r="H190" s="49">
        <f t="shared" si="27"/>
        <v>0</v>
      </c>
      <c r="I190" s="50">
        <f t="shared" si="24"/>
        <v>0.08</v>
      </c>
      <c r="J190" s="51">
        <f t="shared" si="26"/>
        <v>-1</v>
      </c>
    </row>
    <row r="191" spans="1:10" x14ac:dyDescent="0.35">
      <c r="A191" s="60" t="s">
        <v>56</v>
      </c>
      <c r="B191" s="45"/>
      <c r="C191" s="245">
        <f>'Current (2025) Tariff'!D99</f>
        <v>2.0000000000000001E-4</v>
      </c>
      <c r="D191" s="63">
        <f>B174</f>
        <v>200</v>
      </c>
      <c r="E191" s="47">
        <f>D191*C191</f>
        <v>0.04</v>
      </c>
      <c r="F191" s="253">
        <f>'Proposed (2026) Tariff'!E93</f>
        <v>0</v>
      </c>
      <c r="G191" s="64">
        <f>B174</f>
        <v>200</v>
      </c>
      <c r="H191" s="49">
        <f>G191*F191</f>
        <v>0</v>
      </c>
      <c r="I191" s="50">
        <f t="shared" si="24"/>
        <v>-0.04</v>
      </c>
      <c r="J191" s="51">
        <f t="shared" si="26"/>
        <v>-1</v>
      </c>
    </row>
    <row r="192" spans="1:10" x14ac:dyDescent="0.35">
      <c r="A192" s="60" t="s">
        <v>57</v>
      </c>
      <c r="B192" s="45"/>
      <c r="C192" s="76">
        <v>0</v>
      </c>
      <c r="D192" s="63">
        <f>B174</f>
        <v>200</v>
      </c>
      <c r="E192" s="47">
        <f>D192*C192</f>
        <v>0</v>
      </c>
      <c r="F192" s="78">
        <v>0</v>
      </c>
      <c r="G192" s="64">
        <f>B174</f>
        <v>200</v>
      </c>
      <c r="H192" s="49">
        <f t="shared" si="27"/>
        <v>0</v>
      </c>
      <c r="I192" s="50">
        <f t="shared" si="24"/>
        <v>0</v>
      </c>
      <c r="J192" s="51" t="str">
        <f t="shared" si="26"/>
        <v/>
      </c>
    </row>
    <row r="193" spans="1:11" x14ac:dyDescent="0.35">
      <c r="A193" s="44" t="s">
        <v>58</v>
      </c>
      <c r="B193" s="45"/>
      <c r="C193" s="76">
        <v>0</v>
      </c>
      <c r="D193" s="63">
        <f>IF($E175&gt;0, $E175, $E174)</f>
        <v>0</v>
      </c>
      <c r="E193" s="47">
        <f t="shared" si="25"/>
        <v>0</v>
      </c>
      <c r="F193" s="78"/>
      <c r="G193" s="64">
        <f>IF($E175&gt;0, $E175, $E174)</f>
        <v>0</v>
      </c>
      <c r="H193" s="49">
        <f t="shared" si="27"/>
        <v>0</v>
      </c>
      <c r="I193" s="50">
        <f t="shared" si="24"/>
        <v>0</v>
      </c>
      <c r="J193" s="51" t="str">
        <f t="shared" si="26"/>
        <v/>
      </c>
    </row>
    <row r="194" spans="1:11" x14ac:dyDescent="0.35">
      <c r="A194" s="60" t="s">
        <v>59</v>
      </c>
      <c r="B194" s="45"/>
      <c r="C194" s="243">
        <f>'Current (2025) Tariff'!D97</f>
        <v>0.42</v>
      </c>
      <c r="D194" s="46">
        <v>1</v>
      </c>
      <c r="E194" s="47">
        <f>D194*C194</f>
        <v>0.42</v>
      </c>
      <c r="F194" s="252">
        <f>'Proposed (2026) Tariff'!E90</f>
        <v>0.42</v>
      </c>
      <c r="G194" s="52">
        <v>1</v>
      </c>
      <c r="H194" s="49">
        <f>G194*F194</f>
        <v>0.42</v>
      </c>
      <c r="I194" s="50">
        <f t="shared" si="24"/>
        <v>0</v>
      </c>
      <c r="J194" s="51">
        <f>IF(ISERROR(I194/E194), "", I194/E194)</f>
        <v>0</v>
      </c>
    </row>
    <row r="195" spans="1:11" x14ac:dyDescent="0.35">
      <c r="A195" s="44" t="s">
        <v>60</v>
      </c>
      <c r="B195" s="45"/>
      <c r="C195" s="222">
        <v>0</v>
      </c>
      <c r="D195" s="46">
        <v>1</v>
      </c>
      <c r="E195" s="47">
        <f t="shared" si="25"/>
        <v>0</v>
      </c>
      <c r="F195" s="236">
        <v>0</v>
      </c>
      <c r="G195" s="52">
        <v>1</v>
      </c>
      <c r="H195" s="49">
        <f>G195*F195</f>
        <v>0</v>
      </c>
      <c r="I195" s="50">
        <f>H195-E195</f>
        <v>0</v>
      </c>
      <c r="J195" s="51" t="str">
        <f>IF(ISERROR(I195/E195), "", I195/E195)</f>
        <v/>
      </c>
    </row>
    <row r="196" spans="1:11" x14ac:dyDescent="0.35">
      <c r="A196" s="44" t="s">
        <v>61</v>
      </c>
      <c r="B196" s="45"/>
      <c r="C196" s="76">
        <v>0</v>
      </c>
      <c r="D196" s="63">
        <f>IF($E175&gt;0, $E175, $E174)</f>
        <v>0</v>
      </c>
      <c r="E196" s="47">
        <f>D196*C196</f>
        <v>0</v>
      </c>
      <c r="F196" s="78">
        <v>0</v>
      </c>
      <c r="G196" s="64">
        <f>IF($E175&gt;0, $E175, $E174)</f>
        <v>0</v>
      </c>
      <c r="H196" s="49">
        <f>G196*F196</f>
        <v>0</v>
      </c>
      <c r="I196" s="50">
        <f t="shared" si="24"/>
        <v>0</v>
      </c>
      <c r="J196" s="51" t="str">
        <f>IF(ISERROR(I196/E196), "", I196/E196)</f>
        <v/>
      </c>
    </row>
    <row r="197" spans="1:11" ht="26" x14ac:dyDescent="0.35">
      <c r="A197" s="65" t="s">
        <v>62</v>
      </c>
      <c r="B197" s="66"/>
      <c r="C197" s="225"/>
      <c r="D197" s="67"/>
      <c r="E197" s="68">
        <f>SUM(E188:E196)</f>
        <v>106.50208320000002</v>
      </c>
      <c r="F197" s="239"/>
      <c r="G197" s="69"/>
      <c r="H197" s="68">
        <f>SUM(H188:H196)</f>
        <v>111.1420832</v>
      </c>
      <c r="I197" s="58">
        <f t="shared" si="24"/>
        <v>4.6399999999999864</v>
      </c>
      <c r="J197" s="59">
        <f>IF((E197)=0,"",(I197/E197))</f>
        <v>4.3567222917945569E-2</v>
      </c>
    </row>
    <row r="198" spans="1:11" x14ac:dyDescent="0.35">
      <c r="A198" s="70" t="s">
        <v>63</v>
      </c>
      <c r="B198" s="45"/>
      <c r="C198" s="245">
        <f>'Current (2025) Tariff'!D102</f>
        <v>1.17E-2</v>
      </c>
      <c r="D198" s="61">
        <f>B174*B176</f>
        <v>216.57999999999998</v>
      </c>
      <c r="E198" s="47">
        <f>D198*C198</f>
        <v>2.5339860000000001</v>
      </c>
      <c r="F198" s="254">
        <f>'Proposed (2026) Tariff'!E96</f>
        <v>1.21E-2</v>
      </c>
      <c r="G198" s="62">
        <f>D198</f>
        <v>216.57999999999998</v>
      </c>
      <c r="H198" s="49">
        <f>G198*F198</f>
        <v>2.6206179999999999</v>
      </c>
      <c r="I198" s="50">
        <f t="shared" si="24"/>
        <v>8.663199999999982E-2</v>
      </c>
      <c r="J198" s="51">
        <f>IF(ISERROR(I198/E198), "", I198/E198)</f>
        <v>3.4188034188034115E-2</v>
      </c>
      <c r="K198" s="71" t="str">
        <f>IF(ISERROR(ABS(J198)), "", IF(ABS(J198)&gt;=4%, "In the manager's summary, discuss the reasoning for the change in RTSR rates", ""))</f>
        <v/>
      </c>
    </row>
    <row r="199" spans="1:11" ht="25" x14ac:dyDescent="0.35">
      <c r="A199" s="72" t="s">
        <v>64</v>
      </c>
      <c r="B199" s="45"/>
      <c r="C199" s="245">
        <f>'Current (2025) Tariff'!D103</f>
        <v>8.5000000000000006E-3</v>
      </c>
      <c r="D199" s="61">
        <f>D198</f>
        <v>216.57999999999998</v>
      </c>
      <c r="E199" s="47">
        <f>D199*C199</f>
        <v>1.84093</v>
      </c>
      <c r="F199" s="254">
        <f>'Proposed (2026) Tariff'!E97</f>
        <v>8.8000000000000005E-3</v>
      </c>
      <c r="G199" s="62">
        <f>D199</f>
        <v>216.57999999999998</v>
      </c>
      <c r="H199" s="49">
        <f>G199*F199</f>
        <v>1.905904</v>
      </c>
      <c r="I199" s="50">
        <f t="shared" si="24"/>
        <v>6.4974000000000087E-2</v>
      </c>
      <c r="J199" s="51">
        <f>IF(ISERROR(I199/E199), "", I199/E199)</f>
        <v>3.5294117647058872E-2</v>
      </c>
      <c r="K199" s="71" t="str">
        <f>IF(ISERROR(ABS(J199)), "", IF(ABS(J199)&gt;=4%, "In the manager's summary, discuss the reasoning for the change in RTSR rates", ""))</f>
        <v/>
      </c>
    </row>
    <row r="200" spans="1:11" ht="26" x14ac:dyDescent="0.35">
      <c r="A200" s="65" t="s">
        <v>65</v>
      </c>
      <c r="B200" s="54"/>
      <c r="C200" s="225"/>
      <c r="D200" s="67"/>
      <c r="E200" s="68">
        <f>SUM(E197:E199)</f>
        <v>110.87699920000001</v>
      </c>
      <c r="F200" s="239"/>
      <c r="G200" s="57"/>
      <c r="H200" s="68">
        <f>SUM(H197:H199)</f>
        <v>115.6686052</v>
      </c>
      <c r="I200" s="58">
        <f t="shared" si="24"/>
        <v>4.7916059999999874</v>
      </c>
      <c r="J200" s="59">
        <f>IF((E200)=0,"",(I200/E200))</f>
        <v>4.3215509389435088E-2</v>
      </c>
    </row>
    <row r="201" spans="1:11" ht="25" x14ac:dyDescent="0.35">
      <c r="A201" s="73" t="s">
        <v>66</v>
      </c>
      <c r="B201" s="45"/>
      <c r="C201" s="245">
        <f>'Current (2025) Tariff'!D107+'Current (2025) Tariff'!D108</f>
        <v>4.5000000000000005E-3</v>
      </c>
      <c r="D201" s="61">
        <f>B174*B176</f>
        <v>216.57999999999998</v>
      </c>
      <c r="E201" s="74">
        <f t="shared" ref="E201:E207" si="28">D201*C201</f>
        <v>0.97461000000000009</v>
      </c>
      <c r="F201" s="253">
        <f>'Proposed (2026) Tariff'!E101+'Proposed (2026) Tariff'!E102</f>
        <v>4.5000000000000005E-3</v>
      </c>
      <c r="G201" s="62">
        <f>B174*B177</f>
        <v>216.57999999999998</v>
      </c>
      <c r="H201" s="49">
        <f t="shared" ref="H201:H207" si="29">G201*F201</f>
        <v>0.97461000000000009</v>
      </c>
      <c r="I201" s="50">
        <f t="shared" si="24"/>
        <v>0</v>
      </c>
      <c r="J201" s="51">
        <f t="shared" ref="J201:J207" si="30">IF(ISERROR(I201/E201), "", I201/E201)</f>
        <v>0</v>
      </c>
    </row>
    <row r="202" spans="1:11" ht="25" x14ac:dyDescent="0.35">
      <c r="A202" s="73" t="s">
        <v>67</v>
      </c>
      <c r="B202" s="45"/>
      <c r="C202" s="245">
        <f>'Current (2025) Tariff'!D109</f>
        <v>1.5E-3</v>
      </c>
      <c r="D202" s="61">
        <f>B174*B176</f>
        <v>216.57999999999998</v>
      </c>
      <c r="E202" s="74">
        <f t="shared" si="28"/>
        <v>0.32486999999999999</v>
      </c>
      <c r="F202" s="253">
        <f>+'Proposed (2026) Tariff'!E103</f>
        <v>1.5E-3</v>
      </c>
      <c r="G202" s="62">
        <f>B174*B177</f>
        <v>216.57999999999998</v>
      </c>
      <c r="H202" s="49">
        <f t="shared" si="29"/>
        <v>0.32486999999999999</v>
      </c>
      <c r="I202" s="50">
        <f t="shared" si="24"/>
        <v>0</v>
      </c>
      <c r="J202" s="51">
        <f t="shared" si="30"/>
        <v>0</v>
      </c>
    </row>
    <row r="203" spans="1:11" x14ac:dyDescent="0.35">
      <c r="A203" s="75" t="s">
        <v>68</v>
      </c>
      <c r="B203" s="45"/>
      <c r="C203" s="245">
        <f>'Current (2025) Tariff'!D110</f>
        <v>0.25</v>
      </c>
      <c r="D203" s="46">
        <v>1</v>
      </c>
      <c r="E203" s="74">
        <f t="shared" si="28"/>
        <v>0.25</v>
      </c>
      <c r="F203" s="252">
        <f>+'Proposed (2026) Tariff'!E104</f>
        <v>0.25</v>
      </c>
      <c r="G203" s="48">
        <v>1</v>
      </c>
      <c r="H203" s="49">
        <f t="shared" si="29"/>
        <v>0.25</v>
      </c>
      <c r="I203" s="50">
        <f t="shared" si="24"/>
        <v>0</v>
      </c>
      <c r="J203" s="51">
        <f t="shared" si="30"/>
        <v>0</v>
      </c>
    </row>
    <row r="204" spans="1:11" ht="25" x14ac:dyDescent="0.35">
      <c r="A204" s="73" t="s">
        <v>69</v>
      </c>
      <c r="B204" s="45"/>
      <c r="C204" s="76"/>
      <c r="D204" s="61"/>
      <c r="E204" s="74"/>
      <c r="F204" s="78"/>
      <c r="G204" s="62"/>
      <c r="H204" s="49"/>
      <c r="I204" s="50"/>
      <c r="J204" s="51"/>
    </row>
    <row r="205" spans="1:11" x14ac:dyDescent="0.35">
      <c r="A205" s="75" t="s">
        <v>70</v>
      </c>
      <c r="B205" s="45"/>
      <c r="C205" s="245">
        <f>'Other Charges'!D23</f>
        <v>7.5999999999999998E-2</v>
      </c>
      <c r="D205" s="77">
        <f>$B$174*'Other Charges'!E23</f>
        <v>128</v>
      </c>
      <c r="E205" s="74">
        <f t="shared" si="28"/>
        <v>9.7279999999999998</v>
      </c>
      <c r="F205" s="253">
        <f>'Other Charges'!D23</f>
        <v>7.5999999999999998E-2</v>
      </c>
      <c r="G205" s="79">
        <f>D205</f>
        <v>128</v>
      </c>
      <c r="H205" s="49">
        <f t="shared" si="29"/>
        <v>9.7279999999999998</v>
      </c>
      <c r="I205" s="50">
        <f>H205-E205</f>
        <v>0</v>
      </c>
      <c r="J205" s="51">
        <f t="shared" si="30"/>
        <v>0</v>
      </c>
    </row>
    <row r="206" spans="1:11" x14ac:dyDescent="0.35">
      <c r="A206" s="75" t="s">
        <v>71</v>
      </c>
      <c r="B206" s="45"/>
      <c r="C206" s="245">
        <f>'Other Charges'!D24</f>
        <v>0.122</v>
      </c>
      <c r="D206" s="77">
        <f>$B$174*'Other Charges'!E24</f>
        <v>36</v>
      </c>
      <c r="E206" s="74">
        <f t="shared" si="28"/>
        <v>4.3919999999999995</v>
      </c>
      <c r="F206" s="253">
        <f>'Other Charges'!D24</f>
        <v>0.122</v>
      </c>
      <c r="G206" s="79">
        <f>D206</f>
        <v>36</v>
      </c>
      <c r="H206" s="49">
        <f t="shared" si="29"/>
        <v>4.3919999999999995</v>
      </c>
      <c r="I206" s="50">
        <f>H206-E206</f>
        <v>0</v>
      </c>
      <c r="J206" s="51">
        <f t="shared" si="30"/>
        <v>0</v>
      </c>
    </row>
    <row r="207" spans="1:11" ht="15" thickBot="1" x14ac:dyDescent="0.4">
      <c r="A207" s="31" t="s">
        <v>72</v>
      </c>
      <c r="B207" s="45"/>
      <c r="C207" s="245">
        <f>'Other Charges'!D25</f>
        <v>0.158</v>
      </c>
      <c r="D207" s="77">
        <f>$B$174*'Other Charges'!E25</f>
        <v>36</v>
      </c>
      <c r="E207" s="74">
        <f t="shared" si="28"/>
        <v>5.6879999999999997</v>
      </c>
      <c r="F207" s="253">
        <f>'Other Charges'!D25</f>
        <v>0.158</v>
      </c>
      <c r="G207" s="79">
        <f>D207</f>
        <v>36</v>
      </c>
      <c r="H207" s="49">
        <f t="shared" si="29"/>
        <v>5.6879999999999997</v>
      </c>
      <c r="I207" s="50">
        <f>H207-E207</f>
        <v>0</v>
      </c>
      <c r="J207" s="51">
        <f t="shared" si="30"/>
        <v>0</v>
      </c>
    </row>
    <row r="208" spans="1:11" ht="15" thickBot="1" x14ac:dyDescent="0.4">
      <c r="A208" s="80"/>
      <c r="B208" s="81"/>
      <c r="C208" s="226"/>
      <c r="D208" s="82"/>
      <c r="E208" s="83"/>
      <c r="F208" s="226"/>
      <c r="G208" s="84"/>
      <c r="H208" s="83"/>
      <c r="I208" s="85"/>
      <c r="J208" s="86"/>
    </row>
    <row r="209" spans="1:10" x14ac:dyDescent="0.35">
      <c r="A209" s="87" t="s">
        <v>75</v>
      </c>
      <c r="B209" s="75"/>
      <c r="C209" s="227"/>
      <c r="D209" s="88"/>
      <c r="E209" s="89">
        <f>SUM(E201:E207,E200)</f>
        <v>132.23447920000001</v>
      </c>
      <c r="F209" s="90"/>
      <c r="G209" s="90"/>
      <c r="H209" s="89">
        <f>SUM(H201:H207,H200)</f>
        <v>137.02608520000001</v>
      </c>
      <c r="I209" s="91">
        <f>H209-E209</f>
        <v>4.7916060000000016</v>
      </c>
      <c r="J209" s="92">
        <f>IF((E209)=0,"",(I209/E209))</f>
        <v>3.6235677933535514E-2</v>
      </c>
    </row>
    <row r="210" spans="1:10" x14ac:dyDescent="0.35">
      <c r="A210" s="93" t="s">
        <v>76</v>
      </c>
      <c r="B210" s="75"/>
      <c r="C210" s="227">
        <v>0.13</v>
      </c>
      <c r="D210" s="94"/>
      <c r="E210" s="95">
        <f>E209*C210</f>
        <v>17.190482296000003</v>
      </c>
      <c r="F210" s="96">
        <v>0.13</v>
      </c>
      <c r="G210" s="46"/>
      <c r="H210" s="95">
        <f>H209*F210</f>
        <v>17.813391076000002</v>
      </c>
      <c r="I210" s="50">
        <f>H210-E210</f>
        <v>0.6229087799999995</v>
      </c>
      <c r="J210" s="97">
        <f>IF((E210)=0,"",(I210/E210))</f>
        <v>3.6235677933535472E-2</v>
      </c>
    </row>
    <row r="211" spans="1:10" x14ac:dyDescent="0.35">
      <c r="A211" s="93" t="s">
        <v>77</v>
      </c>
      <c r="B211"/>
      <c r="C211" s="247">
        <f>'Other Charges'!D31</f>
        <v>0.13100000000000001</v>
      </c>
      <c r="D211" s="94"/>
      <c r="E211" s="95">
        <f>IF(OR(ISNUMBER(SEARCH("[DGEN]", B172))=TRUE, ISNUMBER(SEARCH("STREET LIGHT", B172))=TRUE), 0, IF(AND(B174=0, B175=0),0, IF(AND(B175=0, B174*12&gt;250000), 0, IF(AND(B174=0, B175&gt;=50), 0, IF(B174*12&lt;=250000, C211*E209*-1, IF(B175&lt;50, C211*E209*-1, 0))))))</f>
        <v>-17.322716775200004</v>
      </c>
      <c r="F211" s="247">
        <f>'Other Charges'!D31</f>
        <v>0.13100000000000001</v>
      </c>
      <c r="G211" s="46"/>
      <c r="H211" s="95">
        <f>IF(OR(ISNUMBER(SEARCH("[DGEN]", B172))=TRUE, ISNUMBER(SEARCH("STREET LIGHT", B172))=TRUE), 0, IF(AND(B174=0, B175=0),0, IF(AND(B175=0, B174*12&gt;250000), 0, IF(AND(B174=0, B175&gt;=50), 0, IF(B174*12&lt;=250000, F211*H209*-1, IF(B175&lt;50, F211*H209*-1, 0))))))</f>
        <v>-17.950417161200001</v>
      </c>
      <c r="I211" s="50">
        <f>H211-E211</f>
        <v>-0.62770038599999722</v>
      </c>
      <c r="J211" s="97"/>
    </row>
    <row r="212" spans="1:10" x14ac:dyDescent="0.35">
      <c r="A212" s="321" t="s">
        <v>78</v>
      </c>
      <c r="B212" s="321"/>
      <c r="C212" s="229"/>
      <c r="D212" s="98"/>
      <c r="E212" s="99">
        <f>E209+E210+E211</f>
        <v>132.1022447208</v>
      </c>
      <c r="F212" s="240"/>
      <c r="G212" s="100"/>
      <c r="H212" s="101">
        <f>H209+H210+H211</f>
        <v>136.88905911480003</v>
      </c>
      <c r="I212" s="102">
        <f>H212-E212</f>
        <v>4.7868143940000323</v>
      </c>
      <c r="J212" s="103">
        <f>IF((E212)=0,"",(I212/E212))</f>
        <v>3.623567793353575E-2</v>
      </c>
    </row>
    <row r="213" spans="1:10" ht="15" hidden="1" thickBot="1" x14ac:dyDescent="0.4">
      <c r="A213" s="80"/>
      <c r="B213" s="81"/>
      <c r="C213" s="226"/>
      <c r="D213" s="82"/>
      <c r="E213" s="83"/>
      <c r="F213" s="226"/>
      <c r="G213" s="84"/>
      <c r="H213" s="83"/>
      <c r="I213" s="85"/>
      <c r="J213" s="86"/>
    </row>
    <row r="214" spans="1:10" hidden="1" x14ac:dyDescent="0.35">
      <c r="A214" s="87" t="s">
        <v>79</v>
      </c>
      <c r="B214" s="75"/>
      <c r="C214" s="227"/>
      <c r="D214" s="88"/>
      <c r="E214" s="89" t="e">
        <f>SUM(#REF!,E201:E204,E200)</f>
        <v>#REF!</v>
      </c>
      <c r="F214" s="90"/>
      <c r="G214" s="90"/>
      <c r="H214" s="89" t="e">
        <f>SUM(#REF!,H201:H204,H200)</f>
        <v>#REF!</v>
      </c>
      <c r="I214" s="91" t="e">
        <f>H214-E214</f>
        <v>#REF!</v>
      </c>
      <c r="J214" s="92" t="e">
        <f>IF((E214)=0,"",(I214/E214))</f>
        <v>#REF!</v>
      </c>
    </row>
    <row r="215" spans="1:10" hidden="1" x14ac:dyDescent="0.35">
      <c r="A215" s="93" t="s">
        <v>76</v>
      </c>
      <c r="B215" s="75"/>
      <c r="C215" s="227">
        <v>0.13</v>
      </c>
      <c r="D215" s="88"/>
      <c r="E215" s="95" t="e">
        <f>E214*C215</f>
        <v>#REF!</v>
      </c>
      <c r="F215" s="227">
        <v>0.13</v>
      </c>
      <c r="G215" s="96"/>
      <c r="H215" s="95" t="e">
        <f>H214*F215</f>
        <v>#REF!</v>
      </c>
      <c r="I215" s="50" t="e">
        <f>H215-E215</f>
        <v>#REF!</v>
      </c>
      <c r="J215" s="97" t="e">
        <f>IF((E215)=0,"",(I215/E215))</f>
        <v>#REF!</v>
      </c>
    </row>
    <row r="216" spans="1:10" hidden="1" x14ac:dyDescent="0.35">
      <c r="A216" s="93" t="s">
        <v>77</v>
      </c>
      <c r="B216"/>
      <c r="C216" s="228">
        <v>0.11700000000000001</v>
      </c>
      <c r="D216" s="88"/>
      <c r="E216" s="95" t="e">
        <f>IF(OR(ISNUMBER(SEARCH("[DGEN]", B172))=TRUE, ISNUMBER(SEARCH("STREET LIGHT", B172))=TRUE), 0, IF(AND(B174=0, B175=0),0, IF(AND(B175=0, B174*12&gt;250000), 0, IF(AND(B174=0, B175&gt;=50), 0, IF(B174*12&lt;=250000, C216*E214*-1, IF(B175&lt;50, C216*E214*-1, 0))))))</f>
        <v>#REF!</v>
      </c>
      <c r="F216" s="228">
        <v>0.11700000000000001</v>
      </c>
      <c r="G216" s="96"/>
      <c r="H216" s="95" t="e">
        <f>IF(OR(ISNUMBER(SEARCH("[DGEN]", B172))=TRUE, ISNUMBER(SEARCH("STREET LIGHT", B172))=TRUE), 0, IF(AND(B174=0, B175=0),0, IF(AND(B175=0, B174*12&gt;250000), 0, IF(AND(B174=0, B175&gt;=50), 0, IF(B174*12&lt;=250000, F216*H214*-1, IF(B175&lt;50, F216*H214*-1, 0))))))</f>
        <v>#REF!</v>
      </c>
      <c r="I216" s="50"/>
      <c r="J216" s="97"/>
    </row>
    <row r="217" spans="1:10" ht="15" hidden="1" thickBot="1" x14ac:dyDescent="0.4">
      <c r="A217" s="321" t="s">
        <v>79</v>
      </c>
      <c r="B217" s="321"/>
      <c r="C217" s="230"/>
      <c r="D217" s="104"/>
      <c r="E217" s="99" t="e">
        <f>SUM(E214,E215)</f>
        <v>#REF!</v>
      </c>
      <c r="F217" s="241"/>
      <c r="G217" s="105"/>
      <c r="H217" s="99" t="e">
        <f>SUM(H214,H215)</f>
        <v>#REF!</v>
      </c>
      <c r="I217" s="106" t="e">
        <f>H217-E217</f>
        <v>#REF!</v>
      </c>
      <c r="J217" s="107" t="e">
        <f>IF((E217)=0,"",(I217/E217))</f>
        <v>#REF!</v>
      </c>
    </row>
    <row r="218" spans="1:10" ht="15" hidden="1" thickBot="1" x14ac:dyDescent="0.4">
      <c r="A218" s="80"/>
      <c r="B218" s="81"/>
      <c r="C218" s="231"/>
      <c r="D218" s="108"/>
      <c r="E218" s="109"/>
      <c r="F218" s="231"/>
      <c r="G218" s="82"/>
      <c r="H218" s="109"/>
      <c r="I218" s="110"/>
      <c r="J218" s="86"/>
    </row>
    <row r="219" spans="1:10" hidden="1" x14ac:dyDescent="0.35">
      <c r="A219" s="87" t="s">
        <v>80</v>
      </c>
      <c r="B219" s="75"/>
      <c r="C219" s="227"/>
      <c r="D219" s="88"/>
      <c r="E219" s="89" t="e">
        <f>SUM(#REF!,E201:E204,E200)</f>
        <v>#REF!</v>
      </c>
      <c r="F219" s="90"/>
      <c r="G219" s="90"/>
      <c r="H219" s="89" t="e">
        <f>SUM(#REF!,H201:H204,H200)</f>
        <v>#REF!</v>
      </c>
      <c r="I219" s="91" t="e">
        <f>H219-E219</f>
        <v>#REF!</v>
      </c>
      <c r="J219" s="92" t="e">
        <f>IF((E219)=0,"",(I219/E219))</f>
        <v>#REF!</v>
      </c>
    </row>
    <row r="220" spans="1:10" hidden="1" x14ac:dyDescent="0.35">
      <c r="A220" s="93" t="s">
        <v>76</v>
      </c>
      <c r="B220" s="75"/>
      <c r="C220" s="227">
        <v>0.13</v>
      </c>
      <c r="D220" s="88"/>
      <c r="E220" s="95" t="e">
        <f>E219*C220</f>
        <v>#REF!</v>
      </c>
      <c r="F220" s="227">
        <v>0.13</v>
      </c>
      <c r="G220" s="96"/>
      <c r="H220" s="95" t="e">
        <f>H219*F220</f>
        <v>#REF!</v>
      </c>
      <c r="I220" s="50" t="e">
        <f>H220-E220</f>
        <v>#REF!</v>
      </c>
      <c r="J220" s="97" t="e">
        <f>IF((E220)=0,"",(I220/E220))</f>
        <v>#REF!</v>
      </c>
    </row>
    <row r="221" spans="1:10" hidden="1" x14ac:dyDescent="0.35">
      <c r="A221" s="93" t="s">
        <v>77</v>
      </c>
      <c r="B221"/>
      <c r="C221" s="228">
        <v>0.11700000000000001</v>
      </c>
      <c r="D221" s="88"/>
      <c r="E221" s="95" t="e">
        <f>IF(OR(ISNUMBER(SEARCH("[DGEN]", B172))=TRUE, ISNUMBER(SEARCH("STREET LIGHT", B172))=TRUE), 0, IF(AND(B174=0, B175=0),0, IF(AND(B175=0, B174*12&gt;250000), 0, IF(AND(B174=0, B175&gt;=50), 0, IF(B174*12&lt;=250000, C221*E219*-1, IF(B175&lt;50, C221*E219*-1, 0))))))</f>
        <v>#REF!</v>
      </c>
      <c r="F221" s="228">
        <v>0.11700000000000001</v>
      </c>
      <c r="G221" s="96"/>
      <c r="H221" s="95" t="e">
        <f>IF(OR(ISNUMBER(SEARCH("[DGEN]", B172))=TRUE, ISNUMBER(SEARCH("STREET LIGHT", B172))=TRUE), 0, IF(AND(B174=0, B175=0),0, IF(AND(B175=0, B174*12&gt;250000), 0, IF(AND(B174=0, B175&gt;=50), 0, IF(B174*12&lt;=250000, F221*H219*-1, IF(B175&lt;50, F221*H219*-1, 0))))))</f>
        <v>#REF!</v>
      </c>
      <c r="I221" s="50"/>
      <c r="J221" s="97"/>
    </row>
    <row r="222" spans="1:10" ht="15" hidden="1" thickBot="1" x14ac:dyDescent="0.4">
      <c r="A222" s="321" t="s">
        <v>80</v>
      </c>
      <c r="B222" s="321"/>
      <c r="C222" s="230"/>
      <c r="D222" s="104"/>
      <c r="E222" s="99" t="e">
        <f>SUM(E219,E220)</f>
        <v>#REF!</v>
      </c>
      <c r="F222" s="241"/>
      <c r="G222" s="105"/>
      <c r="H222" s="99" t="e">
        <f>SUM(H219,H220)</f>
        <v>#REF!</v>
      </c>
      <c r="I222" s="106" t="e">
        <f>H222-E222</f>
        <v>#REF!</v>
      </c>
      <c r="J222" s="107" t="e">
        <f>IF((E222)=0,"",(I222/E222))</f>
        <v>#REF!</v>
      </c>
    </row>
    <row r="223" spans="1:10" ht="15" hidden="1" thickBot="1" x14ac:dyDescent="0.4">
      <c r="A223" s="80"/>
      <c r="B223" s="81"/>
      <c r="C223" s="232"/>
      <c r="D223" s="108"/>
      <c r="E223" s="111"/>
      <c r="F223" s="232"/>
      <c r="G223" s="82"/>
      <c r="H223" s="111"/>
      <c r="I223" s="110"/>
      <c r="J223" s="112"/>
    </row>
    <row r="226" spans="1:11" x14ac:dyDescent="0.35">
      <c r="A226" s="30" t="s">
        <v>30</v>
      </c>
      <c r="B226" s="310" t="str">
        <f>A19</f>
        <v>STREET LIGHTING SERVICE CLASSIFICATION</v>
      </c>
      <c r="C226" s="310"/>
      <c r="D226" s="310"/>
      <c r="E226" s="310"/>
      <c r="F226" s="310"/>
      <c r="G226" s="310"/>
      <c r="H226" s="31" t="str">
        <f>IF(K19="DEMAND - INTERVAL","RTSR - INTERVAL METERED","")</f>
        <v/>
      </c>
    </row>
    <row r="227" spans="1:11" x14ac:dyDescent="0.35">
      <c r="A227" s="30" t="s">
        <v>31</v>
      </c>
      <c r="B227" s="311" t="str">
        <f>E19</f>
        <v>Non-RPP (Other)</v>
      </c>
      <c r="C227" s="311"/>
      <c r="D227" s="311"/>
      <c r="E227" s="32"/>
      <c r="F227" s="235"/>
    </row>
    <row r="228" spans="1:11" x14ac:dyDescent="0.35">
      <c r="A228" s="30" t="s">
        <v>318</v>
      </c>
      <c r="B228" s="257">
        <f>K19</f>
        <v>75</v>
      </c>
      <c r="C228" s="256"/>
      <c r="D228" s="256"/>
      <c r="E228" s="32"/>
      <c r="F228" s="235"/>
    </row>
    <row r="229" spans="1:11" ht="15.5" x14ac:dyDescent="0.35">
      <c r="A229" s="30" t="s">
        <v>32</v>
      </c>
      <c r="B229" s="33">
        <f>H19</f>
        <v>3000</v>
      </c>
      <c r="C229" s="34" t="s">
        <v>33</v>
      </c>
      <c r="G229" s="35"/>
      <c r="H229" s="35"/>
      <c r="I229" s="35"/>
      <c r="J229" s="35"/>
      <c r="K229" s="35"/>
    </row>
    <row r="230" spans="1:11" ht="15.5" x14ac:dyDescent="0.35">
      <c r="A230" s="30" t="s">
        <v>34</v>
      </c>
      <c r="B230" s="33">
        <f>I19</f>
        <v>10</v>
      </c>
      <c r="C230" s="221" t="s">
        <v>35</v>
      </c>
      <c r="D230" s="36"/>
      <c r="E230" s="37"/>
      <c r="F230" s="37"/>
      <c r="G230" s="37"/>
    </row>
    <row r="231" spans="1:11" x14ac:dyDescent="0.35">
      <c r="A231" s="30" t="s">
        <v>36</v>
      </c>
      <c r="B231" s="38">
        <f>F19</f>
        <v>1.0829</v>
      </c>
    </row>
    <row r="232" spans="1:11" x14ac:dyDescent="0.35">
      <c r="A232" s="30" t="s">
        <v>37</v>
      </c>
      <c r="B232" s="38">
        <f>G19</f>
        <v>1.0829</v>
      </c>
    </row>
    <row r="234" spans="1:11" x14ac:dyDescent="0.35">
      <c r="B234" s="34"/>
      <c r="C234" s="312" t="s">
        <v>38</v>
      </c>
      <c r="D234" s="313"/>
      <c r="E234" s="314"/>
      <c r="F234" s="312" t="s">
        <v>39</v>
      </c>
      <c r="G234" s="313"/>
      <c r="H234" s="314"/>
      <c r="I234" s="312" t="s">
        <v>40</v>
      </c>
      <c r="J234" s="314"/>
    </row>
    <row r="235" spans="1:11" x14ac:dyDescent="0.35">
      <c r="B235" s="315"/>
      <c r="C235" s="39" t="s">
        <v>41</v>
      </c>
      <c r="D235" s="39" t="s">
        <v>42</v>
      </c>
      <c r="E235" s="40" t="s">
        <v>43</v>
      </c>
      <c r="F235" s="39" t="s">
        <v>41</v>
      </c>
      <c r="G235" s="41" t="s">
        <v>42</v>
      </c>
      <c r="H235" s="40" t="s">
        <v>43</v>
      </c>
      <c r="I235" s="317" t="s">
        <v>44</v>
      </c>
      <c r="J235" s="319" t="s">
        <v>45</v>
      </c>
    </row>
    <row r="236" spans="1:11" x14ac:dyDescent="0.35">
      <c r="B236" s="316"/>
      <c r="C236" s="42" t="s">
        <v>46</v>
      </c>
      <c r="D236" s="42"/>
      <c r="E236" s="43" t="s">
        <v>46</v>
      </c>
      <c r="F236" s="42" t="s">
        <v>46</v>
      </c>
      <c r="G236" s="43"/>
      <c r="H236" s="43" t="s">
        <v>46</v>
      </c>
      <c r="I236" s="318"/>
      <c r="J236" s="320"/>
    </row>
    <row r="237" spans="1:11" x14ac:dyDescent="0.35">
      <c r="A237" s="44" t="s">
        <v>47</v>
      </c>
      <c r="B237" s="45"/>
      <c r="C237" s="242">
        <f>'Current (2025) Tariff'!D126</f>
        <v>2.2400000000000002</v>
      </c>
      <c r="D237" s="258">
        <f>B228</f>
        <v>75</v>
      </c>
      <c r="E237" s="47">
        <f>D237*C237</f>
        <v>168.00000000000003</v>
      </c>
      <c r="F237" s="251">
        <f>'Proposed (2026) Tariff'!E120</f>
        <v>2.29</v>
      </c>
      <c r="G237" s="259">
        <f>B228</f>
        <v>75</v>
      </c>
      <c r="H237" s="49">
        <f>G237*F237</f>
        <v>171.75</v>
      </c>
      <c r="I237" s="50">
        <f t="shared" ref="I237:I258" si="31">H237-E237</f>
        <v>3.7499999999999716</v>
      </c>
      <c r="J237" s="51">
        <f>IF(ISERROR(I237/E237), "", I237/E237)</f>
        <v>2.2321428571428398E-2</v>
      </c>
    </row>
    <row r="238" spans="1:11" x14ac:dyDescent="0.35">
      <c r="A238" s="44" t="s">
        <v>48</v>
      </c>
      <c r="B238" s="45"/>
      <c r="C238" s="245">
        <f>'Current (2025) Tariff'!D127</f>
        <v>0.36180000000000001</v>
      </c>
      <c r="D238" s="137">
        <f>B229</f>
        <v>3000</v>
      </c>
      <c r="E238" s="47">
        <f t="shared" ref="E238:E250" si="32">D238*C238</f>
        <v>1085.4000000000001</v>
      </c>
      <c r="F238" s="253">
        <f>'Proposed (2026) Tariff'!E121</f>
        <v>0.3695</v>
      </c>
      <c r="G238" s="138">
        <f>B229</f>
        <v>3000</v>
      </c>
      <c r="H238" s="49">
        <f>G238*F238</f>
        <v>1108.5</v>
      </c>
      <c r="I238" s="50">
        <f t="shared" si="31"/>
        <v>23.099999999999909</v>
      </c>
      <c r="J238" s="51">
        <f t="shared" ref="J238:J248" si="33">IF(ISERROR(I238/E238), "", I238/E238)</f>
        <v>2.1282476506357017E-2</v>
      </c>
    </row>
    <row r="239" spans="1:11" x14ac:dyDescent="0.35">
      <c r="A239" s="44" t="s">
        <v>49</v>
      </c>
      <c r="B239" s="45"/>
      <c r="C239" s="76"/>
      <c r="D239" s="46">
        <f>IF($E230&gt;0, $E230, $E229)</f>
        <v>0</v>
      </c>
      <c r="E239" s="47">
        <v>0</v>
      </c>
      <c r="F239" s="78"/>
      <c r="G239" s="48">
        <f>IF($E230&gt;0, $E230, $E229)</f>
        <v>0</v>
      </c>
      <c r="H239" s="49">
        <v>0</v>
      </c>
      <c r="I239" s="50"/>
      <c r="J239" s="51"/>
    </row>
    <row r="240" spans="1:11" x14ac:dyDescent="0.35">
      <c r="A240" s="44" t="s">
        <v>50</v>
      </c>
      <c r="B240" s="45"/>
      <c r="C240" s="76"/>
      <c r="D240" s="46">
        <f>IF($E230&gt;0, $E230, $E229)</f>
        <v>0</v>
      </c>
      <c r="E240" s="47">
        <v>0</v>
      </c>
      <c r="F240" s="78"/>
      <c r="G240" s="52">
        <f>IF($E230&gt;0, $E230, $E229)</f>
        <v>0</v>
      </c>
      <c r="H240" s="49">
        <v>0</v>
      </c>
      <c r="I240" s="50">
        <f>H240-E240</f>
        <v>0</v>
      </c>
      <c r="J240" s="51" t="str">
        <f>IF(ISERROR(I240/E240), "", I240/E240)</f>
        <v/>
      </c>
    </row>
    <row r="241" spans="1:11" x14ac:dyDescent="0.35">
      <c r="A241" s="44" t="s">
        <v>51</v>
      </c>
      <c r="B241" s="45"/>
      <c r="C241" s="222"/>
      <c r="D241" s="258">
        <f>B228</f>
        <v>75</v>
      </c>
      <c r="E241" s="47">
        <f t="shared" si="32"/>
        <v>0</v>
      </c>
      <c r="F241" s="236"/>
      <c r="G241" s="259">
        <f>B228</f>
        <v>75</v>
      </c>
      <c r="H241" s="49">
        <f t="shared" ref="H241:H248" si="34">G241*F241</f>
        <v>0</v>
      </c>
      <c r="I241" s="50">
        <f t="shared" si="31"/>
        <v>0</v>
      </c>
      <c r="J241" s="51" t="str">
        <f t="shared" si="33"/>
        <v/>
      </c>
    </row>
    <row r="242" spans="1:11" x14ac:dyDescent="0.35">
      <c r="A242" s="44" t="s">
        <v>52</v>
      </c>
      <c r="B242" s="45"/>
      <c r="C242" s="245">
        <f>'Current (2025) Tariff'!D129+'Current (2025) Tariff'!D131</f>
        <v>-1.5799999999999998E-2</v>
      </c>
      <c r="D242" s="137">
        <f>B229</f>
        <v>3000</v>
      </c>
      <c r="E242" s="47">
        <f t="shared" si="32"/>
        <v>-47.399999999999991</v>
      </c>
      <c r="F242" s="78">
        <f>'Proposed (2026) Tariff'!E122</f>
        <v>-4.4999999999999997E-3</v>
      </c>
      <c r="G242" s="138">
        <f>B229</f>
        <v>3000</v>
      </c>
      <c r="H242" s="49">
        <f t="shared" si="34"/>
        <v>-13.499999999999998</v>
      </c>
      <c r="I242" s="50">
        <f t="shared" si="31"/>
        <v>33.899999999999991</v>
      </c>
      <c r="J242" s="51">
        <f t="shared" si="33"/>
        <v>-0.71518987341772144</v>
      </c>
    </row>
    <row r="243" spans="1:11" x14ac:dyDescent="0.35">
      <c r="A243" s="53" t="s">
        <v>53</v>
      </c>
      <c r="B243" s="54"/>
      <c r="C243" s="223"/>
      <c r="D243" s="55"/>
      <c r="E243" s="56">
        <f>SUM(E237:E242)</f>
        <v>1206</v>
      </c>
      <c r="F243" s="237"/>
      <c r="G243" s="57"/>
      <c r="H243" s="56">
        <f>SUM(H237:H242)</f>
        <v>1266.75</v>
      </c>
      <c r="I243" s="58">
        <f t="shared" si="31"/>
        <v>60.75</v>
      </c>
      <c r="J243" s="59">
        <f>IF((E243)=0,"",(I243/E243))</f>
        <v>5.0373134328358209E-2</v>
      </c>
    </row>
    <row r="244" spans="1:11" x14ac:dyDescent="0.35">
      <c r="A244" s="60" t="s">
        <v>54</v>
      </c>
      <c r="B244" s="45"/>
      <c r="C244" s="245">
        <f>'Other Charges'!E28</f>
        <v>0.15959999999999999</v>
      </c>
      <c r="D244" s="61">
        <f>B229*(B231-1)</f>
        <v>248.69999999999993</v>
      </c>
      <c r="E244" s="47">
        <f>D244*C244</f>
        <v>39.692519999999988</v>
      </c>
      <c r="F244" s="253">
        <f>C244</f>
        <v>0.15959999999999999</v>
      </c>
      <c r="G244" s="62">
        <f>IF(F244=0, 0, B229*B232-B229)</f>
        <v>248.69999999999982</v>
      </c>
      <c r="H244" s="49">
        <f>G244*F244</f>
        <v>39.692519999999966</v>
      </c>
      <c r="I244" s="50">
        <f>H244-E244</f>
        <v>0</v>
      </c>
      <c r="J244" s="51">
        <f>IF(ISERROR(I244/E244), "", I244/E244)</f>
        <v>0</v>
      </c>
    </row>
    <row r="245" spans="1:11" ht="25" x14ac:dyDescent="0.35">
      <c r="A245" s="60" t="s">
        <v>55</v>
      </c>
      <c r="B245" s="45"/>
      <c r="C245" s="245">
        <f>'Current (2025) Tariff'!D130</f>
        <v>-1.5E-3</v>
      </c>
      <c r="D245" s="63">
        <f>B229</f>
        <v>3000</v>
      </c>
      <c r="E245" s="47">
        <f t="shared" si="32"/>
        <v>-4.5</v>
      </c>
      <c r="F245" s="253">
        <f>'Proposed (2026) Tariff'!E124</f>
        <v>0</v>
      </c>
      <c r="G245" s="64">
        <f>B229</f>
        <v>3000</v>
      </c>
      <c r="H245" s="49">
        <f t="shared" si="34"/>
        <v>0</v>
      </c>
      <c r="I245" s="50">
        <f t="shared" si="31"/>
        <v>4.5</v>
      </c>
      <c r="J245" s="51">
        <f t="shared" si="33"/>
        <v>-1</v>
      </c>
    </row>
    <row r="246" spans="1:11" x14ac:dyDescent="0.35">
      <c r="A246" s="60" t="s">
        <v>56</v>
      </c>
      <c r="B246" s="45"/>
      <c r="C246" s="245">
        <f>'Current (2025) Tariff'!D128</f>
        <v>2.0000000000000001E-4</v>
      </c>
      <c r="D246" s="63">
        <f>B229</f>
        <v>3000</v>
      </c>
      <c r="E246" s="47">
        <f>D246*C246</f>
        <v>0.6</v>
      </c>
      <c r="F246" s="253">
        <f>'Proposed (2026) Tariff'!E123</f>
        <v>0</v>
      </c>
      <c r="G246" s="64">
        <f>B229</f>
        <v>3000</v>
      </c>
      <c r="H246" s="49">
        <f>G246*F246</f>
        <v>0</v>
      </c>
      <c r="I246" s="50">
        <f t="shared" si="31"/>
        <v>-0.6</v>
      </c>
      <c r="J246" s="51">
        <f t="shared" si="33"/>
        <v>-1</v>
      </c>
    </row>
    <row r="247" spans="1:11" x14ac:dyDescent="0.35">
      <c r="A247" s="60" t="s">
        <v>57</v>
      </c>
      <c r="B247" s="45"/>
      <c r="C247" s="245">
        <f>'Current (2025) Tariff'!D132</f>
        <v>-1.1599999999999999E-2</v>
      </c>
      <c r="D247" s="63">
        <f>B229</f>
        <v>3000</v>
      </c>
      <c r="E247" s="47">
        <f>D247*C247</f>
        <v>-34.799999999999997</v>
      </c>
      <c r="F247" s="253">
        <f>'Proposed (2026) Tariff'!E125</f>
        <v>0</v>
      </c>
      <c r="G247" s="64">
        <f>B229</f>
        <v>3000</v>
      </c>
      <c r="H247" s="49">
        <f t="shared" si="34"/>
        <v>0</v>
      </c>
      <c r="I247" s="50">
        <f t="shared" si="31"/>
        <v>34.799999999999997</v>
      </c>
      <c r="J247" s="51">
        <f t="shared" si="33"/>
        <v>-1</v>
      </c>
    </row>
    <row r="248" spans="1:11" x14ac:dyDescent="0.35">
      <c r="A248" s="44" t="s">
        <v>58</v>
      </c>
      <c r="B248" s="45"/>
      <c r="C248" s="76">
        <v>0</v>
      </c>
      <c r="D248" s="63">
        <f>IF($E230&gt;0, $E230, $E229)</f>
        <v>0</v>
      </c>
      <c r="E248" s="47">
        <f t="shared" si="32"/>
        <v>0</v>
      </c>
      <c r="F248" s="78"/>
      <c r="G248" s="64">
        <f>IF($E230&gt;0, $E230, $E229)</f>
        <v>0</v>
      </c>
      <c r="H248" s="49">
        <f t="shared" si="34"/>
        <v>0</v>
      </c>
      <c r="I248" s="50">
        <f t="shared" si="31"/>
        <v>0</v>
      </c>
      <c r="J248" s="51" t="str">
        <f t="shared" si="33"/>
        <v/>
      </c>
    </row>
    <row r="249" spans="1:11" x14ac:dyDescent="0.35">
      <c r="A249" s="60" t="s">
        <v>59</v>
      </c>
      <c r="B249" s="45"/>
      <c r="C249" s="224">
        <v>0</v>
      </c>
      <c r="D249" s="46"/>
      <c r="E249" s="47">
        <f>D249*C249</f>
        <v>0</v>
      </c>
      <c r="F249" s="238">
        <v>0</v>
      </c>
      <c r="G249" s="52"/>
      <c r="H249" s="49">
        <f>G249*F249</f>
        <v>0</v>
      </c>
      <c r="I249" s="50">
        <f t="shared" si="31"/>
        <v>0</v>
      </c>
      <c r="J249" s="51" t="str">
        <f>IF(ISERROR(I249/E249), "", I249/E249)</f>
        <v/>
      </c>
    </row>
    <row r="250" spans="1:11" x14ac:dyDescent="0.35">
      <c r="A250" s="44" t="s">
        <v>60</v>
      </c>
      <c r="B250" s="45"/>
      <c r="C250" s="222">
        <v>0</v>
      </c>
      <c r="D250" s="46"/>
      <c r="E250" s="47">
        <f t="shared" si="32"/>
        <v>0</v>
      </c>
      <c r="F250" s="236">
        <v>0</v>
      </c>
      <c r="G250" s="52"/>
      <c r="H250" s="49">
        <f>G250*F250</f>
        <v>0</v>
      </c>
      <c r="I250" s="50">
        <f>H250-E250</f>
        <v>0</v>
      </c>
      <c r="J250" s="51" t="str">
        <f>IF(ISERROR(I250/E250), "", I250/E250)</f>
        <v/>
      </c>
    </row>
    <row r="251" spans="1:11" x14ac:dyDescent="0.35">
      <c r="A251" s="44" t="s">
        <v>61</v>
      </c>
      <c r="B251" s="45"/>
      <c r="C251" s="76">
        <v>0</v>
      </c>
      <c r="D251" s="63">
        <f>IF($E230&gt;0, $E230, $E229)</f>
        <v>0</v>
      </c>
      <c r="E251" s="47">
        <f>D251*C251</f>
        <v>0</v>
      </c>
      <c r="F251" s="78">
        <v>0</v>
      </c>
      <c r="G251" s="64">
        <f>IF($E230&gt;0, $E230, $E229)</f>
        <v>0</v>
      </c>
      <c r="H251" s="49">
        <f>G251*F251</f>
        <v>0</v>
      </c>
      <c r="I251" s="50">
        <f t="shared" si="31"/>
        <v>0</v>
      </c>
      <c r="J251" s="51" t="str">
        <f>IF(ISERROR(I251/E251), "", I251/E251)</f>
        <v/>
      </c>
    </row>
    <row r="252" spans="1:11" ht="26" x14ac:dyDescent="0.35">
      <c r="A252" s="65" t="s">
        <v>62</v>
      </c>
      <c r="B252" s="66"/>
      <c r="C252" s="225"/>
      <c r="D252" s="67"/>
      <c r="E252" s="68">
        <f>SUM(E243:E251)</f>
        <v>1206.99252</v>
      </c>
      <c r="F252" s="239"/>
      <c r="G252" s="69"/>
      <c r="H252" s="68">
        <f>SUM(H243:H251)</f>
        <v>1306.4425200000001</v>
      </c>
      <c r="I252" s="58">
        <f t="shared" si="31"/>
        <v>99.450000000000045</v>
      </c>
      <c r="J252" s="59">
        <f>IF((E252)=0,"",(I252/E252))</f>
        <v>8.2394876813321138E-2</v>
      </c>
    </row>
    <row r="253" spans="1:11" x14ac:dyDescent="0.35">
      <c r="A253" s="70" t="s">
        <v>63</v>
      </c>
      <c r="B253" s="45"/>
      <c r="C253" s="245">
        <f>'Current (2025) Tariff'!D133</f>
        <v>3.2408000000000001</v>
      </c>
      <c r="D253" s="61">
        <f>B230</f>
        <v>10</v>
      </c>
      <c r="E253" s="47">
        <f>D253*C253</f>
        <v>32.408000000000001</v>
      </c>
      <c r="F253" s="254">
        <f>'Proposed (2026) Tariff'!E126</f>
        <v>3.3462000000000001</v>
      </c>
      <c r="G253" s="62">
        <f>B230</f>
        <v>10</v>
      </c>
      <c r="H253" s="49">
        <f>G253*F253</f>
        <v>33.462000000000003</v>
      </c>
      <c r="I253" s="50">
        <f t="shared" si="31"/>
        <v>1.054000000000002</v>
      </c>
      <c r="J253" s="51">
        <f>IF(ISERROR(I253/E253), "", I253/E253)</f>
        <v>3.2522833868180757E-2</v>
      </c>
      <c r="K253" s="71" t="str">
        <f>IF(ISERROR(ABS(J253)), "", IF(ABS(J253)&gt;=4%, "In the manager's summary, discuss the reasoning for the change in RTSR rates", ""))</f>
        <v/>
      </c>
    </row>
    <row r="254" spans="1:11" ht="25" x14ac:dyDescent="0.35">
      <c r="A254" s="72" t="s">
        <v>64</v>
      </c>
      <c r="B254" s="45"/>
      <c r="C254" s="245">
        <f>'Current (2025) Tariff'!D134</f>
        <v>2.3376999999999999</v>
      </c>
      <c r="D254" s="61">
        <f>B230</f>
        <v>10</v>
      </c>
      <c r="E254" s="47">
        <f>D254*C254</f>
        <v>23.376999999999999</v>
      </c>
      <c r="F254" s="254">
        <f>'Proposed (2026) Tariff'!E127</f>
        <v>2.4119000000000002</v>
      </c>
      <c r="G254" s="62">
        <f>B230</f>
        <v>10</v>
      </c>
      <c r="H254" s="49">
        <f>G254*F254</f>
        <v>24.119</v>
      </c>
      <c r="I254" s="50">
        <f t="shared" si="31"/>
        <v>0.74200000000000088</v>
      </c>
      <c r="J254" s="51">
        <f>IF(ISERROR(I254/E254), "", I254/E254)</f>
        <v>3.1740599734782091E-2</v>
      </c>
      <c r="K254" s="71" t="str">
        <f>IF(ISERROR(ABS(J254)), "", IF(ABS(J254)&gt;=4%, "In the manager's summary, discuss the reasoning for the change in RTSR rates", ""))</f>
        <v/>
      </c>
    </row>
    <row r="255" spans="1:11" ht="26" x14ac:dyDescent="0.35">
      <c r="A255" s="65" t="s">
        <v>65</v>
      </c>
      <c r="B255" s="54"/>
      <c r="C255" s="225"/>
      <c r="D255" s="67"/>
      <c r="E255" s="68">
        <f>SUM(E252:E254)</f>
        <v>1262.7775199999999</v>
      </c>
      <c r="F255" s="239"/>
      <c r="G255" s="57"/>
      <c r="H255" s="68">
        <f>SUM(H252:H254)</f>
        <v>1364.02352</v>
      </c>
      <c r="I255" s="58">
        <f t="shared" si="31"/>
        <v>101.24600000000009</v>
      </c>
      <c r="J255" s="59">
        <f>IF((E255)=0,"",(I255/E255))</f>
        <v>8.0177227101730558E-2</v>
      </c>
    </row>
    <row r="256" spans="1:11" ht="25" x14ac:dyDescent="0.35">
      <c r="A256" s="73" t="s">
        <v>66</v>
      </c>
      <c r="B256" s="45"/>
      <c r="C256" s="245">
        <f>+'Current (2025) Tariff'!D138+'Current (2025) Tariff'!D139</f>
        <v>4.5000000000000005E-3</v>
      </c>
      <c r="D256" s="61">
        <f>B229*B231</f>
        <v>3248.7</v>
      </c>
      <c r="E256" s="74">
        <f t="shared" ref="E256:E258" si="35">D256*C256</f>
        <v>14.619150000000001</v>
      </c>
      <c r="F256" s="253">
        <f>+'Proposed (2026) Tariff'!E131+'Proposed (2026) Tariff'!E132</f>
        <v>4.5000000000000005E-3</v>
      </c>
      <c r="G256" s="62">
        <f>B229*B232</f>
        <v>3248.7</v>
      </c>
      <c r="H256" s="49">
        <f t="shared" ref="H256:H258" si="36">G256*F256</f>
        <v>14.619150000000001</v>
      </c>
      <c r="I256" s="50">
        <f t="shared" si="31"/>
        <v>0</v>
      </c>
      <c r="J256" s="51">
        <f t="shared" ref="J256:J260" si="37">IF(ISERROR(I256/E256), "", I256/E256)</f>
        <v>0</v>
      </c>
    </row>
    <row r="257" spans="1:10" ht="25" x14ac:dyDescent="0.35">
      <c r="A257" s="73" t="s">
        <v>67</v>
      </c>
      <c r="B257" s="45"/>
      <c r="C257" s="245">
        <f>+'Current (2025) Tariff'!D140</f>
        <v>1.5E-3</v>
      </c>
      <c r="D257" s="61">
        <f>B229*B231</f>
        <v>3248.7</v>
      </c>
      <c r="E257" s="74">
        <f t="shared" si="35"/>
        <v>4.8730500000000001</v>
      </c>
      <c r="F257" s="253">
        <f>'Proposed (2026) Tariff'!E133</f>
        <v>1.5E-3</v>
      </c>
      <c r="G257" s="62">
        <f>B229*B232</f>
        <v>3248.7</v>
      </c>
      <c r="H257" s="49">
        <f t="shared" si="36"/>
        <v>4.8730500000000001</v>
      </c>
      <c r="I257" s="50">
        <f t="shared" si="31"/>
        <v>0</v>
      </c>
      <c r="J257" s="51">
        <f t="shared" si="37"/>
        <v>0</v>
      </c>
    </row>
    <row r="258" spans="1:10" x14ac:dyDescent="0.35">
      <c r="A258" s="75" t="s">
        <v>68</v>
      </c>
      <c r="B258" s="45"/>
      <c r="C258" s="245">
        <f>+'Current (2025) Tariff'!D141</f>
        <v>0.25</v>
      </c>
      <c r="D258" s="46"/>
      <c r="E258" s="74">
        <f t="shared" si="35"/>
        <v>0</v>
      </c>
      <c r="F258" s="252">
        <f>'Proposed (2026) Tariff'!E134</f>
        <v>0.25</v>
      </c>
      <c r="G258" s="48"/>
      <c r="H258" s="49">
        <f t="shared" si="36"/>
        <v>0</v>
      </c>
      <c r="I258" s="50">
        <f t="shared" si="31"/>
        <v>0</v>
      </c>
      <c r="J258" s="51" t="str">
        <f t="shared" si="37"/>
        <v/>
      </c>
    </row>
    <row r="259" spans="1:10" ht="25" x14ac:dyDescent="0.35">
      <c r="A259" s="73" t="s">
        <v>69</v>
      </c>
      <c r="B259" s="45"/>
      <c r="C259" s="76"/>
      <c r="D259" s="61"/>
      <c r="E259" s="74"/>
      <c r="F259" s="78"/>
      <c r="G259" s="62"/>
      <c r="H259" s="49"/>
      <c r="I259" s="50"/>
      <c r="J259" s="51"/>
    </row>
    <row r="260" spans="1:10" ht="15" thickBot="1" x14ac:dyDescent="0.4">
      <c r="A260" s="75" t="s">
        <v>74</v>
      </c>
      <c r="B260" s="45"/>
      <c r="C260" s="245">
        <f>'Other Charges'!E28</f>
        <v>0.15959999999999999</v>
      </c>
      <c r="D260" s="77">
        <f>IF(AND(B229*12&gt;=150000),B229*B231,B229)</f>
        <v>3000</v>
      </c>
      <c r="E260" s="74">
        <f>D260*C260</f>
        <v>478.79999999999995</v>
      </c>
      <c r="F260" s="253">
        <f>C260</f>
        <v>0.15959999999999999</v>
      </c>
      <c r="G260" s="79">
        <f>IF(AND(B229*12&gt;=150000),B229*B232,B229)</f>
        <v>3000</v>
      </c>
      <c r="H260" s="49">
        <f>G260*F260</f>
        <v>478.79999999999995</v>
      </c>
      <c r="I260" s="50">
        <f>H260-E260</f>
        <v>0</v>
      </c>
      <c r="J260" s="51">
        <f t="shared" si="37"/>
        <v>0</v>
      </c>
    </row>
    <row r="261" spans="1:10" ht="15" hidden="1" thickBot="1" x14ac:dyDescent="0.4">
      <c r="A261" s="80"/>
      <c r="B261" s="81"/>
      <c r="C261" s="226"/>
      <c r="D261" s="82"/>
      <c r="E261" s="83"/>
      <c r="F261" s="226"/>
      <c r="G261" s="84"/>
      <c r="H261" s="83"/>
      <c r="I261" s="85"/>
      <c r="J261" s="86"/>
    </row>
    <row r="262" spans="1:10" hidden="1" x14ac:dyDescent="0.35">
      <c r="A262" s="87" t="s">
        <v>75</v>
      </c>
      <c r="B262" s="75"/>
      <c r="C262" s="227"/>
      <c r="D262" s="88"/>
      <c r="E262" s="89">
        <f>SUM(E256:E259,E255)</f>
        <v>1282.2697199999998</v>
      </c>
      <c r="F262" s="90"/>
      <c r="G262" s="90"/>
      <c r="H262" s="89">
        <f>SUM(H256:H259,H255)</f>
        <v>1383.5157199999999</v>
      </c>
      <c r="I262" s="91">
        <f>H262-E262</f>
        <v>101.24600000000009</v>
      </c>
      <c r="J262" s="92">
        <f>IF((E262)=0,"",(I262/E262))</f>
        <v>7.8958426936885096E-2</v>
      </c>
    </row>
    <row r="263" spans="1:10" hidden="1" x14ac:dyDescent="0.35">
      <c r="A263" s="93" t="s">
        <v>76</v>
      </c>
      <c r="B263" s="75"/>
      <c r="C263" s="227">
        <v>0.13</v>
      </c>
      <c r="D263" s="94"/>
      <c r="E263" s="95">
        <f>E262*C263</f>
        <v>166.69506359999997</v>
      </c>
      <c r="F263" s="96">
        <v>0.13</v>
      </c>
      <c r="G263" s="46"/>
      <c r="H263" s="95">
        <f>H262*F263</f>
        <v>179.8570436</v>
      </c>
      <c r="I263" s="50">
        <f>H263-E263</f>
        <v>13.161980000000028</v>
      </c>
      <c r="J263" s="97">
        <f>IF((E263)=0,"",(I263/E263))</f>
        <v>7.8958426936885193E-2</v>
      </c>
    </row>
    <row r="264" spans="1:10" hidden="1" x14ac:dyDescent="0.35">
      <c r="A264" s="93" t="s">
        <v>77</v>
      </c>
      <c r="B264"/>
      <c r="C264" s="228">
        <v>0.11700000000000001</v>
      </c>
      <c r="D264" s="94"/>
      <c r="E264" s="95">
        <f>IF(OR(ISNUMBER(SEARCH("[DGEN]", B226))=TRUE, ISNUMBER(SEARCH("STREET LIGHT", B226))=TRUE), 0, IF(AND(B229=0, B230=0),0, IF(AND(B230=0, B229*12&gt;250000), 0, IF(AND(B229=0, B230&gt;=50), 0, IF(B229*12&lt;=250000, C264*E262*-1, IF(B230&lt;50, C264*E262*-1, 0))))))</f>
        <v>0</v>
      </c>
      <c r="F264" s="228">
        <v>0.11700000000000001</v>
      </c>
      <c r="G264" s="46"/>
      <c r="H264" s="95">
        <f>IF(OR(ISNUMBER(SEARCH("[DGEN]", B226))=TRUE, ISNUMBER(SEARCH("STREET LIGHT", B226))=TRUE), 0, IF(AND(B229=0, B230=0),0, IF(AND(B230=0, B229*12&gt;250000), 0, IF(AND(B229=0, B230&gt;=50), 0, IF(B229*12&lt;=250000, F264*H262*-1, IF(B230&lt;50, F264*H262*-1, 0))))))</f>
        <v>0</v>
      </c>
      <c r="I264" s="50">
        <f>H264-E264</f>
        <v>0</v>
      </c>
      <c r="J264" s="97"/>
    </row>
    <row r="265" spans="1:10" ht="15" hidden="1" thickBot="1" x14ac:dyDescent="0.4">
      <c r="A265" s="321" t="s">
        <v>78</v>
      </c>
      <c r="B265" s="321"/>
      <c r="C265" s="229"/>
      <c r="D265" s="98"/>
      <c r="E265" s="99">
        <f>E262+E263+E264</f>
        <v>1448.9647835999997</v>
      </c>
      <c r="F265" s="240"/>
      <c r="G265" s="100"/>
      <c r="H265" s="101">
        <f>H262+H263+H264</f>
        <v>1563.3727635999999</v>
      </c>
      <c r="I265" s="102">
        <f>H265-E265</f>
        <v>114.40798000000018</v>
      </c>
      <c r="J265" s="103">
        <f>IF((E265)=0,"",(I265/E265))</f>
        <v>7.8958426936885151E-2</v>
      </c>
    </row>
    <row r="266" spans="1:10" ht="15" hidden="1" thickBot="1" x14ac:dyDescent="0.4">
      <c r="A266" s="80"/>
      <c r="B266" s="81"/>
      <c r="C266" s="226"/>
      <c r="D266" s="82"/>
      <c r="E266" s="83"/>
      <c r="F266" s="226"/>
      <c r="G266" s="84"/>
      <c r="H266" s="83"/>
      <c r="I266" s="85"/>
      <c r="J266" s="86"/>
    </row>
    <row r="267" spans="1:10" hidden="1" x14ac:dyDescent="0.35">
      <c r="A267" s="87" t="s">
        <v>79</v>
      </c>
      <c r="B267" s="75"/>
      <c r="C267" s="227"/>
      <c r="D267" s="88"/>
      <c r="E267" s="89" t="e">
        <f>SUM(#REF!,E256:E259,E255)</f>
        <v>#REF!</v>
      </c>
      <c r="F267" s="90"/>
      <c r="G267" s="90"/>
      <c r="H267" s="89" t="e">
        <f>SUM(#REF!,H256:H259,H255)</f>
        <v>#REF!</v>
      </c>
      <c r="I267" s="91" t="e">
        <f>H267-E267</f>
        <v>#REF!</v>
      </c>
      <c r="J267" s="92" t="e">
        <f>IF((E267)=0,"",(I267/E267))</f>
        <v>#REF!</v>
      </c>
    </row>
    <row r="268" spans="1:10" hidden="1" x14ac:dyDescent="0.35">
      <c r="A268" s="93" t="s">
        <v>76</v>
      </c>
      <c r="B268" s="75"/>
      <c r="C268" s="227">
        <v>0.13</v>
      </c>
      <c r="D268" s="88"/>
      <c r="E268" s="95" t="e">
        <f>E267*C268</f>
        <v>#REF!</v>
      </c>
      <c r="F268" s="227">
        <v>0.13</v>
      </c>
      <c r="G268" s="96"/>
      <c r="H268" s="95" t="e">
        <f>H267*F268</f>
        <v>#REF!</v>
      </c>
      <c r="I268" s="50" t="e">
        <f>H268-E268</f>
        <v>#REF!</v>
      </c>
      <c r="J268" s="97" t="e">
        <f>IF((E268)=0,"",(I268/E268))</f>
        <v>#REF!</v>
      </c>
    </row>
    <row r="269" spans="1:10" hidden="1" x14ac:dyDescent="0.35">
      <c r="A269" s="93" t="s">
        <v>77</v>
      </c>
      <c r="B269"/>
      <c r="C269" s="228">
        <v>0.11700000000000001</v>
      </c>
      <c r="D269" s="88"/>
      <c r="E269" s="95">
        <f>IF(OR(ISNUMBER(SEARCH("[DGEN]", B226))=TRUE, ISNUMBER(SEARCH("STREET LIGHT", B226))=TRUE), 0, IF(AND(B229=0, B230=0),0, IF(AND(B230=0, B229*12&gt;250000), 0, IF(AND(B229=0, B230&gt;=50), 0, IF(B229*12&lt;=250000, C269*E267*-1, IF(B230&lt;50, C269*E267*-1, 0))))))</f>
        <v>0</v>
      </c>
      <c r="F269" s="228">
        <v>0.11700000000000001</v>
      </c>
      <c r="G269" s="96"/>
      <c r="H269" s="95">
        <f>IF(OR(ISNUMBER(SEARCH("[DGEN]", B226))=TRUE, ISNUMBER(SEARCH("STREET LIGHT", B226))=TRUE), 0, IF(AND(B229=0, B230=0),0, IF(AND(B230=0, B229*12&gt;250000), 0, IF(AND(B229=0, B230&gt;=50), 0, IF(B229*12&lt;=250000, F269*H267*-1, IF(B230&lt;50, F269*H267*-1, 0))))))</f>
        <v>0</v>
      </c>
      <c r="I269" s="50"/>
      <c r="J269" s="97"/>
    </row>
    <row r="270" spans="1:10" ht="15" hidden="1" thickBot="1" x14ac:dyDescent="0.4">
      <c r="A270" s="321" t="s">
        <v>79</v>
      </c>
      <c r="B270" s="321"/>
      <c r="C270" s="230"/>
      <c r="D270" s="104"/>
      <c r="E270" s="99" t="e">
        <f>SUM(E267,E268)</f>
        <v>#REF!</v>
      </c>
      <c r="F270" s="241"/>
      <c r="G270" s="105"/>
      <c r="H270" s="99" t="e">
        <f>SUM(H267,H268)</f>
        <v>#REF!</v>
      </c>
      <c r="I270" s="106" t="e">
        <f>H270-E270</f>
        <v>#REF!</v>
      </c>
      <c r="J270" s="107" t="e">
        <f>IF((E270)=0,"",(I270/E270))</f>
        <v>#REF!</v>
      </c>
    </row>
    <row r="271" spans="1:10" ht="15" thickBot="1" x14ac:dyDescent="0.4">
      <c r="A271" s="80"/>
      <c r="B271" s="81"/>
      <c r="C271" s="231"/>
      <c r="D271" s="108"/>
      <c r="E271" s="109"/>
      <c r="F271" s="231"/>
      <c r="G271" s="82"/>
      <c r="H271" s="109"/>
      <c r="I271" s="110"/>
      <c r="J271" s="86"/>
    </row>
    <row r="272" spans="1:10" x14ac:dyDescent="0.35">
      <c r="A272" s="87" t="s">
        <v>80</v>
      </c>
      <c r="B272" s="75"/>
      <c r="C272" s="227"/>
      <c r="D272" s="88"/>
      <c r="E272" s="89">
        <f>SUM(E260,E256:E259,E255)</f>
        <v>1761.0697199999997</v>
      </c>
      <c r="F272" s="90"/>
      <c r="G272" s="90"/>
      <c r="H272" s="89">
        <f>SUM(H260,H256:H259,H255)</f>
        <v>1862.3157199999998</v>
      </c>
      <c r="I272" s="91">
        <f>H272-E272</f>
        <v>101.24600000000009</v>
      </c>
      <c r="J272" s="92">
        <f>IF((E272)=0,"",(I272/E272))</f>
        <v>5.7491193477564366E-2</v>
      </c>
    </row>
    <row r="273" spans="1:11" x14ac:dyDescent="0.35">
      <c r="A273" s="93" t="s">
        <v>76</v>
      </c>
      <c r="B273" s="75"/>
      <c r="C273" s="227">
        <v>0.13</v>
      </c>
      <c r="D273" s="88"/>
      <c r="E273" s="95">
        <f>E272*C273</f>
        <v>228.93906359999997</v>
      </c>
      <c r="F273" s="227">
        <v>0.13</v>
      </c>
      <c r="G273" s="96"/>
      <c r="H273" s="95">
        <f>H272*F273</f>
        <v>242.1010436</v>
      </c>
      <c r="I273" s="50">
        <f>H273-E273</f>
        <v>13.161980000000028</v>
      </c>
      <c r="J273" s="97">
        <f>IF((E273)=0,"",(I273/E273))</f>
        <v>5.7491193477564435E-2</v>
      </c>
    </row>
    <row r="274" spans="1:11" x14ac:dyDescent="0.35">
      <c r="A274" s="93" t="s">
        <v>77</v>
      </c>
      <c r="B274"/>
      <c r="C274" s="228"/>
      <c r="D274" s="88"/>
      <c r="E274" s="95">
        <f>IF(OR(ISNUMBER(SEARCH("[DGEN]", B226))=TRUE, ISNUMBER(SEARCH("STREET LIGHT", B226))=TRUE), 0, IF(AND(B229=0, B230=0),0, IF(AND(B230=0, B229*12&gt;250000), 0, IF(AND(B229=0, B230&gt;=50), 0, IF(B229*12&lt;=250000, C274*E272*-1, IF(B230&lt;50, C274*E272*-1, 0))))))</f>
        <v>0</v>
      </c>
      <c r="F274" s="228"/>
      <c r="G274" s="96"/>
      <c r="H274" s="95">
        <f>IF(OR(ISNUMBER(SEARCH("[DGEN]", B226))=TRUE, ISNUMBER(SEARCH("STREET LIGHT", B226))=TRUE), 0, IF(AND(B229=0, B230=0),0, IF(AND(B230=0, B229*12&gt;250000), 0, IF(AND(B229=0, B230&gt;=50), 0, IF(B229*12&lt;=250000, F274*H272*-1, IF(B230&lt;50, F274*H272*-1, 0))))))</f>
        <v>0</v>
      </c>
      <c r="I274" s="50"/>
      <c r="J274" s="97"/>
    </row>
    <row r="275" spans="1:11" ht="15" thickBot="1" x14ac:dyDescent="0.4">
      <c r="A275" s="321" t="s">
        <v>80</v>
      </c>
      <c r="B275" s="321"/>
      <c r="C275" s="230"/>
      <c r="D275" s="104"/>
      <c r="E275" s="99">
        <f>SUM(E272,E273)</f>
        <v>1990.0087835999998</v>
      </c>
      <c r="F275" s="241"/>
      <c r="G275" s="105"/>
      <c r="H275" s="99">
        <f>SUM(H272,H273)</f>
        <v>2104.4167635999997</v>
      </c>
      <c r="I275" s="106">
        <f>H275-E275</f>
        <v>114.40797999999995</v>
      </c>
      <c r="J275" s="107">
        <f>IF((E275)=0,"",(I275/E275))</f>
        <v>5.749119347756429E-2</v>
      </c>
    </row>
    <row r="276" spans="1:11" ht="15" thickBot="1" x14ac:dyDescent="0.4">
      <c r="A276" s="80"/>
      <c r="B276" s="81"/>
      <c r="C276" s="232"/>
      <c r="D276" s="108"/>
      <c r="E276" s="111"/>
      <c r="F276" s="232"/>
      <c r="G276" s="82"/>
      <c r="H276" s="111"/>
      <c r="I276" s="110"/>
      <c r="J276" s="112"/>
    </row>
    <row r="279" spans="1:11" x14ac:dyDescent="0.35">
      <c r="A279" s="30" t="s">
        <v>30</v>
      </c>
      <c r="B279" s="310" t="str">
        <f>A20</f>
        <v>RESIDENTIAL R1(ii) SERVICE CLASSIFICATION</v>
      </c>
      <c r="C279" s="310"/>
      <c r="D279" s="310"/>
      <c r="E279" s="310"/>
      <c r="F279" s="310"/>
      <c r="G279" s="310"/>
      <c r="H279" s="31" t="str">
        <f>IF(K20="DEMAND - INTERVAL","RTSR - INTERVAL METERED","")</f>
        <v/>
      </c>
    </row>
    <row r="280" spans="1:11" x14ac:dyDescent="0.35">
      <c r="A280" s="30" t="s">
        <v>31</v>
      </c>
      <c r="B280" s="311" t="str">
        <f>E20</f>
        <v>RPP</v>
      </c>
      <c r="C280" s="311"/>
      <c r="D280" s="311"/>
      <c r="E280" s="32"/>
      <c r="F280" s="235"/>
    </row>
    <row r="281" spans="1:11" ht="15.5" x14ac:dyDescent="0.35">
      <c r="A281" s="30" t="s">
        <v>32</v>
      </c>
      <c r="B281" s="33">
        <f>H20</f>
        <v>2000</v>
      </c>
      <c r="C281" s="34" t="s">
        <v>33</v>
      </c>
      <c r="G281" s="35"/>
      <c r="H281" s="35"/>
      <c r="I281" s="35"/>
      <c r="J281" s="35"/>
      <c r="K281" s="35"/>
    </row>
    <row r="282" spans="1:11" ht="15.5" x14ac:dyDescent="0.35">
      <c r="A282" s="30" t="s">
        <v>34</v>
      </c>
      <c r="B282" s="33">
        <f>I20</f>
        <v>0</v>
      </c>
      <c r="C282" s="221" t="s">
        <v>35</v>
      </c>
      <c r="D282" s="36"/>
      <c r="E282" s="37"/>
      <c r="F282" s="37"/>
      <c r="G282" s="37"/>
    </row>
    <row r="283" spans="1:11" x14ac:dyDescent="0.35">
      <c r="A283" s="30" t="s">
        <v>36</v>
      </c>
      <c r="B283" s="38">
        <f>F20</f>
        <v>1.0829</v>
      </c>
    </row>
    <row r="284" spans="1:11" x14ac:dyDescent="0.35">
      <c r="A284" s="30" t="s">
        <v>37</v>
      </c>
      <c r="B284" s="38">
        <f>G20</f>
        <v>1.0829</v>
      </c>
    </row>
    <row r="286" spans="1:11" x14ac:dyDescent="0.35">
      <c r="B286" s="34"/>
      <c r="C286" s="312" t="s">
        <v>38</v>
      </c>
      <c r="D286" s="313"/>
      <c r="E286" s="314"/>
      <c r="F286" s="312" t="s">
        <v>39</v>
      </c>
      <c r="G286" s="313"/>
      <c r="H286" s="314"/>
      <c r="I286" s="312" t="s">
        <v>40</v>
      </c>
      <c r="J286" s="314"/>
    </row>
    <row r="287" spans="1:11" x14ac:dyDescent="0.35">
      <c r="B287" s="315"/>
      <c r="C287" s="39" t="s">
        <v>41</v>
      </c>
      <c r="D287" s="39" t="s">
        <v>42</v>
      </c>
      <c r="E287" s="40" t="s">
        <v>43</v>
      </c>
      <c r="F287" s="39" t="s">
        <v>41</v>
      </c>
      <c r="G287" s="41" t="s">
        <v>42</v>
      </c>
      <c r="H287" s="40" t="s">
        <v>43</v>
      </c>
      <c r="I287" s="317" t="s">
        <v>44</v>
      </c>
      <c r="J287" s="319" t="s">
        <v>45</v>
      </c>
    </row>
    <row r="288" spans="1:11" x14ac:dyDescent="0.35">
      <c r="B288" s="316"/>
      <c r="C288" s="42" t="s">
        <v>46</v>
      </c>
      <c r="D288" s="42"/>
      <c r="E288" s="43" t="s">
        <v>46</v>
      </c>
      <c r="F288" s="42" t="s">
        <v>46</v>
      </c>
      <c r="G288" s="43"/>
      <c r="H288" s="43" t="s">
        <v>46</v>
      </c>
      <c r="I288" s="318"/>
      <c r="J288" s="320"/>
    </row>
    <row r="289" spans="1:10" x14ac:dyDescent="0.35">
      <c r="A289" s="44" t="s">
        <v>47</v>
      </c>
      <c r="B289" s="45"/>
      <c r="C289" s="242">
        <f>'Current (2025) Tariff'!D25</f>
        <v>30.21</v>
      </c>
      <c r="D289" s="46">
        <v>1</v>
      </c>
      <c r="E289" s="47">
        <f>D289*C289</f>
        <v>30.21</v>
      </c>
      <c r="F289" s="251">
        <f>'Proposed (2026) Tariff'!E25</f>
        <v>31.64</v>
      </c>
      <c r="G289" s="48">
        <f>D289</f>
        <v>1</v>
      </c>
      <c r="H289" s="49">
        <f>G289*F289</f>
        <v>31.64</v>
      </c>
      <c r="I289" s="50">
        <f t="shared" ref="I289:I310" si="38">H289-E289</f>
        <v>1.4299999999999997</v>
      </c>
      <c r="J289" s="51">
        <f>IF(ISERROR(I289/E289), "", I289/E289)</f>
        <v>4.7335319430652091E-2</v>
      </c>
    </row>
    <row r="290" spans="1:10" x14ac:dyDescent="0.35">
      <c r="A290" s="44" t="s">
        <v>48</v>
      </c>
      <c r="B290" s="45"/>
      <c r="C290" s="245">
        <f>'Current (2025) Tariff'!D30</f>
        <v>4.2500000000000003E-2</v>
      </c>
      <c r="D290" s="137">
        <f>B281</f>
        <v>2000</v>
      </c>
      <c r="E290" s="47">
        <f t="shared" ref="E290:E302" si="39">D290*C290</f>
        <v>85</v>
      </c>
      <c r="F290" s="253">
        <f>'Proposed (2026) Tariff'!E27</f>
        <v>4.4499999999999998E-2</v>
      </c>
      <c r="G290" s="138">
        <f>B281</f>
        <v>2000</v>
      </c>
      <c r="H290" s="49">
        <f>G290*F290</f>
        <v>89</v>
      </c>
      <c r="I290" s="50">
        <f t="shared" si="38"/>
        <v>4</v>
      </c>
      <c r="J290" s="51">
        <f t="shared" ref="J290:J300" si="40">IF(ISERROR(I290/E290), "", I290/E290)</f>
        <v>4.7058823529411764E-2</v>
      </c>
    </row>
    <row r="291" spans="1:10" x14ac:dyDescent="0.35">
      <c r="A291" s="44" t="s">
        <v>49</v>
      </c>
      <c r="B291" s="45"/>
      <c r="C291" s="76"/>
      <c r="D291" s="46">
        <f>IF($E282&gt;0, $E282, $E281)</f>
        <v>0</v>
      </c>
      <c r="E291" s="47">
        <v>0</v>
      </c>
      <c r="F291" s="78"/>
      <c r="G291" s="48">
        <f>IF($E282&gt;0, $E282, $E281)</f>
        <v>0</v>
      </c>
      <c r="H291" s="49">
        <v>0</v>
      </c>
      <c r="I291" s="50"/>
      <c r="J291" s="51"/>
    </row>
    <row r="292" spans="1:10" x14ac:dyDescent="0.35">
      <c r="A292" s="44" t="s">
        <v>50</v>
      </c>
      <c r="B292" s="45"/>
      <c r="C292" s="76"/>
      <c r="D292" s="46">
        <f>IF($E282&gt;0, $E282, $E281)</f>
        <v>0</v>
      </c>
      <c r="E292" s="47"/>
      <c r="F292" s="78"/>
      <c r="G292" s="52">
        <f>IF($E282&gt;0, $E282, $E281)</f>
        <v>0</v>
      </c>
      <c r="H292" s="49"/>
      <c r="I292" s="50">
        <f>H292-E292</f>
        <v>0</v>
      </c>
      <c r="J292" s="51" t="str">
        <f>IF(ISERROR(I292/E292), "", I292/E292)</f>
        <v/>
      </c>
    </row>
    <row r="293" spans="1:10" x14ac:dyDescent="0.35">
      <c r="A293" s="44" t="s">
        <v>51</v>
      </c>
      <c r="B293" s="45"/>
      <c r="C293" s="242">
        <f>'Current (2025) Tariff'!D27+'Current (2025) Tariff'!D28</f>
        <v>-1.3499999999999999</v>
      </c>
      <c r="D293" s="46">
        <v>1</v>
      </c>
      <c r="E293" s="47">
        <f t="shared" si="39"/>
        <v>-1.3499999999999999</v>
      </c>
      <c r="F293" s="236">
        <v>0</v>
      </c>
      <c r="G293" s="48">
        <f>D293</f>
        <v>1</v>
      </c>
      <c r="H293" s="49">
        <f t="shared" ref="H293:H300" si="41">G293*F293</f>
        <v>0</v>
      </c>
      <c r="I293" s="50">
        <f t="shared" si="38"/>
        <v>1.3499999999999999</v>
      </c>
      <c r="J293" s="51">
        <f t="shared" si="40"/>
        <v>-1</v>
      </c>
    </row>
    <row r="294" spans="1:10" x14ac:dyDescent="0.35">
      <c r="A294" s="44" t="s">
        <v>52</v>
      </c>
      <c r="B294" s="45"/>
      <c r="C294" s="76"/>
      <c r="D294" s="137">
        <f>B281</f>
        <v>2000</v>
      </c>
      <c r="E294" s="47">
        <f t="shared" si="39"/>
        <v>0</v>
      </c>
      <c r="F294" s="78">
        <v>0</v>
      </c>
      <c r="G294" s="138">
        <f>B281</f>
        <v>2000</v>
      </c>
      <c r="H294" s="49">
        <f t="shared" si="41"/>
        <v>0</v>
      </c>
      <c r="I294" s="50">
        <f t="shared" si="38"/>
        <v>0</v>
      </c>
      <c r="J294" s="51" t="str">
        <f t="shared" si="40"/>
        <v/>
      </c>
    </row>
    <row r="295" spans="1:10" x14ac:dyDescent="0.35">
      <c r="A295" s="53" t="s">
        <v>53</v>
      </c>
      <c r="B295" s="54"/>
      <c r="C295" s="223"/>
      <c r="D295" s="55"/>
      <c r="E295" s="56">
        <f>SUM(E289:E294)</f>
        <v>113.86000000000001</v>
      </c>
      <c r="F295" s="237"/>
      <c r="G295" s="57"/>
      <c r="H295" s="56">
        <f>SUM(H289:H294)</f>
        <v>120.64</v>
      </c>
      <c r="I295" s="58">
        <f t="shared" si="38"/>
        <v>6.7799999999999869</v>
      </c>
      <c r="J295" s="59">
        <f>IF((E295)=0,"",(I295/E295))</f>
        <v>5.9546811874231394E-2</v>
      </c>
    </row>
    <row r="296" spans="1:10" x14ac:dyDescent="0.35">
      <c r="A296" s="60" t="s">
        <v>54</v>
      </c>
      <c r="B296" s="45"/>
      <c r="C296" s="245">
        <f>'Other Charges'!E26</f>
        <v>9.9039999999999989E-2</v>
      </c>
      <c r="D296" s="61">
        <f>B281*(B283-1)</f>
        <v>165.79999999999995</v>
      </c>
      <c r="E296" s="47">
        <f>D296*C296</f>
        <v>16.420831999999994</v>
      </c>
      <c r="F296" s="253">
        <f>C296</f>
        <v>9.9039999999999989E-2</v>
      </c>
      <c r="G296" s="62">
        <f>IF(F296=0, 0, B281*B284-B281)</f>
        <v>165.79999999999973</v>
      </c>
      <c r="H296" s="49">
        <f>G296*F296</f>
        <v>16.420831999999972</v>
      </c>
      <c r="I296" s="50">
        <f>H296-E296</f>
        <v>0</v>
      </c>
      <c r="J296" s="51">
        <f>IF(ISERROR(I296/E296), "", I296/E296)</f>
        <v>0</v>
      </c>
    </row>
    <row r="297" spans="1:10" ht="25" x14ac:dyDescent="0.35">
      <c r="A297" s="60" t="s">
        <v>55</v>
      </c>
      <c r="B297" s="45"/>
      <c r="C297" s="245">
        <f>'Current (2025) Tariff'!D32</f>
        <v>2.0000000000000001E-4</v>
      </c>
      <c r="D297" s="63">
        <f>B281</f>
        <v>2000</v>
      </c>
      <c r="E297" s="47">
        <f t="shared" si="39"/>
        <v>0.4</v>
      </c>
      <c r="F297" s="253">
        <f>'Proposed (2026) Tariff'!E29</f>
        <v>0</v>
      </c>
      <c r="G297" s="64">
        <f>B281</f>
        <v>2000</v>
      </c>
      <c r="H297" s="49">
        <f t="shared" si="41"/>
        <v>0</v>
      </c>
      <c r="I297" s="50">
        <f t="shared" si="38"/>
        <v>-0.4</v>
      </c>
      <c r="J297" s="51">
        <f t="shared" si="40"/>
        <v>-1</v>
      </c>
    </row>
    <row r="298" spans="1:10" x14ac:dyDescent="0.35">
      <c r="A298" s="60" t="s">
        <v>56</v>
      </c>
      <c r="B298" s="45"/>
      <c r="C298" s="245">
        <f>'Current (2025) Tariff'!D31</f>
        <v>2.0000000000000001E-4</v>
      </c>
      <c r="D298" s="63">
        <f>B281</f>
        <v>2000</v>
      </c>
      <c r="E298" s="47">
        <f>D298*C298</f>
        <v>0.4</v>
      </c>
      <c r="F298" s="253">
        <f>'Proposed (2026) Tariff'!E28</f>
        <v>0</v>
      </c>
      <c r="G298" s="64">
        <f>B281</f>
        <v>2000</v>
      </c>
      <c r="H298" s="49">
        <f>G298*F298</f>
        <v>0</v>
      </c>
      <c r="I298" s="50">
        <f t="shared" si="38"/>
        <v>-0.4</v>
      </c>
      <c r="J298" s="51">
        <f t="shared" si="40"/>
        <v>-1</v>
      </c>
    </row>
    <row r="299" spans="1:10" x14ac:dyDescent="0.35">
      <c r="A299" s="60" t="s">
        <v>57</v>
      </c>
      <c r="B299" s="45"/>
      <c r="C299" s="76">
        <v>0</v>
      </c>
      <c r="D299" s="63">
        <f>B281</f>
        <v>2000</v>
      </c>
      <c r="E299" s="47">
        <f>D299*C299</f>
        <v>0</v>
      </c>
      <c r="F299" s="78">
        <v>0</v>
      </c>
      <c r="G299" s="64">
        <f>B281</f>
        <v>2000</v>
      </c>
      <c r="H299" s="49">
        <f t="shared" si="41"/>
        <v>0</v>
      </c>
      <c r="I299" s="50">
        <f t="shared" si="38"/>
        <v>0</v>
      </c>
      <c r="J299" s="51" t="str">
        <f t="shared" si="40"/>
        <v/>
      </c>
    </row>
    <row r="300" spans="1:10" x14ac:dyDescent="0.35">
      <c r="A300" s="44" t="s">
        <v>58</v>
      </c>
      <c r="B300" s="45"/>
      <c r="C300" s="76">
        <v>0</v>
      </c>
      <c r="D300" s="63">
        <f>IF($E282&gt;0, $E282, $E281)</f>
        <v>0</v>
      </c>
      <c r="E300" s="47">
        <f t="shared" si="39"/>
        <v>0</v>
      </c>
      <c r="F300" s="78"/>
      <c r="G300" s="64">
        <f>IF($E282&gt;0, $E282, $E281)</f>
        <v>0</v>
      </c>
      <c r="H300" s="49">
        <f t="shared" si="41"/>
        <v>0</v>
      </c>
      <c r="I300" s="50">
        <f t="shared" si="38"/>
        <v>0</v>
      </c>
      <c r="J300" s="51" t="str">
        <f t="shared" si="40"/>
        <v/>
      </c>
    </row>
    <row r="301" spans="1:10" x14ac:dyDescent="0.35">
      <c r="A301" s="60" t="s">
        <v>59</v>
      </c>
      <c r="B301" s="45"/>
      <c r="C301" s="243">
        <f>'Current (2025) Tariff'!D29</f>
        <v>0.42</v>
      </c>
      <c r="D301" s="46">
        <v>1</v>
      </c>
      <c r="E301" s="47">
        <f>D301*C301</f>
        <v>0.42</v>
      </c>
      <c r="F301" s="252">
        <f>'Proposed (2026) Tariff'!E26</f>
        <v>0.42</v>
      </c>
      <c r="G301" s="52">
        <v>1</v>
      </c>
      <c r="H301" s="49">
        <f>G301*F301</f>
        <v>0.42</v>
      </c>
      <c r="I301" s="50">
        <f t="shared" si="38"/>
        <v>0</v>
      </c>
      <c r="J301" s="51">
        <f>IF(ISERROR(I301/E301), "", I301/E301)</f>
        <v>0</v>
      </c>
    </row>
    <row r="302" spans="1:10" x14ac:dyDescent="0.35">
      <c r="A302" s="44" t="s">
        <v>60</v>
      </c>
      <c r="B302" s="45"/>
      <c r="C302" s="222">
        <v>0</v>
      </c>
      <c r="D302" s="46">
        <v>1</v>
      </c>
      <c r="E302" s="47">
        <f t="shared" si="39"/>
        <v>0</v>
      </c>
      <c r="F302" s="236">
        <v>0</v>
      </c>
      <c r="G302" s="52">
        <v>1</v>
      </c>
      <c r="H302" s="49">
        <f>G302*F302</f>
        <v>0</v>
      </c>
      <c r="I302" s="50">
        <f>H302-E302</f>
        <v>0</v>
      </c>
      <c r="J302" s="51" t="str">
        <f>IF(ISERROR(I302/E302), "", I302/E302)</f>
        <v/>
      </c>
    </row>
    <row r="303" spans="1:10" x14ac:dyDescent="0.35">
      <c r="A303" s="44" t="s">
        <v>61</v>
      </c>
      <c r="B303" s="45"/>
      <c r="C303" s="76">
        <v>0</v>
      </c>
      <c r="D303" s="63">
        <f>IF($E282&gt;0, $E282, $E281)</f>
        <v>0</v>
      </c>
      <c r="E303" s="47">
        <f>D303*C303</f>
        <v>0</v>
      </c>
      <c r="F303" s="78">
        <v>0</v>
      </c>
      <c r="G303" s="64">
        <f>IF($E282&gt;0, $E282, $E281)</f>
        <v>0</v>
      </c>
      <c r="H303" s="49">
        <f>G303*F303</f>
        <v>0</v>
      </c>
      <c r="I303" s="50">
        <f t="shared" si="38"/>
        <v>0</v>
      </c>
      <c r="J303" s="51" t="str">
        <f>IF(ISERROR(I303/E303), "", I303/E303)</f>
        <v/>
      </c>
    </row>
    <row r="304" spans="1:10" ht="26" x14ac:dyDescent="0.35">
      <c r="A304" s="65" t="s">
        <v>62</v>
      </c>
      <c r="B304" s="66"/>
      <c r="C304" s="225"/>
      <c r="D304" s="67"/>
      <c r="E304" s="68">
        <f>SUM(E295:E303)</f>
        <v>131.500832</v>
      </c>
      <c r="F304" s="239"/>
      <c r="G304" s="69"/>
      <c r="H304" s="68">
        <f>SUM(H295:H303)</f>
        <v>137.48083199999996</v>
      </c>
      <c r="I304" s="58">
        <f t="shared" si="38"/>
        <v>5.9799999999999613</v>
      </c>
      <c r="J304" s="59">
        <f>IF((E304)=0,"",(I304/E304))</f>
        <v>4.5474997450966406E-2</v>
      </c>
    </row>
    <row r="305" spans="1:11" x14ac:dyDescent="0.35">
      <c r="A305" s="70" t="s">
        <v>63</v>
      </c>
      <c r="B305" s="45"/>
      <c r="C305" s="245">
        <f>'Current (2025) Tariff'!D34</f>
        <v>1.17E-2</v>
      </c>
      <c r="D305" s="61">
        <f>B281*B283</f>
        <v>2165.7999999999997</v>
      </c>
      <c r="E305" s="47">
        <f>D305*C305</f>
        <v>25.339859999999998</v>
      </c>
      <c r="F305" s="254">
        <f>'Proposed (2026) Tariff'!E31</f>
        <v>1.21E-2</v>
      </c>
      <c r="G305" s="62">
        <f>D305</f>
        <v>2165.7999999999997</v>
      </c>
      <c r="H305" s="49">
        <f>G305*F305</f>
        <v>26.206179999999996</v>
      </c>
      <c r="I305" s="50">
        <f t="shared" si="38"/>
        <v>0.8663199999999982</v>
      </c>
      <c r="J305" s="51">
        <f>IF(ISERROR(I305/E305), "", I305/E305)</f>
        <v>3.4188034188034122E-2</v>
      </c>
      <c r="K305" s="71" t="str">
        <f>IF(ISERROR(ABS(J305)), "", IF(ABS(J305)&gt;=4%, "In the manager's summary, discuss the reasoning for the change in RTSR rates", ""))</f>
        <v/>
      </c>
    </row>
    <row r="306" spans="1:11" ht="25" x14ac:dyDescent="0.35">
      <c r="A306" s="72" t="s">
        <v>64</v>
      </c>
      <c r="B306" s="45"/>
      <c r="C306" s="245">
        <f>'Current (2025) Tariff'!D35</f>
        <v>8.5000000000000006E-3</v>
      </c>
      <c r="D306" s="61">
        <f>B281*B283</f>
        <v>2165.7999999999997</v>
      </c>
      <c r="E306" s="47">
        <f>D306*C306</f>
        <v>18.409299999999998</v>
      </c>
      <c r="F306" s="254">
        <f>'Proposed (2026) Tariff'!E32</f>
        <v>8.8000000000000005E-3</v>
      </c>
      <c r="G306" s="62">
        <f>D306</f>
        <v>2165.7999999999997</v>
      </c>
      <c r="H306" s="49">
        <f>G306*F306</f>
        <v>19.05904</v>
      </c>
      <c r="I306" s="50">
        <f t="shared" si="38"/>
        <v>0.64974000000000132</v>
      </c>
      <c r="J306" s="51">
        <f>IF(ISERROR(I306/E306), "", I306/E306)</f>
        <v>3.5294117647058899E-2</v>
      </c>
      <c r="K306" s="71" t="str">
        <f>IF(ISERROR(ABS(J306)), "", IF(ABS(J306)&gt;=4%, "In the manager's summary, discuss the reasoning for the change in RTSR rates", ""))</f>
        <v/>
      </c>
    </row>
    <row r="307" spans="1:11" ht="26" x14ac:dyDescent="0.35">
      <c r="A307" s="65" t="s">
        <v>65</v>
      </c>
      <c r="B307" s="54"/>
      <c r="C307" s="225"/>
      <c r="D307" s="67"/>
      <c r="E307" s="68">
        <f>SUM(E304:E306)</f>
        <v>175.24999199999999</v>
      </c>
      <c r="F307" s="239"/>
      <c r="G307" s="57"/>
      <c r="H307" s="68">
        <f>SUM(H304:H306)</f>
        <v>182.74605199999996</v>
      </c>
      <c r="I307" s="58">
        <f t="shared" si="38"/>
        <v>7.4960599999999715</v>
      </c>
      <c r="J307" s="59">
        <f>IF((E307)=0,"",(I307/E307))</f>
        <v>4.2773525490374754E-2</v>
      </c>
    </row>
    <row r="308" spans="1:11" ht="25" x14ac:dyDescent="0.35">
      <c r="A308" s="73" t="s">
        <v>66</v>
      </c>
      <c r="B308" s="45"/>
      <c r="C308" s="245">
        <f>'Current (2025) Tariff'!D39+'Current (2025) Tariff'!D40</f>
        <v>4.5000000000000005E-3</v>
      </c>
      <c r="D308" s="61">
        <f>B281*B283</f>
        <v>2165.7999999999997</v>
      </c>
      <c r="E308" s="74">
        <f t="shared" ref="E308:E314" si="42">D308*C308</f>
        <v>9.7461000000000002</v>
      </c>
      <c r="F308" s="253">
        <f>'Proposed (2026) Tariff'!E36+'Proposed (2026) Tariff'!E37</f>
        <v>4.5000000000000005E-3</v>
      </c>
      <c r="G308" s="62">
        <f>B281*B284</f>
        <v>2165.7999999999997</v>
      </c>
      <c r="H308" s="49">
        <f t="shared" ref="H308:H314" si="43">G308*F308</f>
        <v>9.7461000000000002</v>
      </c>
      <c r="I308" s="50">
        <f t="shared" si="38"/>
        <v>0</v>
      </c>
      <c r="J308" s="51">
        <f t="shared" ref="J308:J314" si="44">IF(ISERROR(I308/E308), "", I308/E308)</f>
        <v>0</v>
      </c>
    </row>
    <row r="309" spans="1:11" ht="25" x14ac:dyDescent="0.35">
      <c r="A309" s="73" t="s">
        <v>67</v>
      </c>
      <c r="B309" s="45"/>
      <c r="C309" s="245">
        <f>'Current (2025) Tariff'!D41</f>
        <v>1.5E-3</v>
      </c>
      <c r="D309" s="61">
        <f>B281*B283</f>
        <v>2165.7999999999997</v>
      </c>
      <c r="E309" s="74">
        <f t="shared" si="42"/>
        <v>3.2486999999999995</v>
      </c>
      <c r="F309" s="253">
        <f>+'Proposed (2026) Tariff'!E38</f>
        <v>1.5E-3</v>
      </c>
      <c r="G309" s="62">
        <f>B281*B284</f>
        <v>2165.7999999999997</v>
      </c>
      <c r="H309" s="49">
        <f t="shared" si="43"/>
        <v>3.2486999999999995</v>
      </c>
      <c r="I309" s="50">
        <f t="shared" si="38"/>
        <v>0</v>
      </c>
      <c r="J309" s="51">
        <f t="shared" si="44"/>
        <v>0</v>
      </c>
    </row>
    <row r="310" spans="1:11" x14ac:dyDescent="0.35">
      <c r="A310" s="75" t="s">
        <v>68</v>
      </c>
      <c r="B310" s="45"/>
      <c r="C310" s="245">
        <f>'Current (2025) Tariff'!D42</f>
        <v>0.25</v>
      </c>
      <c r="D310" s="46">
        <v>1</v>
      </c>
      <c r="E310" s="74">
        <f t="shared" si="42"/>
        <v>0.25</v>
      </c>
      <c r="F310" s="252">
        <f>+'Proposed (2026) Tariff'!E39</f>
        <v>0.25</v>
      </c>
      <c r="G310" s="48">
        <v>1</v>
      </c>
      <c r="H310" s="49">
        <f t="shared" si="43"/>
        <v>0.25</v>
      </c>
      <c r="I310" s="50">
        <f t="shared" si="38"/>
        <v>0</v>
      </c>
      <c r="J310" s="51">
        <f t="shared" si="44"/>
        <v>0</v>
      </c>
    </row>
    <row r="311" spans="1:11" ht="25" x14ac:dyDescent="0.35">
      <c r="A311" s="73" t="s">
        <v>69</v>
      </c>
      <c r="B311" s="45"/>
      <c r="C311" s="76"/>
      <c r="D311" s="61"/>
      <c r="E311" s="74"/>
      <c r="F311" s="78"/>
      <c r="G311" s="62"/>
      <c r="H311" s="49"/>
      <c r="I311" s="50"/>
      <c r="J311" s="51"/>
    </row>
    <row r="312" spans="1:11" x14ac:dyDescent="0.35">
      <c r="A312" s="75" t="s">
        <v>70</v>
      </c>
      <c r="B312" s="45"/>
      <c r="C312" s="245">
        <f>+'Other Charges'!D23</f>
        <v>7.5999999999999998E-2</v>
      </c>
      <c r="D312" s="77">
        <f>$B$281*'Other Charges'!E23</f>
        <v>1280</v>
      </c>
      <c r="E312" s="74">
        <f t="shared" si="42"/>
        <v>97.28</v>
      </c>
      <c r="F312" s="253">
        <f>'Other Charges'!D23</f>
        <v>7.5999999999999998E-2</v>
      </c>
      <c r="G312" s="79">
        <f>D312</f>
        <v>1280</v>
      </c>
      <c r="H312" s="49">
        <f t="shared" si="43"/>
        <v>97.28</v>
      </c>
      <c r="I312" s="50">
        <f>H312-E312</f>
        <v>0</v>
      </c>
      <c r="J312" s="51">
        <f t="shared" si="44"/>
        <v>0</v>
      </c>
    </row>
    <row r="313" spans="1:11" x14ac:dyDescent="0.35">
      <c r="A313" s="75" t="s">
        <v>71</v>
      </c>
      <c r="B313" s="45"/>
      <c r="C313" s="245">
        <f>+'Other Charges'!D24</f>
        <v>0.122</v>
      </c>
      <c r="D313" s="77">
        <f>$B$281*'Other Charges'!E24</f>
        <v>360</v>
      </c>
      <c r="E313" s="74">
        <f t="shared" si="42"/>
        <v>43.92</v>
      </c>
      <c r="F313" s="253">
        <f>'Other Charges'!D24</f>
        <v>0.122</v>
      </c>
      <c r="G313" s="79">
        <f>D313</f>
        <v>360</v>
      </c>
      <c r="H313" s="49">
        <f t="shared" si="43"/>
        <v>43.92</v>
      </c>
      <c r="I313" s="50">
        <f>H313-E313</f>
        <v>0</v>
      </c>
      <c r="J313" s="51">
        <f t="shared" si="44"/>
        <v>0</v>
      </c>
    </row>
    <row r="314" spans="1:11" ht="19.5" customHeight="1" thickBot="1" x14ac:dyDescent="0.4">
      <c r="A314" s="31" t="s">
        <v>72</v>
      </c>
      <c r="B314" s="45"/>
      <c r="C314" s="245">
        <f>'Other Charges'!D25</f>
        <v>0.158</v>
      </c>
      <c r="D314" s="77">
        <f>$B$281*'Other Charges'!E25</f>
        <v>360</v>
      </c>
      <c r="E314" s="74">
        <f t="shared" si="42"/>
        <v>56.88</v>
      </c>
      <c r="F314" s="253">
        <f>'Other Charges'!D25</f>
        <v>0.158</v>
      </c>
      <c r="G314" s="79">
        <f>D314</f>
        <v>360</v>
      </c>
      <c r="H314" s="49">
        <f t="shared" si="43"/>
        <v>56.88</v>
      </c>
      <c r="I314" s="50">
        <f>H314-E314</f>
        <v>0</v>
      </c>
      <c r="J314" s="51">
        <f t="shared" si="44"/>
        <v>0</v>
      </c>
    </row>
    <row r="315" spans="1:11" ht="15" thickBot="1" x14ac:dyDescent="0.4">
      <c r="A315" s="80"/>
      <c r="B315" s="81"/>
      <c r="C315" s="226"/>
      <c r="D315" s="82"/>
      <c r="E315" s="83"/>
      <c r="F315" s="226"/>
      <c r="G315" s="84"/>
      <c r="H315" s="83"/>
      <c r="I315" s="85"/>
      <c r="J315" s="86"/>
    </row>
    <row r="316" spans="1:11" x14ac:dyDescent="0.35">
      <c r="A316" s="87" t="s">
        <v>75</v>
      </c>
      <c r="B316" s="75"/>
      <c r="C316" s="227"/>
      <c r="D316" s="88"/>
      <c r="E316" s="89">
        <f>SUM(E308:E314,E307)</f>
        <v>386.574792</v>
      </c>
      <c r="F316" s="90"/>
      <c r="G316" s="90"/>
      <c r="H316" s="89">
        <f>SUM(H308:H314,H307)</f>
        <v>394.07085199999995</v>
      </c>
      <c r="I316" s="91">
        <f>H316-E316</f>
        <v>7.4960599999999431</v>
      </c>
      <c r="J316" s="92">
        <f>IF((E316)=0,"",(I316/E316))</f>
        <v>1.9390969497048691E-2</v>
      </c>
    </row>
    <row r="317" spans="1:11" x14ac:dyDescent="0.35">
      <c r="A317" s="93" t="s">
        <v>76</v>
      </c>
      <c r="B317" s="75"/>
      <c r="C317" s="227">
        <v>0.13</v>
      </c>
      <c r="D317" s="94"/>
      <c r="E317" s="95">
        <f>E316*C317</f>
        <v>50.254722960000002</v>
      </c>
      <c r="F317" s="96">
        <v>0.13</v>
      </c>
      <c r="G317" s="46"/>
      <c r="H317" s="95">
        <f>H316*F317</f>
        <v>51.229210759999994</v>
      </c>
      <c r="I317" s="50">
        <f>H317-E317</f>
        <v>0.97448779999999147</v>
      </c>
      <c r="J317" s="97">
        <f>IF((E317)=0,"",(I317/E317))</f>
        <v>1.9390969497048671E-2</v>
      </c>
    </row>
    <row r="318" spans="1:11" x14ac:dyDescent="0.35">
      <c r="A318" s="93" t="s">
        <v>77</v>
      </c>
      <c r="B318"/>
      <c r="C318" s="247">
        <f>'Other Charges'!D31</f>
        <v>0.13100000000000001</v>
      </c>
      <c r="D318" s="94"/>
      <c r="E318" s="95">
        <f>IF(OR(ISNUMBER(SEARCH("[DGEN]", B279))=TRUE, ISNUMBER(SEARCH("STREET LIGHT", B279))=TRUE), 0, IF(AND(B281=0, B282=0),0, IF(AND(B282=0, B281*12&gt;250000), 0, IF(AND(B281=0, B282&gt;=50), 0, IF(B281*12&lt;=250000, C318*E316*-1, IF(B282&lt;50, C318*E316*-1, 0))))))</f>
        <v>-50.641297752</v>
      </c>
      <c r="F318" s="247">
        <f>'Other Charges'!D31</f>
        <v>0.13100000000000001</v>
      </c>
      <c r="G318" s="46"/>
      <c r="H318" s="95">
        <f>IF(OR(ISNUMBER(SEARCH("[DGEN]", B279))=TRUE, ISNUMBER(SEARCH("STREET LIGHT", B279))=TRUE), 0, IF(AND(B281=0, B282=0),0, IF(AND(B282=0, B281*12&gt;250000), 0, IF(AND(B281=0, B282&gt;=50), 0, IF(B281*12&lt;=250000, F318*H316*-1, IF(B282&lt;50, F318*H316*-1, 0))))))</f>
        <v>-51.623281611999992</v>
      </c>
      <c r="I318" s="50">
        <f>H318-E318</f>
        <v>-0.9819838599999926</v>
      </c>
      <c r="J318" s="97"/>
    </row>
    <row r="319" spans="1:11" ht="15" thickBot="1" x14ac:dyDescent="0.4">
      <c r="A319" s="321" t="s">
        <v>78</v>
      </c>
      <c r="B319" s="321"/>
      <c r="C319" s="229"/>
      <c r="D319" s="98"/>
      <c r="E319" s="99">
        <f>E316+E317+E318</f>
        <v>386.18821720799997</v>
      </c>
      <c r="F319" s="240"/>
      <c r="G319" s="100"/>
      <c r="H319" s="101">
        <f>H316+H317+H318</f>
        <v>393.67678114799998</v>
      </c>
      <c r="I319" s="102">
        <f>H319-E319</f>
        <v>7.4885639400000059</v>
      </c>
      <c r="J319" s="103">
        <f>IF((E319)=0,"",(I319/E319))</f>
        <v>1.9390969497048858E-2</v>
      </c>
    </row>
    <row r="320" spans="1:11" ht="15" thickBot="1" x14ac:dyDescent="0.4">
      <c r="A320" s="80"/>
      <c r="B320" s="81"/>
      <c r="C320" s="226"/>
      <c r="D320" s="82"/>
      <c r="E320" s="83"/>
      <c r="F320" s="226"/>
      <c r="G320" s="84"/>
      <c r="H320" s="83"/>
      <c r="I320" s="85"/>
      <c r="J320" s="86"/>
    </row>
    <row r="321" spans="1:11" hidden="1" x14ac:dyDescent="0.35">
      <c r="A321" s="87" t="s">
        <v>79</v>
      </c>
      <c r="B321" s="75"/>
      <c r="C321" s="227"/>
      <c r="D321" s="88"/>
      <c r="E321" s="89" t="e">
        <f>SUM(#REF!,E308:E311,E307)</f>
        <v>#REF!</v>
      </c>
      <c r="F321" s="90"/>
      <c r="G321" s="90"/>
      <c r="H321" s="89" t="e">
        <f>SUM(#REF!,H308:H311,H307)</f>
        <v>#REF!</v>
      </c>
      <c r="I321" s="91" t="e">
        <f>H321-E321</f>
        <v>#REF!</v>
      </c>
      <c r="J321" s="92" t="e">
        <f>IF((E321)=0,"",(I321/E321))</f>
        <v>#REF!</v>
      </c>
    </row>
    <row r="322" spans="1:11" hidden="1" x14ac:dyDescent="0.35">
      <c r="A322" s="93" t="s">
        <v>76</v>
      </c>
      <c r="B322" s="75"/>
      <c r="C322" s="227">
        <v>0.13</v>
      </c>
      <c r="D322" s="88"/>
      <c r="E322" s="95" t="e">
        <f>E321*C322</f>
        <v>#REF!</v>
      </c>
      <c r="F322" s="227">
        <v>0.13</v>
      </c>
      <c r="G322" s="96"/>
      <c r="H322" s="95" t="e">
        <f>H321*F322</f>
        <v>#REF!</v>
      </c>
      <c r="I322" s="50" t="e">
        <f>H322-E322</f>
        <v>#REF!</v>
      </c>
      <c r="J322" s="97" t="e">
        <f>IF((E322)=0,"",(I322/E322))</f>
        <v>#REF!</v>
      </c>
    </row>
    <row r="323" spans="1:11" hidden="1" x14ac:dyDescent="0.35">
      <c r="A323" s="93" t="s">
        <v>77</v>
      </c>
      <c r="B323"/>
      <c r="C323" s="228">
        <v>0.11700000000000001</v>
      </c>
      <c r="D323" s="88"/>
      <c r="E323" s="95" t="e">
        <f>IF(OR(ISNUMBER(SEARCH("[DGEN]", B279))=TRUE, ISNUMBER(SEARCH("STREET LIGHT", B279))=TRUE), 0, IF(AND(B281=0, B282=0),0, IF(AND(B282=0, B281*12&gt;250000), 0, IF(AND(B281=0, B282&gt;=50), 0, IF(B281*12&lt;=250000, C323*E321*-1, IF(B282&lt;50, C323*E321*-1, 0))))))</f>
        <v>#REF!</v>
      </c>
      <c r="F323" s="228">
        <v>0.11700000000000001</v>
      </c>
      <c r="G323" s="96"/>
      <c r="H323" s="95" t="e">
        <f>IF(OR(ISNUMBER(SEARCH("[DGEN]", B279))=TRUE, ISNUMBER(SEARCH("STREET LIGHT", B279))=TRUE), 0, IF(AND(B281=0, B282=0),0, IF(AND(B282=0, B281*12&gt;250000), 0, IF(AND(B281=0, B282&gt;=50), 0, IF(B281*12&lt;=250000, F323*H321*-1, IF(B282&lt;50, F323*H321*-1, 0))))))</f>
        <v>#REF!</v>
      </c>
      <c r="I323" s="50"/>
      <c r="J323" s="97"/>
    </row>
    <row r="324" spans="1:11" ht="15" hidden="1" thickBot="1" x14ac:dyDescent="0.4">
      <c r="A324" s="321" t="s">
        <v>79</v>
      </c>
      <c r="B324" s="321"/>
      <c r="C324" s="230"/>
      <c r="D324" s="104"/>
      <c r="E324" s="99" t="e">
        <f>SUM(E321,E322)</f>
        <v>#REF!</v>
      </c>
      <c r="F324" s="241"/>
      <c r="G324" s="105"/>
      <c r="H324" s="99" t="e">
        <f>SUM(H321,H322)</f>
        <v>#REF!</v>
      </c>
      <c r="I324" s="106" t="e">
        <f>H324-E324</f>
        <v>#REF!</v>
      </c>
      <c r="J324" s="107" t="e">
        <f>IF((E324)=0,"",(I324/E324))</f>
        <v>#REF!</v>
      </c>
    </row>
    <row r="325" spans="1:11" ht="15" hidden="1" thickBot="1" x14ac:dyDescent="0.4">
      <c r="A325" s="80"/>
      <c r="B325" s="81"/>
      <c r="C325" s="231"/>
      <c r="D325" s="108"/>
      <c r="E325" s="109"/>
      <c r="F325" s="231"/>
      <c r="G325" s="82"/>
      <c r="H325" s="109"/>
      <c r="I325" s="110"/>
      <c r="J325" s="86"/>
    </row>
    <row r="326" spans="1:11" hidden="1" x14ac:dyDescent="0.35">
      <c r="A326" s="87" t="s">
        <v>80</v>
      </c>
      <c r="B326" s="75"/>
      <c r="C326" s="227"/>
      <c r="D326" s="88"/>
      <c r="E326" s="89" t="e">
        <f>SUM(#REF!,E308:E311,E307)</f>
        <v>#REF!</v>
      </c>
      <c r="F326" s="90"/>
      <c r="G326" s="90"/>
      <c r="H326" s="89" t="e">
        <f>SUM(#REF!,H308:H311,H307)</f>
        <v>#REF!</v>
      </c>
      <c r="I326" s="91" t="e">
        <f>H326-E326</f>
        <v>#REF!</v>
      </c>
      <c r="J326" s="92" t="e">
        <f>IF((E326)=0,"",(I326/E326))</f>
        <v>#REF!</v>
      </c>
    </row>
    <row r="327" spans="1:11" hidden="1" x14ac:dyDescent="0.35">
      <c r="A327" s="93" t="s">
        <v>76</v>
      </c>
      <c r="B327" s="75"/>
      <c r="C327" s="227">
        <v>0.13</v>
      </c>
      <c r="D327" s="88"/>
      <c r="E327" s="95" t="e">
        <f>E326*C327</f>
        <v>#REF!</v>
      </c>
      <c r="F327" s="227">
        <v>0.13</v>
      </c>
      <c r="G327" s="96"/>
      <c r="H327" s="95" t="e">
        <f>H326*F327</f>
        <v>#REF!</v>
      </c>
      <c r="I327" s="50" t="e">
        <f>H327-E327</f>
        <v>#REF!</v>
      </c>
      <c r="J327" s="97" t="e">
        <f>IF((E327)=0,"",(I327/E327))</f>
        <v>#REF!</v>
      </c>
    </row>
    <row r="328" spans="1:11" hidden="1" x14ac:dyDescent="0.35">
      <c r="A328" s="93" t="s">
        <v>77</v>
      </c>
      <c r="B328"/>
      <c r="C328" s="228">
        <v>0.11700000000000001</v>
      </c>
      <c r="D328" s="88"/>
      <c r="E328" s="95" t="e">
        <f>IF(OR(ISNUMBER(SEARCH("[DGEN]", B279))=TRUE, ISNUMBER(SEARCH("STREET LIGHT", B279))=TRUE), 0, IF(AND(B281=0, B282=0),0, IF(AND(B282=0, B281*12&gt;250000), 0, IF(AND(B281=0, B282&gt;=50), 0, IF(B281*12&lt;=250000, C328*E326*-1, IF(B282&lt;50, C328*E326*-1, 0))))))</f>
        <v>#REF!</v>
      </c>
      <c r="F328" s="228">
        <v>0.11700000000000001</v>
      </c>
      <c r="G328" s="96"/>
      <c r="H328" s="95" t="e">
        <f>IF(OR(ISNUMBER(SEARCH("[DGEN]", B279))=TRUE, ISNUMBER(SEARCH("STREET LIGHT", B279))=TRUE), 0, IF(AND(B281=0, B282=0),0, IF(AND(B282=0, B281*12&gt;250000), 0, IF(AND(B281=0, B282&gt;=50), 0, IF(B281*12&lt;=250000, F328*H326*-1, IF(B282&lt;50, F328*H326*-1, 0))))))</f>
        <v>#REF!</v>
      </c>
      <c r="I328" s="50"/>
      <c r="J328" s="97"/>
    </row>
    <row r="329" spans="1:11" ht="15" hidden="1" thickBot="1" x14ac:dyDescent="0.4">
      <c r="A329" s="321" t="s">
        <v>80</v>
      </c>
      <c r="B329" s="321"/>
      <c r="C329" s="230"/>
      <c r="D329" s="104"/>
      <c r="E329" s="99" t="e">
        <f>SUM(E326,E327)</f>
        <v>#REF!</v>
      </c>
      <c r="F329" s="241"/>
      <c r="G329" s="105"/>
      <c r="H329" s="99" t="e">
        <f>SUM(H326,H327)</f>
        <v>#REF!</v>
      </c>
      <c r="I329" s="106" t="e">
        <f>H329-E329</f>
        <v>#REF!</v>
      </c>
      <c r="J329" s="107" t="e">
        <f>IF((E329)=0,"",(I329/E329))</f>
        <v>#REF!</v>
      </c>
    </row>
    <row r="330" spans="1:11" ht="15" hidden="1" thickBot="1" x14ac:dyDescent="0.4">
      <c r="A330" s="80"/>
      <c r="B330" s="81"/>
      <c r="C330" s="232"/>
      <c r="D330" s="108"/>
      <c r="E330" s="111"/>
      <c r="F330" s="232"/>
      <c r="G330" s="82"/>
      <c r="H330" s="111"/>
      <c r="I330" s="110"/>
      <c r="J330" s="112"/>
    </row>
    <row r="333" spans="1:11" x14ac:dyDescent="0.35">
      <c r="A333" s="30" t="s">
        <v>30</v>
      </c>
      <c r="B333" s="310" t="str">
        <f>A21</f>
        <v>SEASONAL CUSTOMERS SERVICE CLASSIFICATION</v>
      </c>
      <c r="C333" s="310"/>
      <c r="D333" s="310"/>
      <c r="E333" s="310"/>
      <c r="F333" s="310"/>
      <c r="G333" s="310"/>
      <c r="H333" s="31" t="str">
        <f>IF(K21="DEMAND - INTERVAL","RTSR - INTERVAL METERED","")</f>
        <v/>
      </c>
    </row>
    <row r="334" spans="1:11" x14ac:dyDescent="0.35">
      <c r="A334" s="30" t="s">
        <v>31</v>
      </c>
      <c r="B334" s="311" t="str">
        <f>E21</f>
        <v>RPP</v>
      </c>
      <c r="C334" s="311"/>
      <c r="D334" s="311"/>
      <c r="E334" s="32"/>
      <c r="F334" s="235"/>
    </row>
    <row r="335" spans="1:11" ht="15.5" x14ac:dyDescent="0.35">
      <c r="A335" s="30" t="s">
        <v>32</v>
      </c>
      <c r="B335" s="33">
        <f>H21</f>
        <v>15</v>
      </c>
      <c r="C335" s="34" t="s">
        <v>33</v>
      </c>
      <c r="G335" s="35"/>
      <c r="H335" s="35"/>
      <c r="I335" s="35"/>
      <c r="J335" s="35"/>
      <c r="K335" s="35"/>
    </row>
    <row r="336" spans="1:11" ht="15.5" x14ac:dyDescent="0.35">
      <c r="A336" s="30" t="s">
        <v>34</v>
      </c>
      <c r="B336" s="33">
        <f>I21</f>
        <v>0</v>
      </c>
      <c r="C336" s="221" t="s">
        <v>35</v>
      </c>
      <c r="D336" s="36"/>
      <c r="E336" s="37"/>
      <c r="F336" s="37"/>
      <c r="G336" s="37"/>
    </row>
    <row r="337" spans="1:10" x14ac:dyDescent="0.35">
      <c r="A337" s="30" t="s">
        <v>36</v>
      </c>
      <c r="B337" s="38">
        <f>F21</f>
        <v>1.0829</v>
      </c>
    </row>
    <row r="338" spans="1:10" x14ac:dyDescent="0.35">
      <c r="A338" s="30" t="s">
        <v>37</v>
      </c>
      <c r="B338" s="38">
        <f>G21</f>
        <v>1.0829</v>
      </c>
    </row>
    <row r="340" spans="1:10" x14ac:dyDescent="0.35">
      <c r="B340" s="34"/>
      <c r="C340" s="312" t="s">
        <v>38</v>
      </c>
      <c r="D340" s="313"/>
      <c r="E340" s="314"/>
      <c r="F340" s="312" t="s">
        <v>39</v>
      </c>
      <c r="G340" s="313"/>
      <c r="H340" s="314"/>
      <c r="I340" s="312" t="s">
        <v>40</v>
      </c>
      <c r="J340" s="314"/>
    </row>
    <row r="341" spans="1:10" x14ac:dyDescent="0.35">
      <c r="B341" s="315"/>
      <c r="C341" s="39" t="s">
        <v>41</v>
      </c>
      <c r="D341" s="39" t="s">
        <v>42</v>
      </c>
      <c r="E341" s="40" t="s">
        <v>43</v>
      </c>
      <c r="F341" s="39" t="s">
        <v>41</v>
      </c>
      <c r="G341" s="41" t="s">
        <v>42</v>
      </c>
      <c r="H341" s="40" t="s">
        <v>43</v>
      </c>
      <c r="I341" s="317" t="s">
        <v>44</v>
      </c>
      <c r="J341" s="319" t="s">
        <v>45</v>
      </c>
    </row>
    <row r="342" spans="1:10" x14ac:dyDescent="0.35">
      <c r="B342" s="316"/>
      <c r="C342" s="42" t="s">
        <v>46</v>
      </c>
      <c r="D342" s="42"/>
      <c r="E342" s="43" t="s">
        <v>46</v>
      </c>
      <c r="F342" s="42" t="s">
        <v>46</v>
      </c>
      <c r="G342" s="43"/>
      <c r="H342" s="43" t="s">
        <v>46</v>
      </c>
      <c r="I342" s="318"/>
      <c r="J342" s="320"/>
    </row>
    <row r="343" spans="1:10" x14ac:dyDescent="0.35">
      <c r="A343" s="44" t="s">
        <v>47</v>
      </c>
      <c r="B343" s="45"/>
      <c r="C343" s="242">
        <f t="shared" ref="C343:C348" si="45">C182</f>
        <v>99.05</v>
      </c>
      <c r="D343" s="46">
        <v>1</v>
      </c>
      <c r="E343" s="47">
        <f>D343*C343</f>
        <v>99.05</v>
      </c>
      <c r="F343" s="251">
        <f t="shared" ref="F343:F348" si="46">F182</f>
        <v>105.13</v>
      </c>
      <c r="G343" s="48">
        <f>D343</f>
        <v>1</v>
      </c>
      <c r="H343" s="49">
        <f>G343*F343</f>
        <v>105.13</v>
      </c>
      <c r="I343" s="50">
        <f t="shared" ref="I343:I364" si="47">H343-E343</f>
        <v>6.0799999999999983</v>
      </c>
      <c r="J343" s="51">
        <f>IF(ISERROR(I343/E343), "", I343/E343)</f>
        <v>6.1383139828369494E-2</v>
      </c>
    </row>
    <row r="344" spans="1:10" x14ac:dyDescent="0.35">
      <c r="A344" s="44" t="s">
        <v>48</v>
      </c>
      <c r="B344" s="45"/>
      <c r="C344" s="242">
        <f t="shared" si="45"/>
        <v>4.5900000000000003E-2</v>
      </c>
      <c r="D344" s="137">
        <f>B335</f>
        <v>15</v>
      </c>
      <c r="E344" s="47">
        <f t="shared" ref="E344:E356" si="48">D344*C344</f>
        <v>0.6885</v>
      </c>
      <c r="F344" s="251">
        <f t="shared" si="46"/>
        <v>2.5000000000000001E-2</v>
      </c>
      <c r="G344" s="138">
        <f>B335</f>
        <v>15</v>
      </c>
      <c r="H344" s="49">
        <f>G344*F344</f>
        <v>0.375</v>
      </c>
      <c r="I344" s="50">
        <f t="shared" si="47"/>
        <v>-0.3135</v>
      </c>
      <c r="J344" s="51">
        <f t="shared" ref="J344:J354" si="49">IF(ISERROR(I344/E344), "", I344/E344)</f>
        <v>-0.45533769063180829</v>
      </c>
    </row>
    <row r="345" spans="1:10" x14ac:dyDescent="0.35">
      <c r="A345" s="44" t="s">
        <v>49</v>
      </c>
      <c r="B345" s="45"/>
      <c r="C345" s="222">
        <f t="shared" si="45"/>
        <v>0</v>
      </c>
      <c r="D345" s="46">
        <f>IF($E336&gt;0, $E336, $E335)</f>
        <v>0</v>
      </c>
      <c r="E345" s="47">
        <v>0</v>
      </c>
      <c r="F345" s="251">
        <f t="shared" si="46"/>
        <v>0</v>
      </c>
      <c r="G345" s="48">
        <f>IF($E336&gt;0, $E336, $E335)</f>
        <v>0</v>
      </c>
      <c r="H345" s="49">
        <v>0</v>
      </c>
      <c r="I345" s="50"/>
      <c r="J345" s="51"/>
    </row>
    <row r="346" spans="1:10" x14ac:dyDescent="0.35">
      <c r="A346" s="44" t="s">
        <v>50</v>
      </c>
      <c r="B346" s="45"/>
      <c r="C346" s="222">
        <f t="shared" si="45"/>
        <v>0</v>
      </c>
      <c r="D346" s="46">
        <f>IF($E336&gt;0, $E336, $E335)</f>
        <v>0</v>
      </c>
      <c r="E346" s="47">
        <v>0</v>
      </c>
      <c r="F346" s="251">
        <f t="shared" si="46"/>
        <v>0</v>
      </c>
      <c r="G346" s="52">
        <f>IF($E336&gt;0, $E336, $E335)</f>
        <v>0</v>
      </c>
      <c r="H346" s="49">
        <v>0</v>
      </c>
      <c r="I346" s="50">
        <f>H346-E346</f>
        <v>0</v>
      </c>
      <c r="J346" s="51" t="str">
        <f>IF(ISERROR(I346/E346), "", I346/E346)</f>
        <v/>
      </c>
    </row>
    <row r="347" spans="1:10" x14ac:dyDescent="0.35">
      <c r="A347" s="44" t="s">
        <v>51</v>
      </c>
      <c r="B347" s="45"/>
      <c r="C347" s="242">
        <f t="shared" si="45"/>
        <v>-3.75</v>
      </c>
      <c r="D347" s="46">
        <v>1</v>
      </c>
      <c r="E347" s="47">
        <f t="shared" si="48"/>
        <v>-3.75</v>
      </c>
      <c r="F347" s="251">
        <f>F186</f>
        <v>-1.05</v>
      </c>
      <c r="G347" s="48">
        <f>D347</f>
        <v>1</v>
      </c>
      <c r="H347" s="49">
        <f t="shared" ref="H347:H354" si="50">G347*F347</f>
        <v>-1.05</v>
      </c>
      <c r="I347" s="50">
        <f t="shared" si="47"/>
        <v>2.7</v>
      </c>
      <c r="J347" s="51">
        <f t="shared" si="49"/>
        <v>-0.72000000000000008</v>
      </c>
    </row>
    <row r="348" spans="1:10" x14ac:dyDescent="0.35">
      <c r="A348" s="44" t="s">
        <v>52</v>
      </c>
      <c r="B348" s="45"/>
      <c r="C348" s="222">
        <f t="shared" si="45"/>
        <v>0</v>
      </c>
      <c r="D348" s="137">
        <f>B335</f>
        <v>15</v>
      </c>
      <c r="E348" s="47">
        <f t="shared" si="48"/>
        <v>0</v>
      </c>
      <c r="F348" s="251">
        <f t="shared" si="46"/>
        <v>0</v>
      </c>
      <c r="G348" s="138">
        <f>B335</f>
        <v>15</v>
      </c>
      <c r="H348" s="49">
        <f t="shared" si="50"/>
        <v>0</v>
      </c>
      <c r="I348" s="50">
        <f t="shared" si="47"/>
        <v>0</v>
      </c>
      <c r="J348" s="51" t="str">
        <f t="shared" si="49"/>
        <v/>
      </c>
    </row>
    <row r="349" spans="1:10" x14ac:dyDescent="0.35">
      <c r="A349" s="53" t="s">
        <v>53</v>
      </c>
      <c r="B349" s="54"/>
      <c r="C349" s="223"/>
      <c r="D349" s="55"/>
      <c r="E349" s="56">
        <f>SUM(E343:E348)</f>
        <v>95.988500000000002</v>
      </c>
      <c r="F349" s="237"/>
      <c r="G349" s="57"/>
      <c r="H349" s="56">
        <f>SUM(H343:H348)</f>
        <v>104.455</v>
      </c>
      <c r="I349" s="58">
        <f t="shared" si="47"/>
        <v>8.4664999999999964</v>
      </c>
      <c r="J349" s="59">
        <f>IF((E349)=0,"",(I349/E349))</f>
        <v>8.8203274350573208E-2</v>
      </c>
    </row>
    <row r="350" spans="1:10" x14ac:dyDescent="0.35">
      <c r="A350" s="60" t="s">
        <v>54</v>
      </c>
      <c r="B350" s="45"/>
      <c r="C350" s="245">
        <f t="shared" ref="C350:C357" si="51">C189</f>
        <v>9.9039999999999989E-2</v>
      </c>
      <c r="D350" s="61">
        <f>B335*(B337-1)</f>
        <v>1.2434999999999996</v>
      </c>
      <c r="E350" s="47">
        <f>D350*C350</f>
        <v>0.12315623999999994</v>
      </c>
      <c r="F350" s="253">
        <f t="shared" ref="F350:F357" si="52">F189</f>
        <v>9.9039999999999989E-2</v>
      </c>
      <c r="G350" s="62">
        <f>IF(F350=0, 0, B335*B338-B335)</f>
        <v>1.2435000000000009</v>
      </c>
      <c r="H350" s="49">
        <f>G350*F350</f>
        <v>0.12315624000000008</v>
      </c>
      <c r="I350" s="50">
        <f>H350-E350</f>
        <v>1.3877787807814457E-16</v>
      </c>
      <c r="J350" s="51">
        <f>IF(ISERROR(I350/E350), "", I350/E350)</f>
        <v>1.1268440647274115E-15</v>
      </c>
    </row>
    <row r="351" spans="1:10" ht="25" x14ac:dyDescent="0.35">
      <c r="A351" s="60" t="s">
        <v>55</v>
      </c>
      <c r="B351" s="45"/>
      <c r="C351" s="245">
        <f t="shared" si="51"/>
        <v>-4.0000000000000002E-4</v>
      </c>
      <c r="D351" s="63">
        <f>B335</f>
        <v>15</v>
      </c>
      <c r="E351" s="47">
        <f t="shared" si="48"/>
        <v>-6.0000000000000001E-3</v>
      </c>
      <c r="F351" s="253">
        <f t="shared" si="52"/>
        <v>0</v>
      </c>
      <c r="G351" s="64">
        <f>B335</f>
        <v>15</v>
      </c>
      <c r="H351" s="49">
        <f t="shared" si="50"/>
        <v>0</v>
      </c>
      <c r="I351" s="50">
        <f t="shared" si="47"/>
        <v>6.0000000000000001E-3</v>
      </c>
      <c r="J351" s="51">
        <f t="shared" si="49"/>
        <v>-1</v>
      </c>
    </row>
    <row r="352" spans="1:10" x14ac:dyDescent="0.35">
      <c r="A352" s="60" t="s">
        <v>56</v>
      </c>
      <c r="B352" s="45"/>
      <c r="C352" s="245">
        <f t="shared" si="51"/>
        <v>2.0000000000000001E-4</v>
      </c>
      <c r="D352" s="63">
        <f>B335</f>
        <v>15</v>
      </c>
      <c r="E352" s="47">
        <f>D352*C352</f>
        <v>3.0000000000000001E-3</v>
      </c>
      <c r="F352" s="253">
        <f t="shared" si="52"/>
        <v>0</v>
      </c>
      <c r="G352" s="64">
        <f>B335</f>
        <v>15</v>
      </c>
      <c r="H352" s="49">
        <f>G352*F352</f>
        <v>0</v>
      </c>
      <c r="I352" s="50">
        <f t="shared" si="47"/>
        <v>-3.0000000000000001E-3</v>
      </c>
      <c r="J352" s="51">
        <f t="shared" si="49"/>
        <v>-1</v>
      </c>
    </row>
    <row r="353" spans="1:11" x14ac:dyDescent="0.35">
      <c r="A353" s="60" t="s">
        <v>57</v>
      </c>
      <c r="B353" s="45"/>
      <c r="C353" s="76">
        <f t="shared" si="51"/>
        <v>0</v>
      </c>
      <c r="D353" s="63">
        <f>B335</f>
        <v>15</v>
      </c>
      <c r="E353" s="47">
        <f>D353*C353</f>
        <v>0</v>
      </c>
      <c r="F353" s="78">
        <f t="shared" si="52"/>
        <v>0</v>
      </c>
      <c r="G353" s="64">
        <f>B335</f>
        <v>15</v>
      </c>
      <c r="H353" s="49">
        <f t="shared" si="50"/>
        <v>0</v>
      </c>
      <c r="I353" s="50">
        <f t="shared" si="47"/>
        <v>0</v>
      </c>
      <c r="J353" s="51" t="str">
        <f t="shared" si="49"/>
        <v/>
      </c>
    </row>
    <row r="354" spans="1:11" x14ac:dyDescent="0.35">
      <c r="A354" s="44" t="s">
        <v>58</v>
      </c>
      <c r="B354" s="45"/>
      <c r="C354" s="76">
        <f t="shared" si="51"/>
        <v>0</v>
      </c>
      <c r="D354" s="63">
        <f>IF($E336&gt;0, $E336, $E335)</f>
        <v>0</v>
      </c>
      <c r="E354" s="47">
        <f t="shared" si="48"/>
        <v>0</v>
      </c>
      <c r="F354" s="78">
        <f t="shared" si="52"/>
        <v>0</v>
      </c>
      <c r="G354" s="64">
        <f>IF($E336&gt;0, $E336, $E335)</f>
        <v>0</v>
      </c>
      <c r="H354" s="49">
        <f t="shared" si="50"/>
        <v>0</v>
      </c>
      <c r="I354" s="50">
        <f t="shared" si="47"/>
        <v>0</v>
      </c>
      <c r="J354" s="51" t="str">
        <f t="shared" si="49"/>
        <v/>
      </c>
    </row>
    <row r="355" spans="1:11" x14ac:dyDescent="0.35">
      <c r="A355" s="60" t="s">
        <v>59</v>
      </c>
      <c r="B355" s="45"/>
      <c r="C355" s="245">
        <f t="shared" si="51"/>
        <v>0.42</v>
      </c>
      <c r="D355" s="46">
        <v>1</v>
      </c>
      <c r="E355" s="47">
        <f>D355*C355</f>
        <v>0.42</v>
      </c>
      <c r="F355" s="253">
        <f t="shared" si="52"/>
        <v>0.42</v>
      </c>
      <c r="G355" s="52">
        <v>1</v>
      </c>
      <c r="H355" s="49">
        <f>G355*F355</f>
        <v>0.42</v>
      </c>
      <c r="I355" s="50">
        <f t="shared" si="47"/>
        <v>0</v>
      </c>
      <c r="J355" s="51">
        <f>IF(ISERROR(I355/E355), "", I355/E355)</f>
        <v>0</v>
      </c>
    </row>
    <row r="356" spans="1:11" x14ac:dyDescent="0.35">
      <c r="A356" s="44" t="s">
        <v>60</v>
      </c>
      <c r="B356" s="45"/>
      <c r="C356" s="76">
        <f t="shared" si="51"/>
        <v>0</v>
      </c>
      <c r="D356" s="46">
        <v>1</v>
      </c>
      <c r="E356" s="47">
        <f t="shared" si="48"/>
        <v>0</v>
      </c>
      <c r="F356" s="253">
        <f t="shared" si="52"/>
        <v>0</v>
      </c>
      <c r="G356" s="52">
        <v>1</v>
      </c>
      <c r="H356" s="49">
        <f>G356*F356</f>
        <v>0</v>
      </c>
      <c r="I356" s="50">
        <f>H356-E356</f>
        <v>0</v>
      </c>
      <c r="J356" s="51" t="str">
        <f>IF(ISERROR(I356/E356), "", I356/E356)</f>
        <v/>
      </c>
    </row>
    <row r="357" spans="1:11" x14ac:dyDescent="0.35">
      <c r="A357" s="44" t="s">
        <v>61</v>
      </c>
      <c r="B357" s="45"/>
      <c r="C357" s="76">
        <f t="shared" si="51"/>
        <v>0</v>
      </c>
      <c r="D357" s="63">
        <f>IF($E336&gt;0, $E336, $E335)</f>
        <v>0</v>
      </c>
      <c r="E357" s="47">
        <f>D357*C357</f>
        <v>0</v>
      </c>
      <c r="F357" s="253">
        <f t="shared" si="52"/>
        <v>0</v>
      </c>
      <c r="G357" s="64">
        <f>IF($E336&gt;0, $E336, $E335)</f>
        <v>0</v>
      </c>
      <c r="H357" s="49">
        <f>G357*F357</f>
        <v>0</v>
      </c>
      <c r="I357" s="50">
        <f t="shared" si="47"/>
        <v>0</v>
      </c>
      <c r="J357" s="51" t="str">
        <f>IF(ISERROR(I357/E357), "", I357/E357)</f>
        <v/>
      </c>
    </row>
    <row r="358" spans="1:11" ht="26" x14ac:dyDescent="0.35">
      <c r="A358" s="65" t="s">
        <v>62</v>
      </c>
      <c r="B358" s="66"/>
      <c r="C358" s="225"/>
      <c r="D358" s="67"/>
      <c r="E358" s="68">
        <f>SUM(E349:E357)</f>
        <v>96.528656240000004</v>
      </c>
      <c r="F358" s="239"/>
      <c r="G358" s="69"/>
      <c r="H358" s="68">
        <f>SUM(H349:H357)</f>
        <v>104.99815624</v>
      </c>
      <c r="I358" s="58">
        <f t="shared" si="47"/>
        <v>8.4694999999999965</v>
      </c>
      <c r="J358" s="59">
        <f>IF((E358)=0,"",(I358/E358))</f>
        <v>8.7740784238643163E-2</v>
      </c>
    </row>
    <row r="359" spans="1:11" x14ac:dyDescent="0.35">
      <c r="A359" s="70" t="s">
        <v>63</v>
      </c>
      <c r="B359" s="45"/>
      <c r="C359" s="245">
        <f>C198</f>
        <v>1.17E-2</v>
      </c>
      <c r="D359" s="61">
        <f>B335*B337</f>
        <v>16.243500000000001</v>
      </c>
      <c r="E359" s="47">
        <f>D359*C359</f>
        <v>0.19004895000000002</v>
      </c>
      <c r="F359" s="254">
        <f>F198</f>
        <v>1.21E-2</v>
      </c>
      <c r="G359" s="62">
        <f>D359</f>
        <v>16.243500000000001</v>
      </c>
      <c r="H359" s="49">
        <f>G359*F359</f>
        <v>0.19654635000000001</v>
      </c>
      <c r="I359" s="50">
        <f t="shared" si="47"/>
        <v>6.4973999999999865E-3</v>
      </c>
      <c r="J359" s="51">
        <f>IF(ISERROR(I359/E359), "", I359/E359)</f>
        <v>3.4188034188034115E-2</v>
      </c>
      <c r="K359" s="71" t="str">
        <f>IF(ISERROR(ABS(J359)), "", IF(ABS(J359)&gt;=4%, "In the manager's summary, discuss the reasoning for the change in RTSR rates", ""))</f>
        <v/>
      </c>
    </row>
    <row r="360" spans="1:11" ht="25" x14ac:dyDescent="0.35">
      <c r="A360" s="72" t="s">
        <v>64</v>
      </c>
      <c r="B360" s="45"/>
      <c r="C360" s="245">
        <f>C199</f>
        <v>8.5000000000000006E-3</v>
      </c>
      <c r="D360" s="61">
        <f>D359</f>
        <v>16.243500000000001</v>
      </c>
      <c r="E360" s="47">
        <f>D360*C360</f>
        <v>0.13806975000000002</v>
      </c>
      <c r="F360" s="254">
        <f>F199</f>
        <v>8.8000000000000005E-3</v>
      </c>
      <c r="G360" s="62">
        <f>D360</f>
        <v>16.243500000000001</v>
      </c>
      <c r="H360" s="49">
        <f>G360*F360</f>
        <v>0.14294280000000001</v>
      </c>
      <c r="I360" s="50">
        <f t="shared" si="47"/>
        <v>4.8730499999999899E-3</v>
      </c>
      <c r="J360" s="51">
        <f>IF(ISERROR(I360/E360), "", I360/E360)</f>
        <v>3.5294117647058747E-2</v>
      </c>
      <c r="K360" s="71" t="str">
        <f>IF(ISERROR(ABS(J360)), "", IF(ABS(J360)&gt;=4%, "In the manager's summary, discuss the reasoning for the change in RTSR rates", ""))</f>
        <v/>
      </c>
    </row>
    <row r="361" spans="1:11" ht="26" x14ac:dyDescent="0.35">
      <c r="A361" s="65" t="s">
        <v>65</v>
      </c>
      <c r="B361" s="54"/>
      <c r="C361" s="225"/>
      <c r="D361" s="67"/>
      <c r="E361" s="68">
        <f>SUM(E358:E360)</f>
        <v>96.856774940000008</v>
      </c>
      <c r="F361" s="239"/>
      <c r="G361" s="57"/>
      <c r="H361" s="68">
        <f>SUM(H358:H360)</f>
        <v>105.33764539000001</v>
      </c>
      <c r="I361" s="58">
        <f t="shared" si="47"/>
        <v>8.4808704499999976</v>
      </c>
      <c r="J361" s="59">
        <f>IF((E361)=0,"",(I361/E361))</f>
        <v>8.7560941970798153E-2</v>
      </c>
    </row>
    <row r="362" spans="1:11" ht="25" x14ac:dyDescent="0.35">
      <c r="A362" s="73" t="s">
        <v>66</v>
      </c>
      <c r="B362" s="45"/>
      <c r="C362" s="245">
        <f>C201</f>
        <v>4.5000000000000005E-3</v>
      </c>
      <c r="D362" s="61">
        <f>B335*B337</f>
        <v>16.243500000000001</v>
      </c>
      <c r="E362" s="74">
        <f t="shared" ref="E362:E368" si="53">D362*C362</f>
        <v>7.3095750000000015E-2</v>
      </c>
      <c r="F362" s="253">
        <f t="shared" ref="F362:F368" si="54">F201</f>
        <v>4.5000000000000005E-3</v>
      </c>
      <c r="G362" s="62">
        <f>B335*B338</f>
        <v>16.243500000000001</v>
      </c>
      <c r="H362" s="49">
        <f t="shared" ref="H362:H368" si="55">G362*F362</f>
        <v>7.3095750000000015E-2</v>
      </c>
      <c r="I362" s="50">
        <f t="shared" si="47"/>
        <v>0</v>
      </c>
      <c r="J362" s="51">
        <f t="shared" ref="J362:J368" si="56">IF(ISERROR(I362/E362), "", I362/E362)</f>
        <v>0</v>
      </c>
    </row>
    <row r="363" spans="1:11" ht="25" x14ac:dyDescent="0.35">
      <c r="A363" s="73" t="s">
        <v>67</v>
      </c>
      <c r="B363" s="45"/>
      <c r="C363" s="245">
        <f t="shared" ref="C363:C368" si="57">C202</f>
        <v>1.5E-3</v>
      </c>
      <c r="D363" s="61">
        <f>B335*B337</f>
        <v>16.243500000000001</v>
      </c>
      <c r="E363" s="74">
        <f t="shared" si="53"/>
        <v>2.4365250000000001E-2</v>
      </c>
      <c r="F363" s="253">
        <f t="shared" si="54"/>
        <v>1.5E-3</v>
      </c>
      <c r="G363" s="62">
        <f>B335*B338</f>
        <v>16.243500000000001</v>
      </c>
      <c r="H363" s="49">
        <f t="shared" si="55"/>
        <v>2.4365250000000001E-2</v>
      </c>
      <c r="I363" s="50">
        <f t="shared" si="47"/>
        <v>0</v>
      </c>
      <c r="J363" s="51">
        <f t="shared" si="56"/>
        <v>0</v>
      </c>
    </row>
    <row r="364" spans="1:11" x14ac:dyDescent="0.35">
      <c r="A364" s="75" t="s">
        <v>68</v>
      </c>
      <c r="B364" s="45"/>
      <c r="C364" s="245">
        <f t="shared" si="57"/>
        <v>0.25</v>
      </c>
      <c r="D364" s="46">
        <v>1</v>
      </c>
      <c r="E364" s="74">
        <f t="shared" si="53"/>
        <v>0.25</v>
      </c>
      <c r="F364" s="253">
        <f t="shared" si="54"/>
        <v>0.25</v>
      </c>
      <c r="G364" s="48">
        <v>1</v>
      </c>
      <c r="H364" s="49">
        <f t="shared" si="55"/>
        <v>0.25</v>
      </c>
      <c r="I364" s="50">
        <f t="shared" si="47"/>
        <v>0</v>
      </c>
      <c r="J364" s="51">
        <f t="shared" si="56"/>
        <v>0</v>
      </c>
    </row>
    <row r="365" spans="1:11" ht="25" x14ac:dyDescent="0.35">
      <c r="A365" s="73" t="s">
        <v>69</v>
      </c>
      <c r="B365" s="45"/>
      <c r="C365" s="76">
        <f t="shared" si="57"/>
        <v>0</v>
      </c>
      <c r="D365" s="61"/>
      <c r="E365" s="74"/>
      <c r="F365" s="78">
        <f t="shared" si="54"/>
        <v>0</v>
      </c>
      <c r="G365" s="62"/>
      <c r="H365" s="49"/>
      <c r="I365" s="50"/>
      <c r="J365" s="51"/>
    </row>
    <row r="366" spans="1:11" x14ac:dyDescent="0.35">
      <c r="A366" s="75" t="s">
        <v>70</v>
      </c>
      <c r="B366" s="45"/>
      <c r="C366" s="245">
        <f t="shared" si="57"/>
        <v>7.5999999999999998E-2</v>
      </c>
      <c r="D366" s="77">
        <f>$B$335*'Other Charges'!E23</f>
        <v>9.6</v>
      </c>
      <c r="E366" s="74">
        <f t="shared" si="53"/>
        <v>0.72959999999999992</v>
      </c>
      <c r="F366" s="253">
        <f t="shared" si="54"/>
        <v>7.5999999999999998E-2</v>
      </c>
      <c r="G366" s="79">
        <v>9.4499999999999993</v>
      </c>
      <c r="H366" s="49">
        <f t="shared" si="55"/>
        <v>0.71819999999999995</v>
      </c>
      <c r="I366" s="50">
        <f>H366-E366</f>
        <v>-1.1399999999999966E-2</v>
      </c>
      <c r="J366" s="51">
        <f t="shared" si="56"/>
        <v>-1.5624999999999955E-2</v>
      </c>
    </row>
    <row r="367" spans="1:11" x14ac:dyDescent="0.35">
      <c r="A367" s="75" t="s">
        <v>71</v>
      </c>
      <c r="B367" s="45"/>
      <c r="C367" s="245">
        <f t="shared" si="57"/>
        <v>0.122</v>
      </c>
      <c r="D367" s="77">
        <f>$B$335*'Other Charges'!E24</f>
        <v>2.6999999999999997</v>
      </c>
      <c r="E367" s="74">
        <f t="shared" si="53"/>
        <v>0.32939999999999997</v>
      </c>
      <c r="F367" s="253">
        <f t="shared" si="54"/>
        <v>0.122</v>
      </c>
      <c r="G367" s="79">
        <v>2.6999999999999997</v>
      </c>
      <c r="H367" s="49">
        <f t="shared" si="55"/>
        <v>0.32939999999999997</v>
      </c>
      <c r="I367" s="50">
        <f>H367-E367</f>
        <v>0</v>
      </c>
      <c r="J367" s="51">
        <f t="shared" si="56"/>
        <v>0</v>
      </c>
    </row>
    <row r="368" spans="1:11" ht="15" thickBot="1" x14ac:dyDescent="0.4">
      <c r="A368" s="31" t="s">
        <v>72</v>
      </c>
      <c r="B368" s="45"/>
      <c r="C368" s="245">
        <f t="shared" si="57"/>
        <v>0.158</v>
      </c>
      <c r="D368" s="77">
        <f>$B$335*'Other Charges'!E25</f>
        <v>2.6999999999999997</v>
      </c>
      <c r="E368" s="74">
        <f t="shared" si="53"/>
        <v>0.42659999999999998</v>
      </c>
      <c r="F368" s="253">
        <f t="shared" si="54"/>
        <v>0.158</v>
      </c>
      <c r="G368" s="79">
        <v>2.85</v>
      </c>
      <c r="H368" s="49">
        <f t="shared" si="55"/>
        <v>0.45030000000000003</v>
      </c>
      <c r="I368" s="50">
        <f>H368-E368</f>
        <v>2.3700000000000054E-2</v>
      </c>
      <c r="J368" s="51">
        <f t="shared" si="56"/>
        <v>5.5555555555555684E-2</v>
      </c>
    </row>
    <row r="369" spans="1:10" ht="15" thickBot="1" x14ac:dyDescent="0.4">
      <c r="A369" s="80"/>
      <c r="B369" s="81"/>
      <c r="C369" s="226"/>
      <c r="D369" s="82"/>
      <c r="E369" s="83"/>
      <c r="F369" s="226"/>
      <c r="G369" s="84"/>
      <c r="H369" s="83"/>
      <c r="I369" s="85"/>
      <c r="J369" s="86"/>
    </row>
    <row r="370" spans="1:10" x14ac:dyDescent="0.35">
      <c r="A370" s="87" t="s">
        <v>75</v>
      </c>
      <c r="B370" s="75"/>
      <c r="C370" s="227"/>
      <c r="D370" s="88"/>
      <c r="E370" s="89">
        <f>SUM(E362:E368,E361)</f>
        <v>98.689835940000009</v>
      </c>
      <c r="F370" s="90"/>
      <c r="G370" s="90"/>
      <c r="H370" s="89">
        <f>SUM(H362:H368,H361)</f>
        <v>107.18300639</v>
      </c>
      <c r="I370" s="91">
        <f>H370-E370</f>
        <v>8.4931704499999938</v>
      </c>
      <c r="J370" s="92">
        <f>IF((E370)=0,"",(I370/E370))</f>
        <v>8.605922149028139E-2</v>
      </c>
    </row>
    <row r="371" spans="1:10" x14ac:dyDescent="0.35">
      <c r="A371" s="93" t="s">
        <v>76</v>
      </c>
      <c r="B371" s="75"/>
      <c r="C371" s="227">
        <v>0.13</v>
      </c>
      <c r="D371" s="94"/>
      <c r="E371" s="95">
        <f>E370*C371</f>
        <v>12.829678672200002</v>
      </c>
      <c r="F371" s="96">
        <v>0.13</v>
      </c>
      <c r="G371" s="46"/>
      <c r="H371" s="95">
        <f>H370*F371</f>
        <v>13.933790830700001</v>
      </c>
      <c r="I371" s="50">
        <f>H371-E371</f>
        <v>1.1041121584999996</v>
      </c>
      <c r="J371" s="97">
        <f>IF((E371)=0,"",(I371/E371))</f>
        <v>8.6059221490281418E-2</v>
      </c>
    </row>
    <row r="372" spans="1:10" x14ac:dyDescent="0.35">
      <c r="A372" s="93" t="s">
        <v>77</v>
      </c>
      <c r="B372"/>
      <c r="C372" s="247">
        <f>C211</f>
        <v>0.13100000000000001</v>
      </c>
      <c r="D372" s="94"/>
      <c r="E372" s="95">
        <f>IF(OR(ISNUMBER(SEARCH("[DGEN]", B333))=TRUE, ISNUMBER(SEARCH("STREET LIGHT", B333))=TRUE), 0, IF(AND(B335=0, B336=0),0, IF(AND(B336=0, B335*12&gt;250000), 0, IF(AND(B335=0, B336&gt;=50), 0, IF(B335*12&lt;=250000, C372*E370*-1, IF(B336&lt;50, C372*E370*-1, 0))))))</f>
        <v>-12.928368508140002</v>
      </c>
      <c r="F372" s="247">
        <f>F211</f>
        <v>0.13100000000000001</v>
      </c>
      <c r="G372" s="46"/>
      <c r="H372" s="95">
        <f>IF(OR(ISNUMBER(SEARCH("[DGEN]", B333))=TRUE, ISNUMBER(SEARCH("STREET LIGHT", B333))=TRUE), 0, IF(AND(B335=0, B336=0),0, IF(AND(B336=0, B335*12&gt;250000), 0, IF(AND(B335=0, B336&gt;=50), 0, IF(B335*12&lt;=250000, F372*H370*-1, IF(B336&lt;50, F372*H370*-1, 0))))))</f>
        <v>-14.04097383709</v>
      </c>
      <c r="I372" s="50">
        <f>H372-E372</f>
        <v>-1.1126053289499982</v>
      </c>
      <c r="J372" s="97"/>
    </row>
    <row r="373" spans="1:10" ht="15" thickBot="1" x14ac:dyDescent="0.4">
      <c r="A373" s="321" t="s">
        <v>78</v>
      </c>
      <c r="B373" s="321"/>
      <c r="C373" s="229"/>
      <c r="D373" s="98"/>
      <c r="E373" s="99">
        <f>E370+E371+E372</f>
        <v>98.591146104060016</v>
      </c>
      <c r="F373" s="240"/>
      <c r="G373" s="100"/>
      <c r="H373" s="101">
        <f>H370+H371+H372</f>
        <v>107.07582338361001</v>
      </c>
      <c r="I373" s="102">
        <f>H373-E373</f>
        <v>8.4846772795499987</v>
      </c>
      <c r="J373" s="103">
        <f>IF((E373)=0,"",(I373/E373))</f>
        <v>8.6059221490281432E-2</v>
      </c>
    </row>
    <row r="374" spans="1:10" ht="15" thickBot="1" x14ac:dyDescent="0.4">
      <c r="A374" s="80"/>
      <c r="B374" s="81"/>
      <c r="C374" s="226"/>
      <c r="D374" s="82"/>
      <c r="E374" s="83"/>
      <c r="F374" s="226"/>
      <c r="G374" s="84"/>
      <c r="H374" s="83"/>
      <c r="I374" s="85"/>
      <c r="J374" s="86"/>
    </row>
    <row r="375" spans="1:10" hidden="1" x14ac:dyDescent="0.35">
      <c r="A375" s="87" t="s">
        <v>79</v>
      </c>
      <c r="B375" s="75"/>
      <c r="C375" s="227"/>
      <c r="D375" s="88"/>
      <c r="E375" s="89" t="e">
        <f>SUM(#REF!,E362:E365,E361)</f>
        <v>#REF!</v>
      </c>
      <c r="F375" s="90"/>
      <c r="G375" s="90"/>
      <c r="H375" s="89" t="e">
        <f>SUM(#REF!,H362:H365,H361)</f>
        <v>#REF!</v>
      </c>
      <c r="I375" s="91" t="e">
        <f>H375-E375</f>
        <v>#REF!</v>
      </c>
      <c r="J375" s="92" t="e">
        <f>IF((E375)=0,"",(I375/E375))</f>
        <v>#REF!</v>
      </c>
    </row>
    <row r="376" spans="1:10" hidden="1" x14ac:dyDescent="0.35">
      <c r="A376" s="93" t="s">
        <v>76</v>
      </c>
      <c r="B376" s="75"/>
      <c r="C376" s="227">
        <v>0.13</v>
      </c>
      <c r="D376" s="88"/>
      <c r="E376" s="95" t="e">
        <f>E375*C376</f>
        <v>#REF!</v>
      </c>
      <c r="F376" s="227">
        <v>0.13</v>
      </c>
      <c r="G376" s="96"/>
      <c r="H376" s="95" t="e">
        <f>H375*F376</f>
        <v>#REF!</v>
      </c>
      <c r="I376" s="50" t="e">
        <f>H376-E376</f>
        <v>#REF!</v>
      </c>
      <c r="J376" s="97" t="e">
        <f>IF((E376)=0,"",(I376/E376))</f>
        <v>#REF!</v>
      </c>
    </row>
    <row r="377" spans="1:10" hidden="1" x14ac:dyDescent="0.35">
      <c r="A377" s="93" t="s">
        <v>77</v>
      </c>
      <c r="B377"/>
      <c r="C377" s="228">
        <v>0.11700000000000001</v>
      </c>
      <c r="D377" s="88"/>
      <c r="E377" s="95" t="e">
        <f>IF(OR(ISNUMBER(SEARCH("[DGEN]", B333))=TRUE, ISNUMBER(SEARCH("STREET LIGHT", B333))=TRUE), 0, IF(AND(B335=0, B336=0),0, IF(AND(B336=0, B335*12&gt;250000), 0, IF(AND(B335=0, B336&gt;=50), 0, IF(B335*12&lt;=250000, C377*E375*-1, IF(B336&lt;50, C377*E375*-1, 0))))))</f>
        <v>#REF!</v>
      </c>
      <c r="F377" s="228">
        <v>0.11700000000000001</v>
      </c>
      <c r="G377" s="96"/>
      <c r="H377" s="95" t="e">
        <f>IF(OR(ISNUMBER(SEARCH("[DGEN]", B333))=TRUE, ISNUMBER(SEARCH("STREET LIGHT", B333))=TRUE), 0, IF(AND(B335=0, B336=0),0, IF(AND(B336=0, B335*12&gt;250000), 0, IF(AND(B335=0, B336&gt;=50), 0, IF(B335*12&lt;=250000, F377*H375*-1, IF(B336&lt;50, F377*H375*-1, 0))))))</f>
        <v>#REF!</v>
      </c>
      <c r="I377" s="50"/>
      <c r="J377" s="97"/>
    </row>
    <row r="378" spans="1:10" ht="15" hidden="1" thickBot="1" x14ac:dyDescent="0.4">
      <c r="A378" s="321" t="s">
        <v>79</v>
      </c>
      <c r="B378" s="321"/>
      <c r="C378" s="230"/>
      <c r="D378" s="104"/>
      <c r="E378" s="99" t="e">
        <f>SUM(E375,E376)</f>
        <v>#REF!</v>
      </c>
      <c r="F378" s="241"/>
      <c r="G378" s="105"/>
      <c r="H378" s="99" t="e">
        <f>SUM(H375,H376)</f>
        <v>#REF!</v>
      </c>
      <c r="I378" s="106" t="e">
        <f>H378-E378</f>
        <v>#REF!</v>
      </c>
      <c r="J378" s="107" t="e">
        <f>IF((E378)=0,"",(I378/E378))</f>
        <v>#REF!</v>
      </c>
    </row>
    <row r="379" spans="1:10" ht="15" hidden="1" thickBot="1" x14ac:dyDescent="0.4">
      <c r="A379" s="80"/>
      <c r="B379" s="81"/>
      <c r="C379" s="231"/>
      <c r="D379" s="108"/>
      <c r="E379" s="109"/>
      <c r="F379" s="231"/>
      <c r="G379" s="82"/>
      <c r="H379" s="109"/>
      <c r="I379" s="110"/>
      <c r="J379" s="86"/>
    </row>
    <row r="380" spans="1:10" hidden="1" x14ac:dyDescent="0.35">
      <c r="A380" s="87" t="s">
        <v>80</v>
      </c>
      <c r="B380" s="75"/>
      <c r="C380" s="227"/>
      <c r="D380" s="88"/>
      <c r="E380" s="89" t="e">
        <f>SUM(#REF!,E362:E365,E361)</f>
        <v>#REF!</v>
      </c>
      <c r="F380" s="90"/>
      <c r="G380" s="90"/>
      <c r="H380" s="89" t="e">
        <f>SUM(#REF!,H362:H365,H361)</f>
        <v>#REF!</v>
      </c>
      <c r="I380" s="91" t="e">
        <f>H380-E380</f>
        <v>#REF!</v>
      </c>
      <c r="J380" s="92" t="e">
        <f>IF((E380)=0,"",(I380/E380))</f>
        <v>#REF!</v>
      </c>
    </row>
    <row r="381" spans="1:10" hidden="1" x14ac:dyDescent="0.35">
      <c r="A381" s="93" t="s">
        <v>76</v>
      </c>
      <c r="B381" s="75"/>
      <c r="C381" s="227">
        <v>0.13</v>
      </c>
      <c r="D381" s="88"/>
      <c r="E381" s="95" t="e">
        <f>E380*C381</f>
        <v>#REF!</v>
      </c>
      <c r="F381" s="227">
        <v>0.13</v>
      </c>
      <c r="G381" s="96"/>
      <c r="H381" s="95" t="e">
        <f>H380*F381</f>
        <v>#REF!</v>
      </c>
      <c r="I381" s="50" t="e">
        <f>H381-E381</f>
        <v>#REF!</v>
      </c>
      <c r="J381" s="97" t="e">
        <f>IF((E381)=0,"",(I381/E381))</f>
        <v>#REF!</v>
      </c>
    </row>
    <row r="382" spans="1:10" hidden="1" x14ac:dyDescent="0.35">
      <c r="A382" s="93" t="s">
        <v>77</v>
      </c>
      <c r="B382"/>
      <c r="C382" s="228">
        <v>0.11700000000000001</v>
      </c>
      <c r="D382" s="88"/>
      <c r="E382" s="95" t="e">
        <f>IF(OR(ISNUMBER(SEARCH("[DGEN]", B333))=TRUE, ISNUMBER(SEARCH("STREET LIGHT", B333))=TRUE), 0, IF(AND(B335=0, B336=0),0, IF(AND(B336=0, B335*12&gt;250000), 0, IF(AND(B335=0, B336&gt;=50), 0, IF(B335*12&lt;=250000, C382*E380*-1, IF(B336&lt;50, C382*E380*-1, 0))))))</f>
        <v>#REF!</v>
      </c>
      <c r="F382" s="228">
        <v>0.11700000000000001</v>
      </c>
      <c r="G382" s="96"/>
      <c r="H382" s="95" t="e">
        <f>IF(OR(ISNUMBER(SEARCH("[DGEN]", B333))=TRUE, ISNUMBER(SEARCH("STREET LIGHT", B333))=TRUE), 0, IF(AND(B335=0, B336=0),0, IF(AND(B336=0, B335*12&gt;250000), 0, IF(AND(B335=0, B336&gt;=50), 0, IF(B335*12&lt;=250000, F382*H380*-1, IF(B336&lt;50, F382*H380*-1, 0))))))</f>
        <v>#REF!</v>
      </c>
      <c r="I382" s="50"/>
      <c r="J382" s="97"/>
    </row>
    <row r="383" spans="1:10" ht="15" hidden="1" thickBot="1" x14ac:dyDescent="0.4">
      <c r="A383" s="321" t="s">
        <v>80</v>
      </c>
      <c r="B383" s="321"/>
      <c r="C383" s="230"/>
      <c r="D383" s="104"/>
      <c r="E383" s="99" t="e">
        <f>SUM(E380,E381)</f>
        <v>#REF!</v>
      </c>
      <c r="F383" s="241"/>
      <c r="G383" s="105"/>
      <c r="H383" s="99" t="e">
        <f>SUM(H380,H381)</f>
        <v>#REF!</v>
      </c>
      <c r="I383" s="106" t="e">
        <f>H383-E383</f>
        <v>#REF!</v>
      </c>
      <c r="J383" s="107" t="e">
        <f>IF((E383)=0,"",(I383/E383))</f>
        <v>#REF!</v>
      </c>
    </row>
    <row r="384" spans="1:10" ht="15" hidden="1" thickBot="1" x14ac:dyDescent="0.4">
      <c r="A384" s="80"/>
      <c r="B384" s="81"/>
      <c r="C384" s="232"/>
      <c r="D384" s="108"/>
      <c r="E384" s="111"/>
      <c r="F384" s="232"/>
      <c r="G384" s="82"/>
      <c r="H384" s="111"/>
      <c r="I384" s="110"/>
      <c r="J384" s="112"/>
    </row>
  </sheetData>
  <mergeCells count="99">
    <mergeCell ref="I341:I342"/>
    <mergeCell ref="J341:J342"/>
    <mergeCell ref="A373:B373"/>
    <mergeCell ref="A378:B378"/>
    <mergeCell ref="A383:B383"/>
    <mergeCell ref="B341:B342"/>
    <mergeCell ref="I340:J340"/>
    <mergeCell ref="I286:J286"/>
    <mergeCell ref="B287:B288"/>
    <mergeCell ref="I287:I288"/>
    <mergeCell ref="J287:J288"/>
    <mergeCell ref="A319:B319"/>
    <mergeCell ref="A324:B324"/>
    <mergeCell ref="C286:E286"/>
    <mergeCell ref="F286:H286"/>
    <mergeCell ref="A329:B329"/>
    <mergeCell ref="B333:G333"/>
    <mergeCell ref="B334:D334"/>
    <mergeCell ref="C340:E340"/>
    <mergeCell ref="F340:H340"/>
    <mergeCell ref="A265:B265"/>
    <mergeCell ref="A270:B270"/>
    <mergeCell ref="A275:B275"/>
    <mergeCell ref="B279:G279"/>
    <mergeCell ref="B280:D280"/>
    <mergeCell ref="B235:B236"/>
    <mergeCell ref="I235:I236"/>
    <mergeCell ref="J235:J236"/>
    <mergeCell ref="B180:B181"/>
    <mergeCell ref="I180:I181"/>
    <mergeCell ref="J180:J181"/>
    <mergeCell ref="A212:B212"/>
    <mergeCell ref="A217:B217"/>
    <mergeCell ref="A222:B222"/>
    <mergeCell ref="B226:G226"/>
    <mergeCell ref="B227:D227"/>
    <mergeCell ref="C234:E234"/>
    <mergeCell ref="F234:H234"/>
    <mergeCell ref="I234:J234"/>
    <mergeCell ref="I179:J179"/>
    <mergeCell ref="I127:J127"/>
    <mergeCell ref="B128:B129"/>
    <mergeCell ref="I128:I129"/>
    <mergeCell ref="J128:J129"/>
    <mergeCell ref="A158:B158"/>
    <mergeCell ref="A163:B163"/>
    <mergeCell ref="C127:E127"/>
    <mergeCell ref="F127:H127"/>
    <mergeCell ref="A168:B168"/>
    <mergeCell ref="B172:G172"/>
    <mergeCell ref="B173:D173"/>
    <mergeCell ref="C179:E179"/>
    <mergeCell ref="F179:H179"/>
    <mergeCell ref="A106:B106"/>
    <mergeCell ref="A111:B111"/>
    <mergeCell ref="A116:B116"/>
    <mergeCell ref="B120:G120"/>
    <mergeCell ref="B121:D121"/>
    <mergeCell ref="B65:D65"/>
    <mergeCell ref="C71:E71"/>
    <mergeCell ref="F71:H71"/>
    <mergeCell ref="I71:J71"/>
    <mergeCell ref="B72:B73"/>
    <mergeCell ref="I72:I73"/>
    <mergeCell ref="J72:J73"/>
    <mergeCell ref="A48:C48"/>
    <mergeCell ref="B64:G64"/>
    <mergeCell ref="A50:C50"/>
    <mergeCell ref="A51:C51"/>
    <mergeCell ref="A52:C52"/>
    <mergeCell ref="A53:C53"/>
    <mergeCell ref="A54:C54"/>
    <mergeCell ref="A55:C55"/>
    <mergeCell ref="A56:C56"/>
    <mergeCell ref="A57:C57"/>
    <mergeCell ref="A58:C58"/>
    <mergeCell ref="A59:C59"/>
    <mergeCell ref="A60:C60"/>
    <mergeCell ref="A49:C49"/>
    <mergeCell ref="A46:C46"/>
    <mergeCell ref="A47:C47"/>
    <mergeCell ref="A10:J10"/>
    <mergeCell ref="A11:J11"/>
    <mergeCell ref="A43:C43"/>
    <mergeCell ref="A38:C40"/>
    <mergeCell ref="D38:D40"/>
    <mergeCell ref="E38:J38"/>
    <mergeCell ref="E39:F39"/>
    <mergeCell ref="G39:H39"/>
    <mergeCell ref="I39:J39"/>
    <mergeCell ref="A41:C41"/>
    <mergeCell ref="A42:C42"/>
    <mergeCell ref="K11:L11"/>
    <mergeCell ref="A12:K12"/>
    <mergeCell ref="A15:C15"/>
    <mergeCell ref="A44:C44"/>
    <mergeCell ref="A45:C45"/>
    <mergeCell ref="K38:L38"/>
    <mergeCell ref="K39:L39"/>
  </mergeCells>
  <conditionalFormatting sqref="H16:H35">
    <cfRule type="expression" dxfId="2" priority="2">
      <formula>$G16="kVa"</formula>
    </cfRule>
    <cfRule type="expression" dxfId="1" priority="3">
      <formula>$G16="kWh"</formula>
    </cfRule>
  </conditionalFormatting>
  <conditionalFormatting sqref="H16:I35">
    <cfRule type="expression" dxfId="0" priority="1">
      <formula>$G16="kW"</formula>
    </cfRule>
  </conditionalFormatting>
  <dataValidations count="4">
    <dataValidation type="list" allowBlank="1" showInputMessage="1" showErrorMessage="1" prompt="Select Charge Unit - monthly, per kWh, per kW" sqref="B107 B112 B117 B102 B159 B164 B169 B154 B213 B218 B223 B208 B266 B271 B276 B261 B320 B325 B330 B315 B374 B379 B384 B369" xr:uid="{350BFEC5-18FF-4E7B-882A-4A595415CFB3}">
      <formula1>"Monthly, per kWh, per kW"</formula1>
    </dataValidation>
    <dataValidation allowBlank="1" showInputMessage="1" showErrorMessage="1" sqref="A16:A19" xr:uid="{D9303199-921E-4D68-8855-BE737E63CA6F}"/>
    <dataValidation type="list" allowBlank="1" showInputMessage="1" showErrorMessage="1" sqref="J16:J35" xr:uid="{4E55E2E6-B08D-4053-AE24-F46B0E40017A}">
      <formula1>"CONSUMPTION, DEMAND, DEMAND - INTERVAL"</formula1>
    </dataValidation>
    <dataValidation type="list" allowBlank="1" showInputMessage="1" showErrorMessage="1" sqref="E16:E35" xr:uid="{EC967CA7-9082-4C89-BB3A-7219F5076E1E}">
      <formula1>"RPP, Non-RPP (Retailer), Non-RPP (Other)"</formula1>
    </dataValidation>
  </dataValidations>
  <pageMargins left="0.7" right="0.7" top="0.75" bottom="0.75" header="0.3" footer="0.3"/>
  <pageSetup scale="57" fitToHeight="0" orientation="landscape" verticalDpi="1200" r:id="rId1"/>
  <rowBreaks count="6" manualBreakCount="6">
    <brk id="62" max="16383" man="1"/>
    <brk id="118" max="16383" man="1"/>
    <brk id="170" max="16383" man="1"/>
    <brk id="224" max="16383" man="1"/>
    <brk id="277" max="16383" man="1"/>
    <brk id="331" max="16383" man="1"/>
  </rowBreaks>
  <colBreaks count="1" manualBreakCount="1">
    <brk id="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Current (2025) Tariff</vt:lpstr>
      <vt:lpstr>Other Charges</vt:lpstr>
      <vt:lpstr>Proposed (2026) Tariff</vt:lpstr>
      <vt:lpstr>Bill Impact</vt:lpstr>
      <vt:lpstr>'Current (2025) Tariff'!Print_Area</vt:lpstr>
      <vt:lpstr>'Other Charges'!Print_Area</vt:lpstr>
      <vt:lpstr>'Proposed (2026) Tariff'!Print_Area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Oana</dc:creator>
  <cp:lastModifiedBy>Stefan, Oana</cp:lastModifiedBy>
  <cp:lastPrinted>2023-08-17T15:59:24Z</cp:lastPrinted>
  <dcterms:created xsi:type="dcterms:W3CDTF">2023-08-09T20:19:33Z</dcterms:created>
  <dcterms:modified xsi:type="dcterms:W3CDTF">2025-10-14T15:11:35Z</dcterms:modified>
</cp:coreProperties>
</file>