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V:\ACTIVE APPLICATIONS\CNPI 2026 IRM\Interrogatories\Final October 17\"/>
    </mc:Choice>
  </mc:AlternateContent>
  <xr:revisionPtr revIDLastSave="0" documentId="13_ncr:1_{4B247F1E-C484-4B53-A6F3-64489F882C69}" xr6:coauthVersionLast="47" xr6:coauthVersionMax="47" xr10:uidLastSave="{00000000-0000-0000-0000-000000000000}"/>
  <bookViews>
    <workbookView xWindow="30945" yWindow="1140" windowWidth="21600" windowHeight="11295" firstSheet="5" activeTab="9" xr2:uid="{E64FBE37-AEE4-4CBD-9DD1-43DBA448AC1C}"/>
  </bookViews>
  <sheets>
    <sheet name="Summary of Updates" sheetId="24" r:id="rId1"/>
    <sheet name="Data for Settlement &amp; 1st TU" sheetId="10" r:id="rId2"/>
    <sheet name="RPP Settlement &amp; 1st TU" sheetId="11" r:id="rId3"/>
    <sheet name="Data for 2nd TU" sheetId="14" r:id="rId4"/>
    <sheet name="RPP 2nd TU" sheetId="13" r:id="rId5"/>
    <sheet name="RPP vs non-RPP TU JE" sheetId="18" r:id="rId6"/>
    <sheet name="Rate Application Related" sheetId="19" r:id="rId7"/>
    <sheet name="Final RSVA Balances" sheetId="21" r:id="rId8"/>
    <sheet name="JEs" sheetId="9" r:id="rId9"/>
    <sheet name="T-Accounts" sheetId="22" r:id="rId10"/>
  </sheets>
  <definedNames>
    <definedName name="_xlnm.Print_Area" localSheetId="3">'Data for 2nd TU'!$A$1:$O$110</definedName>
    <definedName name="_xlnm.Print_Area" localSheetId="1">'Data for Settlement &amp; 1st TU'!$A$1:$P$111</definedName>
    <definedName name="_xlnm.Print_Area" localSheetId="7">'Final RSVA Balances'!$A$1:$J$54</definedName>
    <definedName name="_xlnm.Print_Area" localSheetId="8">JEs!$A$1:$L$188</definedName>
    <definedName name="_xlnm.Print_Area" localSheetId="6">'Rate Application Related'!$A$1:$H$16</definedName>
    <definedName name="_xlnm.Print_Area" localSheetId="4">'RPP 2nd TU'!$A$1:$M$47</definedName>
    <definedName name="_xlnm.Print_Area" localSheetId="2">'RPP Settlement &amp; 1st TU'!$A$1:$M$48</definedName>
    <definedName name="_xlnm.Print_Area" localSheetId="5">'RPP vs non-RPP TU JE'!$A$1:$I$14</definedName>
    <definedName name="_xlnm.Print_Area" localSheetId="0">'Summary of Updates'!$A$1:$C$14</definedName>
    <definedName name="_xlnm.Print_Area" localSheetId="9">'T-Accounts'!$A$1:$Q$121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10" l="1"/>
  <c r="D71" i="14" l="1"/>
  <c r="I71" i="14" s="1"/>
  <c r="C6" i="14"/>
  <c r="E39" i="21" l="1"/>
  <c r="P104" i="22" l="1"/>
  <c r="A99" i="22"/>
  <c r="A114" i="22"/>
  <c r="A113" i="22"/>
  <c r="A112" i="22"/>
  <c r="A111" i="22"/>
  <c r="A98" i="22"/>
  <c r="J97" i="22"/>
  <c r="A97" i="22"/>
  <c r="A110" i="22"/>
  <c r="A96" i="22"/>
  <c r="J96" i="22"/>
  <c r="A109" i="22"/>
  <c r="J95" i="22"/>
  <c r="A95" i="22"/>
  <c r="E15" i="9"/>
  <c r="D50" i="9" s="1"/>
  <c r="M96" i="22" s="1"/>
  <c r="M101" i="22" s="1"/>
  <c r="D7" i="9"/>
  <c r="E56" i="9" s="1"/>
  <c r="F24" i="22" s="1"/>
  <c r="C71" i="14"/>
  <c r="B71" i="14" s="1"/>
  <c r="D6" i="14"/>
  <c r="H6" i="14"/>
  <c r="I6" i="14" s="1"/>
  <c r="H71" i="14" l="1"/>
  <c r="G71" i="14" s="1"/>
  <c r="O95" i="22"/>
  <c r="D7" i="22"/>
  <c r="I78" i="10" l="1"/>
  <c r="I74" i="10"/>
  <c r="I72" i="10"/>
  <c r="D82" i="9" s="1"/>
  <c r="I71" i="10"/>
  <c r="I70" i="10"/>
  <c r="G57" i="10"/>
  <c r="D73" i="10"/>
  <c r="C72" i="10"/>
  <c r="B72" i="10" s="1"/>
  <c r="C10" i="10"/>
  <c r="C63" i="10" s="1"/>
  <c r="C11" i="10"/>
  <c r="C62" i="10" s="1"/>
  <c r="H9" i="10"/>
  <c r="J9" i="10" s="1"/>
  <c r="H8" i="10"/>
  <c r="J8" i="10" s="1"/>
  <c r="H7" i="10"/>
  <c r="I7" i="10" s="1"/>
  <c r="H6" i="10"/>
  <c r="J6" i="10" s="1"/>
  <c r="D7" i="10"/>
  <c r="J10" i="10" l="1"/>
  <c r="J11" i="10" s="1"/>
  <c r="D29" i="11"/>
  <c r="D28" i="11"/>
  <c r="D26" i="11"/>
  <c r="D25" i="11"/>
  <c r="D23" i="11"/>
  <c r="D30" i="11"/>
  <c r="D27" i="11"/>
  <c r="D24" i="11"/>
  <c r="D22" i="11"/>
  <c r="H11" i="10"/>
  <c r="E90" i="9"/>
  <c r="O97" i="22" s="1"/>
  <c r="O101" i="22" s="1"/>
  <c r="P101" i="22" s="1"/>
  <c r="P103" i="22" s="1"/>
  <c r="P105" i="22" s="1"/>
  <c r="D28" i="22"/>
  <c r="I73" i="10"/>
  <c r="H72" i="10"/>
  <c r="G72" i="10" s="1"/>
  <c r="D63" i="10"/>
  <c r="B63" i="10" s="1"/>
  <c r="C64" i="10"/>
  <c r="D62" i="10"/>
  <c r="H10" i="10"/>
  <c r="H63" i="10" s="1"/>
  <c r="I63" i="10" s="1"/>
  <c r="J78" i="22"/>
  <c r="J77" i="22"/>
  <c r="J76" i="22"/>
  <c r="J65" i="22"/>
  <c r="J63" i="22"/>
  <c r="J62" i="22"/>
  <c r="J59" i="22"/>
  <c r="J57" i="22"/>
  <c r="J58" i="22" s="1"/>
  <c r="J55" i="22"/>
  <c r="J56" i="22" s="1"/>
  <c r="J52" i="22"/>
  <c r="J49" i="22"/>
  <c r="J50" i="22" s="1"/>
  <c r="J23" i="22"/>
  <c r="J18" i="22"/>
  <c r="J14" i="22"/>
  <c r="J15" i="22" s="1"/>
  <c r="J16" i="22" s="1"/>
  <c r="J12" i="22"/>
  <c r="J5" i="22"/>
  <c r="J6" i="22" s="1"/>
  <c r="J7" i="22" s="1"/>
  <c r="A34" i="22"/>
  <c r="A26" i="22"/>
  <c r="A27" i="22" s="1"/>
  <c r="A18" i="22"/>
  <c r="A19" i="22" s="1"/>
  <c r="A5" i="22"/>
  <c r="A6" i="22" s="1"/>
  <c r="A78" i="22"/>
  <c r="A77" i="22"/>
  <c r="A76" i="22"/>
  <c r="A66" i="22"/>
  <c r="A67" i="22" s="1"/>
  <c r="A64" i="22"/>
  <c r="A65" i="22" s="1"/>
  <c r="A60" i="22"/>
  <c r="A61" i="22" s="1"/>
  <c r="A58" i="22"/>
  <c r="A59" i="22" s="1"/>
  <c r="A56" i="22"/>
  <c r="A57" i="22" s="1"/>
  <c r="A52" i="22"/>
  <c r="A49" i="22"/>
  <c r="A50" i="22" s="1"/>
  <c r="A42" i="22"/>
  <c r="A40" i="22"/>
  <c r="A39" i="22"/>
  <c r="A36" i="22"/>
  <c r="B48" i="10"/>
  <c r="H62" i="10" l="1"/>
  <c r="I62" i="10" s="1"/>
  <c r="A29" i="22"/>
  <c r="A28" i="22"/>
  <c r="A30" i="22" s="1"/>
  <c r="J13" i="22"/>
  <c r="J11" i="22"/>
  <c r="A22" i="22"/>
  <c r="A23" i="22" s="1"/>
  <c r="A20" i="22"/>
  <c r="A21" i="22" s="1"/>
  <c r="A8" i="22"/>
  <c r="A11" i="22" s="1"/>
  <c r="A7" i="22"/>
  <c r="D64" i="10"/>
  <c r="B62" i="10"/>
  <c r="D100" i="10"/>
  <c r="C41" i="10"/>
  <c r="B20" i="10"/>
  <c r="B21" i="10"/>
  <c r="B22" i="10"/>
  <c r="B23" i="10"/>
  <c r="B24" i="10"/>
  <c r="B25" i="10"/>
  <c r="B26" i="10"/>
  <c r="H64" i="10" l="1"/>
  <c r="A32" i="22"/>
  <c r="A33" i="22" s="1"/>
  <c r="A31" i="22"/>
  <c r="B64" i="10"/>
  <c r="D79" i="10"/>
  <c r="A25" i="22"/>
  <c r="A24" i="22"/>
  <c r="A12" i="22"/>
  <c r="A10" i="22" s="1"/>
  <c r="A9" i="22"/>
  <c r="I45" i="10"/>
  <c r="N45" i="10" s="1"/>
  <c r="L92" i="10" s="1"/>
  <c r="I44" i="10"/>
  <c r="D43" i="14" s="1"/>
  <c r="I47" i="10"/>
  <c r="D46" i="14" s="1"/>
  <c r="D44" i="14" l="1"/>
  <c r="B13" i="13" s="1"/>
  <c r="B93" i="14"/>
  <c r="B15" i="13"/>
  <c r="I46" i="14"/>
  <c r="B30" i="13" s="1"/>
  <c r="G93" i="14"/>
  <c r="B12" i="13"/>
  <c r="I43" i="14"/>
  <c r="B27" i="13" s="1"/>
  <c r="G90" i="14"/>
  <c r="B90" i="14"/>
  <c r="N47" i="10"/>
  <c r="L94" i="10" s="1"/>
  <c r="N44" i="10"/>
  <c r="L91" i="10" s="1"/>
  <c r="B30" i="11"/>
  <c r="B27" i="11"/>
  <c r="B28" i="11"/>
  <c r="B14" i="11"/>
  <c r="D14" i="11"/>
  <c r="B13" i="11"/>
  <c r="D13" i="11"/>
  <c r="B12" i="11"/>
  <c r="D12" i="11"/>
  <c r="B15" i="11"/>
  <c r="D15" i="11"/>
  <c r="G91" i="14" l="1"/>
  <c r="B45" i="11"/>
  <c r="B91" i="14"/>
  <c r="I44" i="14"/>
  <c r="B28" i="13" s="1"/>
  <c r="B43" i="13" s="1"/>
  <c r="B43" i="11"/>
  <c r="B45" i="13"/>
  <c r="B42" i="13"/>
  <c r="B42" i="11"/>
  <c r="B92" i="10" l="1"/>
  <c r="G92" i="10" s="1"/>
  <c r="B91" i="10"/>
  <c r="G91" i="10" s="1"/>
  <c r="B94" i="10"/>
  <c r="G94" i="10" s="1"/>
  <c r="B93" i="10"/>
  <c r="G93" i="10" s="1"/>
  <c r="I46" i="10"/>
  <c r="N46" i="10" l="1"/>
  <c r="L93" i="10" s="1"/>
  <c r="B29" i="11"/>
  <c r="D45" i="14"/>
  <c r="C40" i="10"/>
  <c r="C39" i="10"/>
  <c r="I108" i="10"/>
  <c r="B44" i="11" l="1"/>
  <c r="B14" i="13"/>
  <c r="I45" i="14"/>
  <c r="B29" i="13" s="1"/>
  <c r="G92" i="14"/>
  <c r="B92" i="14"/>
  <c r="D107" i="14"/>
  <c r="I107" i="14" s="1"/>
  <c r="O25" i="22"/>
  <c r="B44" i="13" l="1"/>
  <c r="D81" i="9"/>
  <c r="D27" i="22" s="1"/>
  <c r="D83" i="9"/>
  <c r="M14" i="22" s="1"/>
  <c r="D109" i="10" l="1"/>
  <c r="C7" i="14" l="1"/>
  <c r="D7" i="14" s="1"/>
  <c r="C8" i="14"/>
  <c r="E8" i="14" s="1"/>
  <c r="C77" i="14" l="1"/>
  <c r="E7" i="14"/>
  <c r="H8" i="14"/>
  <c r="J8" i="14" s="1"/>
  <c r="C69" i="14"/>
  <c r="C7" i="21"/>
  <c r="C16" i="21"/>
  <c r="I8" i="10"/>
  <c r="H70" i="10" s="1"/>
  <c r="G70" i="10" s="1"/>
  <c r="D8" i="10"/>
  <c r="C70" i="10" s="1"/>
  <c r="B70" i="10" s="1"/>
  <c r="D34" i="10"/>
  <c r="H78" i="10" l="1"/>
  <c r="C78" i="10"/>
  <c r="E89" i="9" l="1"/>
  <c r="F33" i="22" s="1"/>
  <c r="G78" i="10"/>
  <c r="B77" i="14" s="1"/>
  <c r="E14" i="9"/>
  <c r="D49" i="9" s="1"/>
  <c r="D19" i="22" s="1"/>
  <c r="B78" i="10"/>
  <c r="D5" i="9"/>
  <c r="D12" i="19"/>
  <c r="E12" i="19"/>
  <c r="C27" i="21"/>
  <c r="F12" i="22" l="1"/>
  <c r="G77" i="14"/>
  <c r="D77" i="14"/>
  <c r="D5" i="22"/>
  <c r="E54" i="9"/>
  <c r="D9" i="9"/>
  <c r="D73" i="14"/>
  <c r="D99" i="14" s="1"/>
  <c r="B8" i="11"/>
  <c r="B9" i="11"/>
  <c r="B10" i="11"/>
  <c r="B11" i="11"/>
  <c r="B7" i="11"/>
  <c r="B87" i="10"/>
  <c r="B88" i="10"/>
  <c r="B89" i="10"/>
  <c r="B90" i="10"/>
  <c r="B86" i="10"/>
  <c r="F22" i="22" l="1"/>
  <c r="E58" i="9"/>
  <c r="O12" i="22" s="1"/>
  <c r="M5" i="22"/>
  <c r="I73" i="14"/>
  <c r="I99" i="14" s="1"/>
  <c r="I100" i="10"/>
  <c r="N100" i="10" s="1"/>
  <c r="O100" i="10" s="1"/>
  <c r="G40" i="10"/>
  <c r="L40" i="10" s="1"/>
  <c r="I6" i="10"/>
  <c r="I10" i="10" s="1"/>
  <c r="J12" i="10" s="1"/>
  <c r="C108" i="10"/>
  <c r="B108" i="10" s="1"/>
  <c r="H71" i="10" l="1"/>
  <c r="E111" i="9"/>
  <c r="O57" i="22" s="1"/>
  <c r="K99" i="14"/>
  <c r="L99" i="14" s="1"/>
  <c r="G7" i="21"/>
  <c r="E24" i="21"/>
  <c r="D6" i="10"/>
  <c r="I34" i="10"/>
  <c r="H34" i="10"/>
  <c r="E27" i="9"/>
  <c r="O49" i="22" s="1"/>
  <c r="C99" i="10"/>
  <c r="G19" i="10"/>
  <c r="B19" i="10"/>
  <c r="H73" i="10" l="1"/>
  <c r="J73" i="10"/>
  <c r="J109" i="10" s="1"/>
  <c r="C71" i="10"/>
  <c r="C73" i="10" s="1"/>
  <c r="B73" i="10" s="1"/>
  <c r="D10" i="10"/>
  <c r="D31" i="10" s="1"/>
  <c r="N34" i="10"/>
  <c r="M99" i="10" s="1"/>
  <c r="C33" i="14"/>
  <c r="M34" i="10"/>
  <c r="D70" i="9"/>
  <c r="M55" i="22" s="1"/>
  <c r="H108" i="10"/>
  <c r="H99" i="10"/>
  <c r="G108" i="10" l="1"/>
  <c r="L108" i="10"/>
  <c r="G73" i="10"/>
  <c r="J71" i="10"/>
  <c r="D33" i="14"/>
  <c r="H33" i="14"/>
  <c r="M101" i="10"/>
  <c r="G54" i="10" l="1"/>
  <c r="I33" i="14"/>
  <c r="B8" i="21"/>
  <c r="C8" i="21"/>
  <c r="D7" i="11"/>
  <c r="C5" i="14" l="1"/>
  <c r="C10" i="14" s="1"/>
  <c r="C61" i="14" s="1"/>
  <c r="D5" i="14" l="1"/>
  <c r="E5" i="14" s="1"/>
  <c r="E9" i="14" s="1"/>
  <c r="E10" i="14" s="1"/>
  <c r="C9" i="14"/>
  <c r="C62" i="14" s="1"/>
  <c r="H7" i="14"/>
  <c r="I7" i="14" s="1"/>
  <c r="J7" i="14" s="1"/>
  <c r="C107" i="14"/>
  <c r="B107" i="14" s="1"/>
  <c r="B53" i="14" s="1"/>
  <c r="D8" i="11"/>
  <c r="D9" i="11"/>
  <c r="D10" i="11"/>
  <c r="D11" i="11"/>
  <c r="C63" i="14" l="1"/>
  <c r="H77" i="14"/>
  <c r="I77" i="14" s="1"/>
  <c r="H69" i="14"/>
  <c r="D9" i="14"/>
  <c r="E11" i="14" s="1"/>
  <c r="C70" i="14"/>
  <c r="C72" i="14" s="1"/>
  <c r="H107" i="14"/>
  <c r="H98" i="14"/>
  <c r="C98" i="14"/>
  <c r="G71" i="10"/>
  <c r="B70" i="14" s="1"/>
  <c r="G70" i="14" s="1"/>
  <c r="B56" i="14"/>
  <c r="B39" i="14"/>
  <c r="G39" i="14" s="1"/>
  <c r="C100" i="14"/>
  <c r="H100" i="14"/>
  <c r="G56" i="10"/>
  <c r="B55" i="14" s="1"/>
  <c r="G55" i="14" s="1"/>
  <c r="G55" i="10"/>
  <c r="B54" i="14" s="1"/>
  <c r="B100" i="14" s="1"/>
  <c r="I40" i="10"/>
  <c r="I41" i="10"/>
  <c r="I42" i="10"/>
  <c r="I43" i="10"/>
  <c r="I39" i="10"/>
  <c r="N39" i="10" s="1"/>
  <c r="L86" i="10" s="1"/>
  <c r="B101" i="10"/>
  <c r="B76" i="10"/>
  <c r="B75" i="10"/>
  <c r="D10" i="13" l="1"/>
  <c r="D8" i="13"/>
  <c r="D14" i="13"/>
  <c r="D9" i="13"/>
  <c r="D7" i="13"/>
  <c r="D15" i="13"/>
  <c r="D11" i="13"/>
  <c r="D13" i="13"/>
  <c r="D12" i="13"/>
  <c r="G18" i="14"/>
  <c r="B18" i="14"/>
  <c r="G107" i="14"/>
  <c r="B24" i="11"/>
  <c r="B39" i="11" s="1"/>
  <c r="N41" i="10"/>
  <c r="L88" i="10" s="1"/>
  <c r="B23" i="11"/>
  <c r="B38" i="11" s="1"/>
  <c r="N40" i="10"/>
  <c r="L87" i="10" s="1"/>
  <c r="B26" i="11"/>
  <c r="B41" i="11" s="1"/>
  <c r="N43" i="10"/>
  <c r="L90" i="10" s="1"/>
  <c r="B25" i="11"/>
  <c r="B40" i="11" s="1"/>
  <c r="N42" i="10"/>
  <c r="L89" i="10" s="1"/>
  <c r="B22" i="11"/>
  <c r="B37" i="11" s="1"/>
  <c r="G101" i="10"/>
  <c r="L101" i="10" s="1"/>
  <c r="G87" i="10"/>
  <c r="H5" i="14"/>
  <c r="D38" i="14"/>
  <c r="G90" i="10"/>
  <c r="G86" i="10"/>
  <c r="G88" i="10"/>
  <c r="G89" i="10"/>
  <c r="G54" i="14"/>
  <c r="D40" i="14"/>
  <c r="B9" i="13" s="1"/>
  <c r="D39" i="14"/>
  <c r="B8" i="13" s="1"/>
  <c r="D41" i="14"/>
  <c r="B10" i="13" s="1"/>
  <c r="D42" i="14"/>
  <c r="B11" i="13" s="1"/>
  <c r="G56" i="14"/>
  <c r="D100" i="14"/>
  <c r="C101" i="10"/>
  <c r="D101" i="10" s="1"/>
  <c r="E28" i="9" s="1"/>
  <c r="O50" i="22" s="1"/>
  <c r="O51" i="22" s="1"/>
  <c r="O53" i="22" s="1"/>
  <c r="H101" i="10"/>
  <c r="D30" i="13" l="1"/>
  <c r="D26" i="13"/>
  <c r="D25" i="13"/>
  <c r="D29" i="13"/>
  <c r="D28" i="13"/>
  <c r="D27" i="13"/>
  <c r="D24" i="13"/>
  <c r="D23" i="13"/>
  <c r="D22" i="13"/>
  <c r="G53" i="14"/>
  <c r="H9" i="14"/>
  <c r="H62" i="14" s="1"/>
  <c r="H10" i="14"/>
  <c r="H61" i="14" s="1"/>
  <c r="P51" i="22"/>
  <c r="D71" i="9"/>
  <c r="M56" i="22" s="1"/>
  <c r="M60" i="22" s="1"/>
  <c r="G100" i="14"/>
  <c r="I100" i="14" s="1"/>
  <c r="F8" i="21"/>
  <c r="I5" i="14"/>
  <c r="J5" i="14" s="1"/>
  <c r="J9" i="14" s="1"/>
  <c r="J10" i="14" s="1"/>
  <c r="G85" i="14"/>
  <c r="B7" i="13"/>
  <c r="I101" i="10"/>
  <c r="N101" i="10" s="1"/>
  <c r="O101" i="10" s="1"/>
  <c r="B85" i="14"/>
  <c r="I38" i="14"/>
  <c r="B22" i="13" s="1"/>
  <c r="B89" i="14"/>
  <c r="G89" i="14"/>
  <c r="I42" i="14"/>
  <c r="B26" i="13" s="1"/>
  <c r="G86" i="14"/>
  <c r="I39" i="14"/>
  <c r="B23" i="13" s="1"/>
  <c r="B38" i="13" s="1"/>
  <c r="B86" i="14"/>
  <c r="G88" i="14"/>
  <c r="I41" i="14"/>
  <c r="B25" i="13" s="1"/>
  <c r="B88" i="14"/>
  <c r="G87" i="14"/>
  <c r="I40" i="14"/>
  <c r="B24" i="13" s="1"/>
  <c r="B87" i="14"/>
  <c r="H63" i="14" l="1"/>
  <c r="H70" i="14"/>
  <c r="H72" i="14" s="1"/>
  <c r="I9" i="14"/>
  <c r="J11" i="14" s="1"/>
  <c r="L107" i="14" s="1"/>
  <c r="E112" i="9"/>
  <c r="O58" i="22" s="1"/>
  <c r="K100" i="14"/>
  <c r="L100" i="14" s="1"/>
  <c r="E156" i="9" s="1"/>
  <c r="O63" i="22" s="1"/>
  <c r="O64" i="22" s="1"/>
  <c r="O66" i="22" s="1"/>
  <c r="P101" i="10"/>
  <c r="E123" i="9" s="1"/>
  <c r="O59" i="22" s="1"/>
  <c r="F6" i="19"/>
  <c r="F12" i="19" s="1"/>
  <c r="D49" i="21"/>
  <c r="G8" i="21"/>
  <c r="G9" i="21" s="1"/>
  <c r="B37" i="13"/>
  <c r="B39" i="13"/>
  <c r="B40" i="13"/>
  <c r="B41" i="13"/>
  <c r="O60" i="22" l="1"/>
  <c r="P60" i="22" s="1"/>
  <c r="D144" i="9"/>
  <c r="M62" i="22" s="1"/>
  <c r="M64" i="22" s="1"/>
  <c r="B54" i="10"/>
  <c r="P64" i="22" l="1"/>
  <c r="B99" i="10"/>
  <c r="D99" i="10" s="1"/>
  <c r="G99" i="10" l="1"/>
  <c r="B71" i="10"/>
  <c r="D6" i="9"/>
  <c r="D102" i="10"/>
  <c r="E55" i="9" l="1"/>
  <c r="D6" i="22"/>
  <c r="I99" i="10"/>
  <c r="I102" i="10" s="1"/>
  <c r="E26" i="9"/>
  <c r="F50" i="22" s="1"/>
  <c r="D70" i="14"/>
  <c r="D72" i="14" l="1"/>
  <c r="B72" i="14" s="1"/>
  <c r="F23" i="22"/>
  <c r="D69" i="9"/>
  <c r="D57" i="22" s="1"/>
  <c r="I70" i="14"/>
  <c r="I72" i="14" l="1"/>
  <c r="G72" i="14"/>
  <c r="D17" i="21" l="1"/>
  <c r="D16" i="21"/>
  <c r="B18" i="10" l="1"/>
  <c r="G39" i="10"/>
  <c r="L39" i="10" l="1"/>
  <c r="B38" i="14"/>
  <c r="G38" i="14" s="1"/>
  <c r="G18" i="10"/>
  <c r="G17" i="14" l="1"/>
  <c r="B17" i="14"/>
  <c r="E16" i="21" l="1"/>
  <c r="I16" i="21" s="1"/>
  <c r="B69" i="14" l="1"/>
  <c r="G69" i="14" s="1"/>
  <c r="I69" i="14" s="1"/>
  <c r="D80" i="9"/>
  <c r="J72" i="14" l="1"/>
  <c r="J108" i="14" s="1"/>
  <c r="J70" i="14"/>
  <c r="D26" i="22"/>
  <c r="D69" i="14"/>
  <c r="D33" i="10"/>
  <c r="C107" i="10" s="1"/>
  <c r="C35" i="10"/>
  <c r="B34" i="10" s="1"/>
  <c r="H33" i="10"/>
  <c r="E72" i="14" l="1"/>
  <c r="E70" i="14"/>
  <c r="B13" i="10"/>
  <c r="C13" i="10" s="1"/>
  <c r="D13" i="10" s="1"/>
  <c r="E12" i="9"/>
  <c r="M40" i="10"/>
  <c r="M39" i="10"/>
  <c r="M33" i="10"/>
  <c r="M35" i="10" s="1"/>
  <c r="L33" i="10" s="1"/>
  <c r="H39" i="10"/>
  <c r="H40" i="10"/>
  <c r="C32" i="14"/>
  <c r="H32" i="14" s="1"/>
  <c r="H35" i="10"/>
  <c r="C31" i="10"/>
  <c r="B33" i="10"/>
  <c r="E11" i="9" s="1"/>
  <c r="C109" i="10"/>
  <c r="B109" i="10" s="1"/>
  <c r="B107" i="10"/>
  <c r="B53" i="10" s="1"/>
  <c r="D35" i="10"/>
  <c r="I33" i="10"/>
  <c r="C76" i="10" l="1"/>
  <c r="D76" i="10" s="1"/>
  <c r="F10" i="22"/>
  <c r="O8" i="22" s="1"/>
  <c r="D53" i="9"/>
  <c r="D21" i="22" s="1"/>
  <c r="D52" i="9"/>
  <c r="D20" i="22" s="1"/>
  <c r="F9" i="22"/>
  <c r="B6" i="21"/>
  <c r="B9" i="21" s="1"/>
  <c r="I32" i="14"/>
  <c r="H34" i="14"/>
  <c r="G32" i="14" s="1"/>
  <c r="H39" i="14"/>
  <c r="H86" i="14" s="1"/>
  <c r="I86" i="14" s="1"/>
  <c r="H38" i="14"/>
  <c r="C12" i="11"/>
  <c r="C14" i="11"/>
  <c r="C13" i="11"/>
  <c r="C15" i="11"/>
  <c r="C34" i="14"/>
  <c r="B33" i="14" s="1"/>
  <c r="B12" i="14" s="1"/>
  <c r="C12" i="14" s="1"/>
  <c r="D32" i="14"/>
  <c r="C39" i="14"/>
  <c r="C86" i="14" s="1"/>
  <c r="D86" i="14" s="1"/>
  <c r="C38" i="14"/>
  <c r="C87" i="10"/>
  <c r="D87" i="10" s="1"/>
  <c r="C86" i="10"/>
  <c r="L34" i="10"/>
  <c r="L35" i="10" s="1"/>
  <c r="M31" i="10"/>
  <c r="B6" i="19"/>
  <c r="D10" i="9"/>
  <c r="I35" i="10"/>
  <c r="I31" i="10" s="1"/>
  <c r="H107" i="10"/>
  <c r="L107" i="10" s="1"/>
  <c r="N33" i="10"/>
  <c r="N35" i="10" s="1"/>
  <c r="N31" i="10" s="1"/>
  <c r="B35" i="10"/>
  <c r="B12" i="10"/>
  <c r="C8" i="11"/>
  <c r="C7" i="11"/>
  <c r="C10" i="11"/>
  <c r="C11" i="11"/>
  <c r="C9" i="11"/>
  <c r="H87" i="10"/>
  <c r="I87" i="10" s="1"/>
  <c r="G34" i="10"/>
  <c r="G13" i="10" s="1"/>
  <c r="H13" i="10" s="1"/>
  <c r="H31" i="10"/>
  <c r="C30" i="14" s="1"/>
  <c r="M87" i="10"/>
  <c r="N87" i="10" s="1"/>
  <c r="O87" i="10" s="1"/>
  <c r="G33" i="10"/>
  <c r="L109" i="10" l="1"/>
  <c r="H106" i="14"/>
  <c r="C6" i="21"/>
  <c r="I34" i="14"/>
  <c r="I30" i="14" s="1"/>
  <c r="H85" i="14"/>
  <c r="G11" i="14"/>
  <c r="H30" i="14"/>
  <c r="G33" i="14"/>
  <c r="G12" i="14" s="1"/>
  <c r="H12" i="14" s="1"/>
  <c r="P87" i="10"/>
  <c r="K86" i="14"/>
  <c r="B32" i="14"/>
  <c r="B34" i="14" s="1"/>
  <c r="E15" i="11"/>
  <c r="E14" i="11"/>
  <c r="E12" i="11"/>
  <c r="E13" i="11"/>
  <c r="H109" i="10"/>
  <c r="D34" i="14"/>
  <c r="D30" i="14" s="1"/>
  <c r="C106" i="14"/>
  <c r="C108" i="14" s="1"/>
  <c r="M86" i="10"/>
  <c r="I13" i="10"/>
  <c r="H76" i="10"/>
  <c r="E7" i="11"/>
  <c r="M6" i="22"/>
  <c r="E59" i="9"/>
  <c r="O13" i="22" s="1"/>
  <c r="E9" i="11"/>
  <c r="E8" i="11"/>
  <c r="B12" i="19"/>
  <c r="D12" i="14"/>
  <c r="C75" i="14"/>
  <c r="C7" i="18"/>
  <c r="H86" i="10"/>
  <c r="E11" i="11"/>
  <c r="G35" i="10"/>
  <c r="G12" i="10"/>
  <c r="E10" i="11"/>
  <c r="B14" i="10"/>
  <c r="C12" i="10"/>
  <c r="C85" i="14"/>
  <c r="D86" i="10"/>
  <c r="H108" i="14" l="1"/>
  <c r="L106" i="14"/>
  <c r="L108" i="14" s="1"/>
  <c r="M8" i="22"/>
  <c r="B11" i="14"/>
  <c r="H11" i="14"/>
  <c r="G13" i="14"/>
  <c r="G34" i="14"/>
  <c r="C9" i="21"/>
  <c r="I12" i="14"/>
  <c r="F7" i="18"/>
  <c r="C17" i="21"/>
  <c r="H75" i="14"/>
  <c r="B17" i="21"/>
  <c r="B25" i="21" s="1"/>
  <c r="I85" i="14"/>
  <c r="L86" i="14"/>
  <c r="C20" i="10"/>
  <c r="C23" i="10"/>
  <c r="C24" i="10"/>
  <c r="C25" i="10"/>
  <c r="C26" i="10"/>
  <c r="C21" i="10"/>
  <c r="C22" i="10"/>
  <c r="F12" i="11"/>
  <c r="F13" i="11"/>
  <c r="F15" i="11"/>
  <c r="F14" i="11"/>
  <c r="C19" i="10"/>
  <c r="C18" i="10"/>
  <c r="F10" i="11"/>
  <c r="F9" i="11"/>
  <c r="F7" i="11"/>
  <c r="G14" i="10"/>
  <c r="H12" i="10"/>
  <c r="D85" i="14"/>
  <c r="F11" i="11"/>
  <c r="F8" i="11"/>
  <c r="N86" i="10"/>
  <c r="D12" i="10"/>
  <c r="D14" i="10" s="1"/>
  <c r="C75" i="10"/>
  <c r="D75" i="10" s="1"/>
  <c r="C14" i="10"/>
  <c r="B13" i="14"/>
  <c r="C11" i="14"/>
  <c r="I86" i="10"/>
  <c r="P8" i="22" l="1"/>
  <c r="C48" i="21"/>
  <c r="B27" i="21"/>
  <c r="C49" i="21"/>
  <c r="E49" i="21" s="1"/>
  <c r="C38" i="21"/>
  <c r="C37" i="21"/>
  <c r="E17" i="21"/>
  <c r="I17" i="21" s="1"/>
  <c r="H74" i="14"/>
  <c r="I11" i="14"/>
  <c r="G106" i="14" s="1"/>
  <c r="B15" i="21"/>
  <c r="B19" i="21" s="1"/>
  <c r="H18" i="14"/>
  <c r="H13" i="14"/>
  <c r="F6" i="18"/>
  <c r="H17" i="14"/>
  <c r="J17" i="14" s="1"/>
  <c r="H19" i="10"/>
  <c r="J19" i="10" s="1"/>
  <c r="H18" i="10"/>
  <c r="J18" i="10" s="1"/>
  <c r="C18" i="14"/>
  <c r="E18" i="14" s="1"/>
  <c r="C17" i="14"/>
  <c r="E17" i="14" s="1"/>
  <c r="C6" i="18"/>
  <c r="C8" i="18" s="1"/>
  <c r="C13" i="14"/>
  <c r="D11" i="14"/>
  <c r="D13" i="14" s="1"/>
  <c r="C74" i="14"/>
  <c r="H75" i="10"/>
  <c r="I12" i="10"/>
  <c r="G107" i="10" s="1"/>
  <c r="H14" i="10"/>
  <c r="D8" i="9"/>
  <c r="G8" i="11"/>
  <c r="O86" i="10"/>
  <c r="G22" i="11" l="1"/>
  <c r="G7" i="13"/>
  <c r="G23" i="11"/>
  <c r="G8" i="13"/>
  <c r="G22" i="13"/>
  <c r="J18" i="14"/>
  <c r="G23" i="13" s="1"/>
  <c r="H23" i="13" s="1"/>
  <c r="M52" i="22"/>
  <c r="M53" i="22" s="1"/>
  <c r="P53" i="22" s="1"/>
  <c r="I13" i="14"/>
  <c r="C15" i="21"/>
  <c r="C19" i="21" s="1"/>
  <c r="F8" i="18"/>
  <c r="G7" i="18" s="1"/>
  <c r="P86" i="10"/>
  <c r="K85" i="14"/>
  <c r="I14" i="10"/>
  <c r="I107" i="10"/>
  <c r="I109" i="10" s="1"/>
  <c r="G109" i="10" s="1"/>
  <c r="K108" i="10" s="1"/>
  <c r="G7" i="11"/>
  <c r="G58" i="10"/>
  <c r="B58" i="10" s="1"/>
  <c r="J8" i="11"/>
  <c r="H8" i="11"/>
  <c r="I8" i="11"/>
  <c r="D8" i="22"/>
  <c r="E57" i="9"/>
  <c r="E60" i="9" s="1"/>
  <c r="D17" i="9"/>
  <c r="G37" i="11" l="1"/>
  <c r="G38" i="11"/>
  <c r="L99" i="10"/>
  <c r="N99" i="10" s="1"/>
  <c r="M108" i="10"/>
  <c r="K107" i="10"/>
  <c r="O76" i="22"/>
  <c r="D36" i="9"/>
  <c r="E37" i="9" s="1"/>
  <c r="E41" i="9" s="1"/>
  <c r="G6" i="18"/>
  <c r="G8" i="18" s="1"/>
  <c r="G63" i="10"/>
  <c r="I106" i="14"/>
  <c r="I108" i="14" s="1"/>
  <c r="G108" i="14" s="1"/>
  <c r="G52" i="14"/>
  <c r="C36" i="21"/>
  <c r="C35" i="21"/>
  <c r="H22" i="13"/>
  <c r="D106" i="14"/>
  <c r="D108" i="14" s="1"/>
  <c r="B108" i="14" s="1"/>
  <c r="G53" i="10"/>
  <c r="F25" i="22"/>
  <c r="H23" i="11"/>
  <c r="L85" i="14"/>
  <c r="D38" i="11"/>
  <c r="D41" i="11"/>
  <c r="G75" i="10"/>
  <c r="I75" i="10" s="1"/>
  <c r="G76" i="10"/>
  <c r="I76" i="10" s="1"/>
  <c r="D40" i="11"/>
  <c r="D39" i="11"/>
  <c r="D37" i="11"/>
  <c r="B57" i="14"/>
  <c r="G38" i="13"/>
  <c r="H8" i="13"/>
  <c r="K8" i="11"/>
  <c r="J7" i="11"/>
  <c r="I7" i="11"/>
  <c r="H7" i="11"/>
  <c r="C6" i="19" l="1"/>
  <c r="K107" i="14"/>
  <c r="K106" i="14"/>
  <c r="C7" i="13"/>
  <c r="C22" i="11"/>
  <c r="E22" i="11" s="1"/>
  <c r="M107" i="10"/>
  <c r="M109" i="10" s="1"/>
  <c r="K109" i="10" s="1"/>
  <c r="O99" i="10"/>
  <c r="N102" i="10"/>
  <c r="G62" i="10"/>
  <c r="I64" i="10"/>
  <c r="D61" i="14"/>
  <c r="D62" i="14"/>
  <c r="B62" i="14" s="1"/>
  <c r="D15" i="21"/>
  <c r="E15" i="21" s="1"/>
  <c r="E19" i="21" s="1"/>
  <c r="D42" i="11"/>
  <c r="D45" i="11"/>
  <c r="D43" i="11"/>
  <c r="D44" i="11"/>
  <c r="K7" i="11"/>
  <c r="B106" i="14"/>
  <c r="B52" i="14" s="1"/>
  <c r="H38" i="11"/>
  <c r="B74" i="14"/>
  <c r="D74" i="14" s="1"/>
  <c r="J7" i="13"/>
  <c r="G57" i="14"/>
  <c r="B75" i="14"/>
  <c r="D75" i="14" s="1"/>
  <c r="J23" i="11"/>
  <c r="J38" i="11" s="1"/>
  <c r="H38" i="13"/>
  <c r="C5" i="19"/>
  <c r="J22" i="11"/>
  <c r="H22" i="11"/>
  <c r="G37" i="13"/>
  <c r="H7" i="13"/>
  <c r="J64" i="10" l="1"/>
  <c r="J65" i="10"/>
  <c r="P99" i="10"/>
  <c r="K98" i="14"/>
  <c r="K101" i="14" s="1"/>
  <c r="E110" i="9"/>
  <c r="F59" i="22" s="1"/>
  <c r="O102" i="10"/>
  <c r="C29" i="11"/>
  <c r="E29" i="11" s="1"/>
  <c r="C23" i="11"/>
  <c r="E23" i="11" s="1"/>
  <c r="F23" i="11" s="1"/>
  <c r="F38" i="11" s="1"/>
  <c r="C27" i="11"/>
  <c r="C42" i="11" s="1"/>
  <c r="C25" i="11"/>
  <c r="E25" i="11" s="1"/>
  <c r="F25" i="11" s="1"/>
  <c r="F40" i="11" s="1"/>
  <c r="C28" i="11"/>
  <c r="C43" i="11" s="1"/>
  <c r="C24" i="11"/>
  <c r="C39" i="11" s="1"/>
  <c r="C26" i="11"/>
  <c r="C41" i="11" s="1"/>
  <c r="C30" i="11"/>
  <c r="E30" i="11" s="1"/>
  <c r="C15" i="13"/>
  <c r="C14" i="13"/>
  <c r="C13" i="13"/>
  <c r="C12" i="13"/>
  <c r="C11" i="13"/>
  <c r="E11" i="13" s="1"/>
  <c r="C10" i="13"/>
  <c r="C9" i="13"/>
  <c r="C8" i="13"/>
  <c r="I8" i="13" s="1"/>
  <c r="C22" i="13"/>
  <c r="M106" i="14"/>
  <c r="M107" i="14"/>
  <c r="G98" i="14"/>
  <c r="B98" i="14"/>
  <c r="D98" i="14" s="1"/>
  <c r="D101" i="14" s="1"/>
  <c r="G64" i="10"/>
  <c r="I61" i="14"/>
  <c r="I62" i="14"/>
  <c r="G62" i="14" s="1"/>
  <c r="B61" i="14"/>
  <c r="D63" i="14"/>
  <c r="D42" i="13"/>
  <c r="D45" i="13"/>
  <c r="C37" i="11"/>
  <c r="I22" i="11"/>
  <c r="K22" i="11" s="1"/>
  <c r="I7" i="13"/>
  <c r="D41" i="13"/>
  <c r="D25" i="21"/>
  <c r="D48" i="21" s="1"/>
  <c r="B7" i="18"/>
  <c r="E7" i="18" s="1"/>
  <c r="G74" i="14"/>
  <c r="I74" i="14" s="1"/>
  <c r="D37" i="13"/>
  <c r="B6" i="18"/>
  <c r="E6" i="18" s="1"/>
  <c r="D38" i="13"/>
  <c r="D39" i="13"/>
  <c r="G75" i="14"/>
  <c r="I75" i="14" s="1"/>
  <c r="G6" i="19" s="1"/>
  <c r="G12" i="19" s="1"/>
  <c r="F15" i="21"/>
  <c r="G15" i="21" s="1"/>
  <c r="C12" i="19"/>
  <c r="H37" i="11"/>
  <c r="H37" i="13"/>
  <c r="J37" i="11"/>
  <c r="F22" i="11"/>
  <c r="F37" i="11" s="1"/>
  <c r="E37" i="11"/>
  <c r="J8" i="13"/>
  <c r="E27" i="11" l="1"/>
  <c r="F27" i="11" s="1"/>
  <c r="F42" i="11" s="1"/>
  <c r="E28" i="11"/>
  <c r="F28" i="11" s="1"/>
  <c r="F43" i="11" s="1"/>
  <c r="E38" i="11"/>
  <c r="E87" i="9"/>
  <c r="O16" i="22" s="1"/>
  <c r="O17" i="22" s="1"/>
  <c r="D85" i="9"/>
  <c r="M15" i="22" s="1"/>
  <c r="M17" i="22" s="1"/>
  <c r="M19" i="22" s="1"/>
  <c r="E86" i="9"/>
  <c r="J66" i="10"/>
  <c r="D84" i="9"/>
  <c r="C44" i="11"/>
  <c r="I23" i="11"/>
  <c r="I38" i="11" s="1"/>
  <c r="K38" i="11" s="1"/>
  <c r="D7" i="21"/>
  <c r="D8" i="21"/>
  <c r="E8" i="21" s="1"/>
  <c r="I98" i="14"/>
  <c r="C30" i="13"/>
  <c r="E30" i="13" s="1"/>
  <c r="F30" i="13" s="1"/>
  <c r="C29" i="13"/>
  <c r="E29" i="13" s="1"/>
  <c r="F29" i="13" s="1"/>
  <c r="C27" i="13"/>
  <c r="E27" i="13" s="1"/>
  <c r="F27" i="13" s="1"/>
  <c r="C25" i="13"/>
  <c r="E25" i="13" s="1"/>
  <c r="F25" i="13" s="1"/>
  <c r="C24" i="13"/>
  <c r="C39" i="13" s="1"/>
  <c r="C28" i="13"/>
  <c r="C43" i="13" s="1"/>
  <c r="C23" i="13"/>
  <c r="I23" i="13" s="1"/>
  <c r="I38" i="13" s="1"/>
  <c r="C26" i="13"/>
  <c r="C41" i="13" s="1"/>
  <c r="I22" i="13"/>
  <c r="I37" i="13" s="1"/>
  <c r="C40" i="11"/>
  <c r="M108" i="14"/>
  <c r="K108" i="14" s="1"/>
  <c r="E40" i="11"/>
  <c r="E24" i="11"/>
  <c r="F24" i="11" s="1"/>
  <c r="F39" i="11" s="1"/>
  <c r="C45" i="11"/>
  <c r="E26" i="11"/>
  <c r="E41" i="11" s="1"/>
  <c r="C38" i="11"/>
  <c r="E122" i="9"/>
  <c r="F61" i="22" s="1"/>
  <c r="D143" i="9"/>
  <c r="D65" i="22" s="1"/>
  <c r="P102" i="10"/>
  <c r="B63" i="14"/>
  <c r="G61" i="14"/>
  <c r="I63" i="14"/>
  <c r="E8" i="13"/>
  <c r="F8" i="13" s="1"/>
  <c r="I37" i="11"/>
  <c r="K37" i="11" s="1"/>
  <c r="E13" i="13"/>
  <c r="F29" i="11"/>
  <c r="F44" i="11" s="1"/>
  <c r="E44" i="11"/>
  <c r="D44" i="13"/>
  <c r="E14" i="13"/>
  <c r="E15" i="13"/>
  <c r="E12" i="13"/>
  <c r="D43" i="13"/>
  <c r="F30" i="11"/>
  <c r="F45" i="11" s="1"/>
  <c r="E45" i="11"/>
  <c r="E9" i="13"/>
  <c r="F9" i="13" s="1"/>
  <c r="E7" i="13"/>
  <c r="F7" i="13" s="1"/>
  <c r="C37" i="13"/>
  <c r="E10" i="13"/>
  <c r="F10" i="13" s="1"/>
  <c r="K7" i="13"/>
  <c r="H6" i="19"/>
  <c r="K8" i="13"/>
  <c r="E8" i="18"/>
  <c r="H8" i="18" s="1"/>
  <c r="E48" i="21"/>
  <c r="E25" i="21"/>
  <c r="E22" i="13"/>
  <c r="F22" i="13" s="1"/>
  <c r="J22" i="13"/>
  <c r="F11" i="13"/>
  <c r="H12" i="19"/>
  <c r="D40" i="13"/>
  <c r="J23" i="13"/>
  <c r="G5" i="19"/>
  <c r="E43" i="11" l="1"/>
  <c r="E24" i="13"/>
  <c r="F24" i="13" s="1"/>
  <c r="F39" i="13" s="1"/>
  <c r="E42" i="11"/>
  <c r="P17" i="22"/>
  <c r="O18" i="22" s="1"/>
  <c r="M77" i="22" s="1"/>
  <c r="M79" i="22" s="1"/>
  <c r="D29" i="22"/>
  <c r="D92" i="9"/>
  <c r="C42" i="13"/>
  <c r="C45" i="13"/>
  <c r="K23" i="11"/>
  <c r="E39" i="11"/>
  <c r="C40" i="13"/>
  <c r="E23" i="13"/>
  <c r="F23" i="13" s="1"/>
  <c r="F38" i="13" s="1"/>
  <c r="E26" i="13"/>
  <c r="F26" i="13" s="1"/>
  <c r="F41" i="13" s="1"/>
  <c r="F26" i="11"/>
  <c r="F41" i="11" s="1"/>
  <c r="L98" i="14"/>
  <c r="I101" i="14"/>
  <c r="E28" i="13"/>
  <c r="F28" i="13" s="1"/>
  <c r="D38" i="21"/>
  <c r="E38" i="21" s="1"/>
  <c r="D37" i="21"/>
  <c r="E37" i="21" s="1"/>
  <c r="E7" i="21"/>
  <c r="C44" i="13"/>
  <c r="C38" i="13"/>
  <c r="F30" i="22"/>
  <c r="G63" i="14"/>
  <c r="E50" i="21"/>
  <c r="E51" i="21" s="1"/>
  <c r="F14" i="13"/>
  <c r="F44" i="13" s="1"/>
  <c r="E44" i="13"/>
  <c r="F13" i="13"/>
  <c r="F12" i="13"/>
  <c r="F42" i="13" s="1"/>
  <c r="E42" i="13"/>
  <c r="F15" i="13"/>
  <c r="F45" i="13" s="1"/>
  <c r="E45" i="13"/>
  <c r="F40" i="13"/>
  <c r="E40" i="13"/>
  <c r="F37" i="13"/>
  <c r="E37" i="13"/>
  <c r="D7" i="18"/>
  <c r="D6" i="18"/>
  <c r="J38" i="13"/>
  <c r="K38" i="13" s="1"/>
  <c r="K23" i="13"/>
  <c r="H6" i="18"/>
  <c r="I6" i="18" s="1"/>
  <c r="H7" i="18"/>
  <c r="I7" i="18" s="1"/>
  <c r="D173" i="9" s="1"/>
  <c r="J37" i="13"/>
  <c r="K22" i="13"/>
  <c r="D132" i="9" l="1"/>
  <c r="E134" i="9" s="1"/>
  <c r="O19" i="22"/>
  <c r="P19" i="22" s="1"/>
  <c r="E39" i="13"/>
  <c r="E38" i="13"/>
  <c r="E41" i="13"/>
  <c r="E43" i="13"/>
  <c r="F43" i="13"/>
  <c r="E155" i="9"/>
  <c r="F67" i="22" s="1"/>
  <c r="L101" i="14"/>
  <c r="E27" i="21"/>
  <c r="E45" i="21" s="1"/>
  <c r="I18" i="21"/>
  <c r="G19" i="21"/>
  <c r="D41" i="9"/>
  <c r="D8" i="18"/>
  <c r="K37" i="13"/>
  <c r="E174" i="9"/>
  <c r="M23" i="22"/>
  <c r="M25" i="22" s="1"/>
  <c r="P25" i="22" s="1"/>
  <c r="D175" i="9"/>
  <c r="I8" i="18"/>
  <c r="M65" i="22" l="1"/>
  <c r="O78" i="22" s="1"/>
  <c r="O79" i="22" s="1"/>
  <c r="P79" i="22" s="1"/>
  <c r="P82" i="22" s="1"/>
  <c r="P45" i="22"/>
  <c r="E175" i="9"/>
  <c r="F40" i="22"/>
  <c r="F41" i="22" s="1"/>
  <c r="F43" i="22" s="1"/>
  <c r="D183" i="9" l="1"/>
  <c r="E185" i="9" s="1"/>
  <c r="M66" i="22"/>
  <c r="P66" i="22" s="1"/>
  <c r="P71" i="22" s="1"/>
  <c r="P72" i="22" s="1"/>
  <c r="G10" i="11"/>
  <c r="H10" i="11" s="1"/>
  <c r="G9" i="11"/>
  <c r="G42" i="10"/>
  <c r="H42" i="10" s="1"/>
  <c r="G11" i="11"/>
  <c r="C27" i="10"/>
  <c r="G15" i="11"/>
  <c r="G12" i="11"/>
  <c r="I12" i="11" s="1"/>
  <c r="G14" i="11"/>
  <c r="G13" i="11"/>
  <c r="J13" i="11" s="1"/>
  <c r="G47" i="10"/>
  <c r="G44" i="10"/>
  <c r="H44" i="10" s="1"/>
  <c r="G45" i="10"/>
  <c r="B44" i="14" s="1"/>
  <c r="G44" i="14" s="1"/>
  <c r="C45" i="10"/>
  <c r="C92" i="10" s="1"/>
  <c r="D92" i="10" s="1"/>
  <c r="B27" i="10"/>
  <c r="G46" i="10"/>
  <c r="G43" i="10"/>
  <c r="I14" i="11" l="1"/>
  <c r="J11" i="11"/>
  <c r="G23" i="14"/>
  <c r="H23" i="14" s="1"/>
  <c r="J23" i="14" s="1"/>
  <c r="G28" i="13" s="1"/>
  <c r="H44" i="14"/>
  <c r="H91" i="14" s="1"/>
  <c r="I91" i="14" s="1"/>
  <c r="J9" i="11"/>
  <c r="J12" i="11"/>
  <c r="H13" i="11"/>
  <c r="C43" i="10"/>
  <c r="C90" i="10" s="1"/>
  <c r="D90" i="10" s="1"/>
  <c r="I9" i="11"/>
  <c r="I10" i="11"/>
  <c r="G21" i="10"/>
  <c r="H21" i="10" s="1"/>
  <c r="J21" i="10" s="1"/>
  <c r="B41" i="14"/>
  <c r="G41" i="14" s="1"/>
  <c r="L42" i="10"/>
  <c r="M42" i="10" s="1"/>
  <c r="M89" i="10" s="1"/>
  <c r="N89" i="10" s="1"/>
  <c r="O89" i="10" s="1"/>
  <c r="H89" i="10"/>
  <c r="I89" i="10" s="1"/>
  <c r="B43" i="14"/>
  <c r="G43" i="14" s="1"/>
  <c r="L44" i="10"/>
  <c r="M44" i="10" s="1"/>
  <c r="M91" i="10" s="1"/>
  <c r="N91" i="10" s="1"/>
  <c r="O91" i="10" s="1"/>
  <c r="G23" i="10"/>
  <c r="H23" i="10" s="1"/>
  <c r="J23" i="10" s="1"/>
  <c r="H91" i="10"/>
  <c r="I91" i="10" s="1"/>
  <c r="B46" i="14"/>
  <c r="G46" i="14" s="1"/>
  <c r="H47" i="10"/>
  <c r="H94" i="10" s="1"/>
  <c r="I94" i="10" s="1"/>
  <c r="G26" i="10"/>
  <c r="H26" i="10" s="1"/>
  <c r="J26" i="10" s="1"/>
  <c r="L47" i="10"/>
  <c r="M47" i="10" s="1"/>
  <c r="M94" i="10" s="1"/>
  <c r="N94" i="10" s="1"/>
  <c r="O94" i="10" s="1"/>
  <c r="L43" i="10"/>
  <c r="M43" i="10" s="1"/>
  <c r="M90" i="10" s="1"/>
  <c r="N90" i="10" s="1"/>
  <c r="O90" i="10" s="1"/>
  <c r="B42" i="14"/>
  <c r="G42" i="14" s="1"/>
  <c r="G22" i="10"/>
  <c r="H22" i="10" s="1"/>
  <c r="J22" i="10" s="1"/>
  <c r="H43" i="10"/>
  <c r="H90" i="10" s="1"/>
  <c r="I90" i="10" s="1"/>
  <c r="H46" i="10"/>
  <c r="H93" i="10" s="1"/>
  <c r="I93" i="10" s="1"/>
  <c r="L46" i="10"/>
  <c r="M46" i="10" s="1"/>
  <c r="M93" i="10" s="1"/>
  <c r="N93" i="10" s="1"/>
  <c r="O93" i="10" s="1"/>
  <c r="B45" i="14"/>
  <c r="G45" i="14" s="1"/>
  <c r="G25" i="10"/>
  <c r="H25" i="10" s="1"/>
  <c r="J25" i="10" s="1"/>
  <c r="B23" i="14"/>
  <c r="C23" i="14" s="1"/>
  <c r="E23" i="14" s="1"/>
  <c r="C44" i="14"/>
  <c r="C91" i="14" s="1"/>
  <c r="D91" i="14" s="1"/>
  <c r="G41" i="10"/>
  <c r="L45" i="10"/>
  <c r="M45" i="10" s="1"/>
  <c r="M92" i="10" s="1"/>
  <c r="N92" i="10" s="1"/>
  <c r="O92" i="10" s="1"/>
  <c r="J14" i="11"/>
  <c r="J15" i="11"/>
  <c r="H14" i="11"/>
  <c r="G24" i="10"/>
  <c r="H24" i="10" s="1"/>
  <c r="J24" i="10" s="1"/>
  <c r="C42" i="10"/>
  <c r="C89" i="10" s="1"/>
  <c r="D89" i="10" s="1"/>
  <c r="C44" i="10"/>
  <c r="C91" i="10" s="1"/>
  <c r="D91" i="10" s="1"/>
  <c r="H45" i="10"/>
  <c r="H92" i="10" s="1"/>
  <c r="I92" i="10" s="1"/>
  <c r="I15" i="11"/>
  <c r="G16" i="11"/>
  <c r="I13" i="11"/>
  <c r="H12" i="11"/>
  <c r="H11" i="11"/>
  <c r="J10" i="11"/>
  <c r="C47" i="10"/>
  <c r="C94" i="10" s="1"/>
  <c r="D94" i="10" s="1"/>
  <c r="H15" i="11"/>
  <c r="I11" i="11"/>
  <c r="H9" i="11"/>
  <c r="C46" i="10"/>
  <c r="C93" i="10" s="1"/>
  <c r="D93" i="10" s="1"/>
  <c r="G25" i="11" l="1"/>
  <c r="G10" i="13"/>
  <c r="G30" i="11"/>
  <c r="G15" i="13"/>
  <c r="K12" i="11"/>
  <c r="G29" i="11"/>
  <c r="G14" i="13"/>
  <c r="G11" i="13"/>
  <c r="G26" i="11"/>
  <c r="G28" i="11"/>
  <c r="G13" i="13"/>
  <c r="H13" i="13" s="1"/>
  <c r="G27" i="11"/>
  <c r="G12" i="13"/>
  <c r="G22" i="14"/>
  <c r="H22" i="14" s="1"/>
  <c r="J22" i="14" s="1"/>
  <c r="G27" i="13" s="1"/>
  <c r="H43" i="14"/>
  <c r="H90" i="14" s="1"/>
  <c r="I90" i="14" s="1"/>
  <c r="G24" i="14"/>
  <c r="H24" i="14" s="1"/>
  <c r="J24" i="14" s="1"/>
  <c r="G29" i="13" s="1"/>
  <c r="H45" i="14"/>
  <c r="H92" i="14" s="1"/>
  <c r="I92" i="14" s="1"/>
  <c r="H41" i="14"/>
  <c r="H88" i="14" s="1"/>
  <c r="I88" i="14" s="1"/>
  <c r="G20" i="14"/>
  <c r="H20" i="14" s="1"/>
  <c r="J20" i="14" s="1"/>
  <c r="G25" i="13" s="1"/>
  <c r="H42" i="14"/>
  <c r="H89" i="14" s="1"/>
  <c r="I89" i="14" s="1"/>
  <c r="G21" i="14"/>
  <c r="H21" i="14" s="1"/>
  <c r="J21" i="14" s="1"/>
  <c r="G26" i="13" s="1"/>
  <c r="H46" i="14"/>
  <c r="H93" i="14" s="1"/>
  <c r="I93" i="14" s="1"/>
  <c r="G25" i="14"/>
  <c r="H25" i="14" s="1"/>
  <c r="J25" i="14" s="1"/>
  <c r="G30" i="13" s="1"/>
  <c r="H28" i="13"/>
  <c r="I28" i="13"/>
  <c r="J28" i="13"/>
  <c r="K13" i="11"/>
  <c r="K10" i="11"/>
  <c r="K14" i="11"/>
  <c r="J16" i="11"/>
  <c r="K11" i="11"/>
  <c r="P90" i="10"/>
  <c r="K89" i="14"/>
  <c r="C43" i="14"/>
  <c r="C90" i="14" s="1"/>
  <c r="D90" i="14" s="1"/>
  <c r="B22" i="14"/>
  <c r="C22" i="14" s="1"/>
  <c r="E22" i="14" s="1"/>
  <c r="B21" i="14"/>
  <c r="C21" i="14" s="1"/>
  <c r="E21" i="14" s="1"/>
  <c r="C42" i="14"/>
  <c r="C89" i="14" s="1"/>
  <c r="D89" i="14" s="1"/>
  <c r="P89" i="10"/>
  <c r="K88" i="14"/>
  <c r="P91" i="10"/>
  <c r="K90" i="14"/>
  <c r="J29" i="11"/>
  <c r="J44" i="11" s="1"/>
  <c r="P93" i="10"/>
  <c r="K92" i="14"/>
  <c r="B20" i="14"/>
  <c r="C20" i="14" s="1"/>
  <c r="E20" i="14" s="1"/>
  <c r="C41" i="14"/>
  <c r="C88" i="14" s="1"/>
  <c r="D88" i="14" s="1"/>
  <c r="C45" i="14"/>
  <c r="C92" i="14" s="1"/>
  <c r="D92" i="14" s="1"/>
  <c r="B24" i="14"/>
  <c r="C24" i="14" s="1"/>
  <c r="E24" i="14" s="1"/>
  <c r="K9" i="11"/>
  <c r="H16" i="11"/>
  <c r="B16" i="11" s="1"/>
  <c r="B40" i="14"/>
  <c r="G40" i="14" s="1"/>
  <c r="G20" i="10"/>
  <c r="L41" i="10"/>
  <c r="G48" i="10"/>
  <c r="H41" i="10"/>
  <c r="C48" i="10"/>
  <c r="C88" i="10"/>
  <c r="B25" i="14"/>
  <c r="C25" i="14" s="1"/>
  <c r="E25" i="14" s="1"/>
  <c r="C46" i="14"/>
  <c r="C93" i="14" s="1"/>
  <c r="D93" i="14" s="1"/>
  <c r="H25" i="11"/>
  <c r="J25" i="11"/>
  <c r="J40" i="11" s="1"/>
  <c r="I25" i="11"/>
  <c r="I40" i="11" s="1"/>
  <c r="I30" i="11"/>
  <c r="I45" i="11" s="1"/>
  <c r="H30" i="11"/>
  <c r="I16" i="11"/>
  <c r="P94" i="10"/>
  <c r="K93" i="14"/>
  <c r="P92" i="10"/>
  <c r="K91" i="14"/>
  <c r="L91" i="14" s="1"/>
  <c r="K15" i="11"/>
  <c r="G42" i="11" l="1"/>
  <c r="G43" i="11"/>
  <c r="G41" i="11"/>
  <c r="G44" i="11"/>
  <c r="G45" i="11"/>
  <c r="G40" i="11"/>
  <c r="J30" i="11"/>
  <c r="J45" i="11" s="1"/>
  <c r="L90" i="14"/>
  <c r="H26" i="11"/>
  <c r="H41" i="11" s="1"/>
  <c r="I26" i="11"/>
  <c r="I41" i="11" s="1"/>
  <c r="J26" i="11"/>
  <c r="H28" i="11"/>
  <c r="H43" i="11" s="1"/>
  <c r="J27" i="11"/>
  <c r="J42" i="11" s="1"/>
  <c r="H29" i="11"/>
  <c r="H44" i="11" s="1"/>
  <c r="I29" i="11"/>
  <c r="I44" i="11" s="1"/>
  <c r="I13" i="13"/>
  <c r="I43" i="13" s="1"/>
  <c r="J13" i="13"/>
  <c r="J43" i="13" s="1"/>
  <c r="I28" i="11"/>
  <c r="I43" i="11" s="1"/>
  <c r="J28" i="11"/>
  <c r="J43" i="11" s="1"/>
  <c r="G43" i="13"/>
  <c r="H27" i="11"/>
  <c r="I27" i="11"/>
  <c r="I42" i="11" s="1"/>
  <c r="L88" i="14"/>
  <c r="G40" i="13"/>
  <c r="L92" i="14"/>
  <c r="L93" i="14"/>
  <c r="K28" i="13"/>
  <c r="H30" i="13"/>
  <c r="I30" i="13"/>
  <c r="J30" i="13"/>
  <c r="H29" i="13"/>
  <c r="I29" i="13"/>
  <c r="J29" i="13"/>
  <c r="H40" i="14"/>
  <c r="G19" i="14"/>
  <c r="G47" i="14"/>
  <c r="H26" i="13"/>
  <c r="I26" i="13"/>
  <c r="J26" i="13"/>
  <c r="H25" i="13"/>
  <c r="I25" i="13"/>
  <c r="J25" i="13"/>
  <c r="L89" i="14"/>
  <c r="H27" i="13"/>
  <c r="I27" i="13"/>
  <c r="J27" i="13"/>
  <c r="H45" i="11"/>
  <c r="H43" i="13"/>
  <c r="L48" i="10"/>
  <c r="M41" i="10"/>
  <c r="H40" i="11"/>
  <c r="K40" i="11" s="1"/>
  <c r="K25" i="11"/>
  <c r="I12" i="13"/>
  <c r="H12" i="13"/>
  <c r="J12" i="13"/>
  <c r="G42" i="13"/>
  <c r="H88" i="10"/>
  <c r="H48" i="10"/>
  <c r="B19" i="14"/>
  <c r="C40" i="14"/>
  <c r="B47" i="14"/>
  <c r="G27" i="10"/>
  <c r="H20" i="10"/>
  <c r="J20" i="10" s="1"/>
  <c r="G9" i="13" s="1"/>
  <c r="H15" i="13"/>
  <c r="J15" i="13"/>
  <c r="G45" i="13"/>
  <c r="I15" i="13"/>
  <c r="G44" i="13"/>
  <c r="I14" i="13"/>
  <c r="H14" i="13"/>
  <c r="J14" i="13"/>
  <c r="H10" i="13"/>
  <c r="J10" i="13"/>
  <c r="I10" i="13"/>
  <c r="C95" i="10"/>
  <c r="D88" i="10"/>
  <c r="D95" i="10" s="1"/>
  <c r="K16" i="11"/>
  <c r="L16" i="11" s="1"/>
  <c r="I11" i="13"/>
  <c r="G41" i="13"/>
  <c r="H11" i="13"/>
  <c r="J11" i="13"/>
  <c r="K45" i="11" l="1"/>
  <c r="K30" i="11"/>
  <c r="J41" i="11"/>
  <c r="K41" i="11" s="1"/>
  <c r="K44" i="11"/>
  <c r="K29" i="11"/>
  <c r="K43" i="11"/>
  <c r="K13" i="13"/>
  <c r="K27" i="11"/>
  <c r="K28" i="11"/>
  <c r="K26" i="11"/>
  <c r="H42" i="11"/>
  <c r="K42" i="11" s="1"/>
  <c r="J40" i="13"/>
  <c r="G24" i="11"/>
  <c r="J27" i="10"/>
  <c r="I45" i="13"/>
  <c r="J44" i="13"/>
  <c r="I44" i="13"/>
  <c r="K43" i="13"/>
  <c r="I41" i="13"/>
  <c r="I42" i="13"/>
  <c r="K26" i="13"/>
  <c r="I40" i="13"/>
  <c r="H19" i="14"/>
  <c r="J19" i="14" s="1"/>
  <c r="G26" i="14"/>
  <c r="K25" i="13"/>
  <c r="H87" i="14"/>
  <c r="H47" i="14"/>
  <c r="K29" i="13"/>
  <c r="K27" i="13"/>
  <c r="J41" i="13"/>
  <c r="J45" i="13"/>
  <c r="J42" i="13"/>
  <c r="K30" i="13"/>
  <c r="M48" i="10"/>
  <c r="M88" i="10"/>
  <c r="H95" i="10"/>
  <c r="I88" i="10"/>
  <c r="I95" i="10" s="1"/>
  <c r="H40" i="13"/>
  <c r="K10" i="13"/>
  <c r="K15" i="13"/>
  <c r="H45" i="13"/>
  <c r="H42" i="13"/>
  <c r="K12" i="13"/>
  <c r="C47" i="14"/>
  <c r="C87" i="14"/>
  <c r="K11" i="13"/>
  <c r="H41" i="13"/>
  <c r="D77" i="10"/>
  <c r="E88" i="9" s="1"/>
  <c r="E13" i="9"/>
  <c r="D11" i="22" s="1"/>
  <c r="D13" i="22" s="1"/>
  <c r="D15" i="22" s="1"/>
  <c r="H44" i="13"/>
  <c r="K14" i="13"/>
  <c r="E25" i="9"/>
  <c r="H27" i="10"/>
  <c r="C19" i="14"/>
  <c r="E19" i="14" s="1"/>
  <c r="E26" i="14" s="1"/>
  <c r="B26" i="14"/>
  <c r="G39" i="11" l="1"/>
  <c r="K44" i="13"/>
  <c r="G24" i="13"/>
  <c r="J26" i="14"/>
  <c r="E91" i="9"/>
  <c r="F97" i="22" s="1"/>
  <c r="D32" i="22"/>
  <c r="K41" i="13"/>
  <c r="K40" i="13"/>
  <c r="I77" i="10"/>
  <c r="I80" i="10" s="1"/>
  <c r="I81" i="10" s="1"/>
  <c r="D80" i="10"/>
  <c r="D81" i="10" s="1"/>
  <c r="K42" i="13"/>
  <c r="I87" i="14"/>
  <c r="I94" i="14" s="1"/>
  <c r="H94" i="14"/>
  <c r="K45" i="13"/>
  <c r="H26" i="14"/>
  <c r="C26" i="14"/>
  <c r="F13" i="22"/>
  <c r="D48" i="9"/>
  <c r="I24" i="11"/>
  <c r="H24" i="11"/>
  <c r="J24" i="11"/>
  <c r="G31" i="11"/>
  <c r="G46" i="11"/>
  <c r="F49" i="22"/>
  <c r="F51" i="22" s="1"/>
  <c r="D24" i="9"/>
  <c r="D109" i="22" s="1"/>
  <c r="D68" i="9"/>
  <c r="D73" i="9" s="1"/>
  <c r="E29" i="9"/>
  <c r="D87" i="14"/>
  <c r="D94" i="14" s="1"/>
  <c r="C94" i="14"/>
  <c r="N88" i="10"/>
  <c r="M95" i="10"/>
  <c r="F5" i="19" l="1"/>
  <c r="E16" i="9"/>
  <c r="F95" i="22" s="1"/>
  <c r="H24" i="13"/>
  <c r="G31" i="13"/>
  <c r="I24" i="13"/>
  <c r="I31" i="13" s="1"/>
  <c r="J24" i="13"/>
  <c r="J31" i="13" s="1"/>
  <c r="J39" i="11"/>
  <c r="J46" i="11" s="1"/>
  <c r="J31" i="11"/>
  <c r="H39" i="11"/>
  <c r="K24" i="11"/>
  <c r="K31" i="11" s="1"/>
  <c r="L31" i="11" s="1"/>
  <c r="H31" i="11"/>
  <c r="B31" i="11" s="1"/>
  <c r="E92" i="9"/>
  <c r="B5" i="19"/>
  <c r="I31" i="11"/>
  <c r="I39" i="11"/>
  <c r="I46" i="11" s="1"/>
  <c r="D18" i="22"/>
  <c r="D35" i="22" s="1"/>
  <c r="E72" i="9"/>
  <c r="D29" i="9"/>
  <c r="G51" i="22"/>
  <c r="F53" i="22"/>
  <c r="G16" i="13"/>
  <c r="H9" i="13"/>
  <c r="I9" i="13"/>
  <c r="J9" i="13"/>
  <c r="G39" i="13"/>
  <c r="G46" i="13" s="1"/>
  <c r="D56" i="22"/>
  <c r="D62" i="22" s="1"/>
  <c r="F15" i="22"/>
  <c r="G15" i="22" s="1"/>
  <c r="G13" i="22"/>
  <c r="O88" i="10"/>
  <c r="N95" i="10"/>
  <c r="O95" i="10" s="1"/>
  <c r="E109" i="9" s="1"/>
  <c r="E73" i="9" l="1"/>
  <c r="F110" i="22"/>
  <c r="H31" i="13"/>
  <c r="B31" i="13" s="1"/>
  <c r="D6" i="21" s="1"/>
  <c r="K24" i="13"/>
  <c r="K31" i="13" s="1"/>
  <c r="P88" i="10"/>
  <c r="P95" i="10" s="1"/>
  <c r="P104" i="10" s="1"/>
  <c r="K87" i="14"/>
  <c r="D52" i="22"/>
  <c r="D108" i="9"/>
  <c r="E113" i="9"/>
  <c r="F58" i="22"/>
  <c r="J39" i="13"/>
  <c r="J46" i="13" s="1"/>
  <c r="J16" i="13"/>
  <c r="H46" i="11"/>
  <c r="K39" i="11"/>
  <c r="K46" i="11" s="1"/>
  <c r="L46" i="11" s="1"/>
  <c r="H39" i="13"/>
  <c r="H16" i="13"/>
  <c r="B16" i="13" s="1"/>
  <c r="K9" i="13"/>
  <c r="K16" i="13" s="1"/>
  <c r="L16" i="13" s="1"/>
  <c r="I39" i="13"/>
  <c r="I46" i="13" s="1"/>
  <c r="I16" i="13"/>
  <c r="D51" i="9"/>
  <c r="E17" i="9"/>
  <c r="H15" i="21" l="1"/>
  <c r="H19" i="21" s="1"/>
  <c r="L31" i="13"/>
  <c r="D113" i="9"/>
  <c r="D111" i="22"/>
  <c r="D60" i="9"/>
  <c r="D96" i="22"/>
  <c r="F76" i="22"/>
  <c r="D38" i="9"/>
  <c r="E39" i="9" s="1"/>
  <c r="D36" i="21"/>
  <c r="E36" i="21" s="1"/>
  <c r="E6" i="21"/>
  <c r="E9" i="21" s="1"/>
  <c r="D53" i="22"/>
  <c r="G53" i="22" s="1"/>
  <c r="H46" i="13"/>
  <c r="K39" i="13"/>
  <c r="K46" i="13" s="1"/>
  <c r="D76" i="14" s="1"/>
  <c r="D79" i="14" s="1"/>
  <c r="D80" i="14" s="1"/>
  <c r="E100" i="9"/>
  <c r="D5" i="19"/>
  <c r="D142" i="9"/>
  <c r="D146" i="9" s="1"/>
  <c r="E121" i="9"/>
  <c r="E145" i="9"/>
  <c r="K94" i="14"/>
  <c r="L94" i="14" s="1"/>
  <c r="L87" i="14"/>
  <c r="I15" i="21" l="1"/>
  <c r="I19" i="21" s="1"/>
  <c r="E32" i="21" s="1"/>
  <c r="E146" i="9"/>
  <c r="F113" i="22"/>
  <c r="F116" i="22" s="1"/>
  <c r="I76" i="14"/>
  <c r="I79" i="14" s="1"/>
  <c r="I80" i="14" s="1"/>
  <c r="G104" i="22" s="1"/>
  <c r="F34" i="22"/>
  <c r="F35" i="22" s="1"/>
  <c r="D99" i="9"/>
  <c r="E101" i="9"/>
  <c r="D64" i="22"/>
  <c r="D68" i="22" s="1"/>
  <c r="E154" i="9"/>
  <c r="D153" i="9"/>
  <c r="E165" i="9"/>
  <c r="E5" i="19"/>
  <c r="H5" i="19" s="1"/>
  <c r="D39" i="22"/>
  <c r="D41" i="22" s="1"/>
  <c r="F60" i="22"/>
  <c r="D120" i="9"/>
  <c r="E124" i="9"/>
  <c r="D35" i="21" l="1"/>
  <c r="E35" i="21" s="1"/>
  <c r="E40" i="21" s="1"/>
  <c r="D101" i="9"/>
  <c r="D98" i="22"/>
  <c r="D101" i="22" s="1"/>
  <c r="D124" i="9"/>
  <c r="D112" i="22"/>
  <c r="E166" i="9"/>
  <c r="F99" i="22"/>
  <c r="F101" i="22" s="1"/>
  <c r="D157" i="9"/>
  <c r="D114" i="22"/>
  <c r="F62" i="22"/>
  <c r="G62" i="22" s="1"/>
  <c r="E157" i="9"/>
  <c r="F66" i="22"/>
  <c r="G41" i="22"/>
  <c r="D164" i="9"/>
  <c r="D166" i="9" s="1"/>
  <c r="G35" i="22"/>
  <c r="F36" i="22" l="1"/>
  <c r="D77" i="22" s="1"/>
  <c r="D133" i="9" s="1"/>
  <c r="E131" i="9" s="1"/>
  <c r="D116" i="22"/>
  <c r="G116" i="22" s="1"/>
  <c r="G118" i="22" s="1"/>
  <c r="G101" i="22"/>
  <c r="G103" i="22" s="1"/>
  <c r="G105" i="22" s="1"/>
  <c r="F68" i="22"/>
  <c r="G68" i="22" s="1"/>
  <c r="D42" i="22" s="1"/>
  <c r="D37" i="22" l="1"/>
  <c r="G71" i="22"/>
  <c r="F37" i="22"/>
  <c r="D79" i="22"/>
  <c r="F78" i="22"/>
  <c r="D182" i="9"/>
  <c r="D43" i="22"/>
  <c r="G43" i="22" s="1"/>
  <c r="D131" i="9" l="1"/>
  <c r="D135" i="9" s="1"/>
  <c r="F79" i="22"/>
  <c r="G79" i="22" s="1"/>
  <c r="G82" i="22" s="1"/>
  <c r="G37" i="22"/>
  <c r="G45" i="22" s="1"/>
  <c r="G72" i="22" s="1"/>
  <c r="D186" i="9"/>
  <c r="E184" i="9"/>
  <c r="E186" i="9" s="1"/>
  <c r="E135" i="9" l="1"/>
  <c r="G120" i="22"/>
  <c r="P120"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Helena Wang</author>
  </authors>
  <commentList>
    <comment ref="A24" authorId="0" shapeId="0" xr:uid="{1BC8CA34-A2D4-49CE-B00E-A37FC91A0CF6}">
      <text>
        <r>
          <rPr>
            <b/>
            <sz val="9"/>
            <color indexed="81"/>
            <rFont val="Tahoma"/>
            <family val="2"/>
          </rPr>
          <t>Helena Wang:</t>
        </r>
        <r>
          <rPr>
            <sz val="9"/>
            <color indexed="81"/>
            <rFont val="Tahoma"/>
            <family val="2"/>
          </rPr>
          <t xml:space="preserve">
Assumption: Approximately 5.33% of the estimated purchased volumes are being diverted to the ULO periods from the previous Standard TOU periods. The allocation for the ULO periods is estimated to be approximately 10% for on-peak, 20% mid-peak, 40% weekend off-peak and 30% ULO overnight.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Helena Wang</author>
  </authors>
  <commentList>
    <comment ref="F44" authorId="0" shapeId="0" xr:uid="{39194C3B-459C-4298-8FD0-01661BB88F44}">
      <text>
        <r>
          <rPr>
            <b/>
            <sz val="9"/>
            <color indexed="81"/>
            <rFont val="Tahoma"/>
            <family val="2"/>
          </rPr>
          <t>Helena Wang:</t>
        </r>
        <r>
          <rPr>
            <sz val="9"/>
            <color indexed="81"/>
            <rFont val="Tahoma"/>
            <family val="2"/>
          </rPr>
          <t xml:space="preserve">
Assumption:4.8% of the actual RPP revenue volumes are being diverted to the ULO periods from the previous two RPP Tiers and Standard TOU periods. The allocation for the ULO periods is estimated to be approximately 10% for on-peak, 20% mid-peak, 40% weekend off-peak and 30% ULO overnight.</t>
        </r>
      </text>
    </comment>
  </commentList>
</comments>
</file>

<file path=xl/sharedStrings.xml><?xml version="1.0" encoding="utf-8"?>
<sst xmlns="http://schemas.openxmlformats.org/spreadsheetml/2006/main" count="1144" uniqueCount="444">
  <si>
    <t>Dr. Account 4705 - Power Purchased</t>
  </si>
  <si>
    <t>Cr. Account 2256 - IESO Accounts Payable</t>
  </si>
  <si>
    <t>Tier 1</t>
  </si>
  <si>
    <t>Tier 2</t>
  </si>
  <si>
    <t>Dr. Accounts Receivable</t>
  </si>
  <si>
    <t>Dr. Account 2256 - IESO Accounts Payable reduction</t>
  </si>
  <si>
    <t>Cr. Account 4705 - Power Purchased</t>
  </si>
  <si>
    <t>Difference</t>
  </si>
  <si>
    <t>Estimated %</t>
  </si>
  <si>
    <t>Actual %</t>
  </si>
  <si>
    <t>per kWh</t>
  </si>
  <si>
    <t>Estimated RPP Quantities</t>
  </si>
  <si>
    <t>Estimated non-RPP Quantities</t>
  </si>
  <si>
    <t xml:space="preserve">Wholesale kWh Volumes </t>
  </si>
  <si>
    <t>kWh Volumes</t>
  </si>
  <si>
    <t>Commodity Price</t>
  </si>
  <si>
    <t>RPP Rate</t>
  </si>
  <si>
    <t>RPP Rate/kWh</t>
  </si>
  <si>
    <t>Total Estimated Revenue</t>
  </si>
  <si>
    <t>GA 1st estimate</t>
  </si>
  <si>
    <t>GA 2nd estimate</t>
  </si>
  <si>
    <t>Commodity Cost of Power Accrual:</t>
  </si>
  <si>
    <t>Table 1: Wholesale Volume data used for Cost of Power Accrual:</t>
  </si>
  <si>
    <t>Commodity Cost of Power per IESO Invoice:</t>
  </si>
  <si>
    <t>Actual RPP Sales Quantities</t>
  </si>
  <si>
    <t>Actual non-RPP Sales Quantities</t>
  </si>
  <si>
    <t>Total Actual Revenue</t>
  </si>
  <si>
    <t>Total Commodity</t>
  </si>
  <si>
    <t xml:space="preserve">GA 2nd Estimate </t>
  </si>
  <si>
    <t>GA Actual</t>
  </si>
  <si>
    <t>Actual RPP Quantity Proportion</t>
  </si>
  <si>
    <t>Billed/Unbilled Retail Volumes</t>
  </si>
  <si>
    <t>Estimated RPP Quantity Proportion</t>
  </si>
  <si>
    <t>Estimated non-RPP Quantity Proportion</t>
  </si>
  <si>
    <t>Actual non-RPP Quantity Proportion</t>
  </si>
  <si>
    <t>RPP Revenue Prices</t>
  </si>
  <si>
    <t>Cost/kWh</t>
  </si>
  <si>
    <t>Amount</t>
  </si>
  <si>
    <t>Charge Type 148 - non-RPP - 4707</t>
  </si>
  <si>
    <t>Charge Type 148 - RPP - 4705</t>
  </si>
  <si>
    <t>Cr. Billings Energy Sales Accounts 4006-4055 non-RPP</t>
  </si>
  <si>
    <t>Dr. Account 2256 - IESO Accounts Payable</t>
  </si>
  <si>
    <t>Cr. Accounts Receivable</t>
  </si>
  <si>
    <t>Dr. Billings Energy Sales Accounts 4006-4055 non-RPP</t>
  </si>
  <si>
    <t>Dr. Account 4707 - Charges GA</t>
  </si>
  <si>
    <t>Cr. Account 4705 - Power Purchased RPP GA</t>
  </si>
  <si>
    <t>Commodity cost of power accrual</t>
  </si>
  <si>
    <t>$</t>
  </si>
  <si>
    <t>Proportion of total</t>
  </si>
  <si>
    <t>Recorded in Account 4705</t>
  </si>
  <si>
    <t>Recorded in Account 4707</t>
  </si>
  <si>
    <t>Adjustment required</t>
  </si>
  <si>
    <t xml:space="preserve">Estimated Retail Revenue kWh Volumes </t>
  </si>
  <si>
    <t>Wholesale Prices</t>
  </si>
  <si>
    <t>GA Price Difference</t>
  </si>
  <si>
    <t xml:space="preserve">Actual Retail Revenue kWh Volumes </t>
  </si>
  <si>
    <t>True-Up elements</t>
  </si>
  <si>
    <t>RPP Settlement - 2nd True-UP</t>
  </si>
  <si>
    <t>Account 4705 - Power Purchased</t>
  </si>
  <si>
    <t>Date</t>
  </si>
  <si>
    <t>Balance</t>
  </si>
  <si>
    <t>Notes:</t>
  </si>
  <si>
    <t>a</t>
  </si>
  <si>
    <t>b</t>
  </si>
  <si>
    <t>c</t>
  </si>
  <si>
    <t>Estimated RPP Sales Quantities</t>
  </si>
  <si>
    <t>Estimated non-RPP Sales Quantities</t>
  </si>
  <si>
    <t>Estimated RPP Energy Price</t>
  </si>
  <si>
    <t>Charge Type 101 - 4705</t>
  </si>
  <si>
    <t>Estimated Average Energy Price for RPP customers</t>
  </si>
  <si>
    <t>Estimated Average Energy Price for non-RPP customers</t>
  </si>
  <si>
    <t>GA Posted Price</t>
  </si>
  <si>
    <t>Initial RPP Settlement and 1st True-UP</t>
  </si>
  <si>
    <t>RPP Energy Price Difference</t>
  </si>
  <si>
    <t>$ Estimated RPP Energy</t>
  </si>
  <si>
    <t>$ Actual RPP Energy</t>
  </si>
  <si>
    <t>$ Actual GA</t>
  </si>
  <si>
    <t>$ Estimated GA</t>
  </si>
  <si>
    <t>$ Estimated RPP Revenue</t>
  </si>
  <si>
    <t>$ True-Up RPP Revenue</t>
  </si>
  <si>
    <t>$ True-up RPP Energy</t>
  </si>
  <si>
    <t>$ True-up GA</t>
  </si>
  <si>
    <t>Actual RPP Energy Price</t>
  </si>
  <si>
    <t>GA Billed by IESO CT 148</t>
  </si>
  <si>
    <t>JE #1 - IESO Cost of Power Accrual</t>
  </si>
  <si>
    <t>JE #2 - Revenue Estimate</t>
  </si>
  <si>
    <t>RPP vs non-RPP Allocation</t>
  </si>
  <si>
    <t>Closing Principal Balance</t>
  </si>
  <si>
    <t>COP Accrual vs Actual GA - Per IESO Bill</t>
  </si>
  <si>
    <t>Unbilled vs Actual Difference</t>
  </si>
  <si>
    <t xml:space="preserve"> </t>
  </si>
  <si>
    <t>Rate</t>
  </si>
  <si>
    <t>Description</t>
  </si>
  <si>
    <t>DR</t>
  </si>
  <si>
    <t>CR</t>
  </si>
  <si>
    <t>d</t>
  </si>
  <si>
    <t>GA Volumes</t>
  </si>
  <si>
    <t>Energy Volumes</t>
  </si>
  <si>
    <t>RPP/non-RPP Ratios</t>
  </si>
  <si>
    <t>Class A customer Volumes for GA  (TLF included)</t>
  </si>
  <si>
    <t>Charge Type 148 - non-RPP Class B - 4707</t>
  </si>
  <si>
    <t>Class B non-RPP GA Revenue at 1st estimate</t>
  </si>
  <si>
    <t>Estimated Class A non-RPP GA Revenue at PDF</t>
  </si>
  <si>
    <t>Class B - GA actual</t>
  </si>
  <si>
    <t>GA RPP/non-RPP Ratios</t>
  </si>
  <si>
    <t>Estimated Retail Revenue Data (Net of Retail Billed/Unbilled)</t>
  </si>
  <si>
    <t>Charge Type 147 - non-RPP Class A - 4707</t>
  </si>
  <si>
    <t>Commodity Prices</t>
  </si>
  <si>
    <t>Table 4: Estimated RPP Revenue Volume and Price Data</t>
  </si>
  <si>
    <t>Table 5: Commodity Price Data:</t>
  </si>
  <si>
    <t>Table 6: Commodity Cost of Power Accrual</t>
  </si>
  <si>
    <t>Table 7: RPP Commodity Revenue</t>
  </si>
  <si>
    <t>Table 10: Wholesale Volume data per IESO Power Bill:</t>
  </si>
  <si>
    <t>Table 12: Estimated Retail Volume Revenue Data (TLF Included)</t>
  </si>
  <si>
    <t>Table 13: Estimated RPP Revenue Volume and Price Data</t>
  </si>
  <si>
    <t>Table 14: Commodity Price Data:</t>
  </si>
  <si>
    <t>Table 15: Commodity Cost of Power Billed by IESO</t>
  </si>
  <si>
    <t>Table 16: RPP Commodity Revenue</t>
  </si>
  <si>
    <t>Table 8: non-RPP Energy and GA Revenue Accrual</t>
  </si>
  <si>
    <t>Actual Class A non-RPP GA Revenue at PDF</t>
  </si>
  <si>
    <t>Estimated Net Accrued &amp; Billed Revenue from RPP &amp; non-RPP Customers:</t>
  </si>
  <si>
    <t>Updated Estimated Net Accrued &amp; Billed Revenue from RPP &amp; non-RPP Customers:</t>
  </si>
  <si>
    <t>Class B - GA actual IESO billed</t>
  </si>
  <si>
    <t>Actual Net Accrued &amp; Billed Revenue from RPP &amp; non-RPP Customers:</t>
  </si>
  <si>
    <t>Table 21: True-up of 2nd Estimate GA to Actual GA Price</t>
  </si>
  <si>
    <t>RPP vs non-RPP Cost of Power Journal Entry True-up of CT 148</t>
  </si>
  <si>
    <t>Table 27: Commodity Cost of Power Billed by IESO</t>
  </si>
  <si>
    <t>Table 28: RPP Commodity Revenue</t>
  </si>
  <si>
    <t>Estimated non-RPP Energy Revenue</t>
  </si>
  <si>
    <t>Actual Average Energy Price for RPP Customers</t>
  </si>
  <si>
    <t>Actual Average Energy Price for non-RPP customers</t>
  </si>
  <si>
    <t>Table 19: Estimated RPP Revenue and GA 2nd Estimate</t>
  </si>
  <si>
    <t>Table 20: Revised RPP Settlement based on Estimated RPP Revenue and Actual GA Price</t>
  </si>
  <si>
    <t>Table 22: Wholesale Volume data per IESO Power Bill</t>
  </si>
  <si>
    <t>Table 26: Commodity Price Data</t>
  </si>
  <si>
    <t>Actual non-RPP Energy Revenue</t>
  </si>
  <si>
    <t>2nd RPP Settlement True-up</t>
  </si>
  <si>
    <t>1st RPP Settlement True-up based on Actual GA Price</t>
  </si>
  <si>
    <t>RPP Settlement- 1st true-up</t>
  </si>
  <si>
    <t>RPP Settlement - 2nd true-up</t>
  </si>
  <si>
    <t>Balance for Disposition</t>
  </si>
  <si>
    <t>Account</t>
  </si>
  <si>
    <t>Dr. Account 4705 - Power Purchased  (CT 101)</t>
  </si>
  <si>
    <t>Dr. Account 4705 - Power Purchased - RPP GA Charges (CT 148)</t>
  </si>
  <si>
    <t>Dr. Account 4707 - GA Charges - Class A non-RPP (CT 147)</t>
  </si>
  <si>
    <t>Dr. Account 4707 - GA Charges - Class B non-RPP (CT 148)</t>
  </si>
  <si>
    <t>Cr. Account 4705 - Power Purchased (CT 1142)</t>
  </si>
  <si>
    <t>Cr. Billings Energy Sales Accounts 4006-4055 RPP</t>
  </si>
  <si>
    <t>Cr. Billings Energy Sales Accounts 4006-4055 Class A non-RPP GA</t>
  </si>
  <si>
    <t>Cr. Billings Energy Sales Accounts 4006-4055 Class B non-RPP GA</t>
  </si>
  <si>
    <t>Cr. Account 4707 - GA Charges - Class A non-RPP (CT 147)</t>
  </si>
  <si>
    <t>Cr. Account 4705 - Power Purchased - RPP GA Charges (CT 148)</t>
  </si>
  <si>
    <t>Cr. Account 4707 - GA Charges - Class B non-RPP (CT 148)</t>
  </si>
  <si>
    <t>Dr. Account 4705 - Power Purchased (CT 1142)</t>
  </si>
  <si>
    <t>To reverse JE #1 cost of power accrual.</t>
  </si>
  <si>
    <t>Dr. Billings Energy Sales Accounts 4006-4055 RPP</t>
  </si>
  <si>
    <t>Dr. Billings Energy Sales Accounts 4006-4055 Class A non-RPP GA</t>
  </si>
  <si>
    <t>Dr. Billings Energy Sales Accounts 4006-4055 Class B non-RPP GA</t>
  </si>
  <si>
    <t>Reconciling Item</t>
  </si>
  <si>
    <t>N/A</t>
  </si>
  <si>
    <t xml:space="preserve">Class A - Non-RPP </t>
  </si>
  <si>
    <t>Class B - Non-RPP</t>
  </si>
  <si>
    <t>Price Difference</t>
  </si>
  <si>
    <t>Commodity  (Wholesale)</t>
  </si>
  <si>
    <t>GA (Wholesale)</t>
  </si>
  <si>
    <t>1st Estimate GA</t>
  </si>
  <si>
    <t>Quantity</t>
  </si>
  <si>
    <t>Price</t>
  </si>
  <si>
    <t>Total Wholesale Cost</t>
  </si>
  <si>
    <t>Explanation</t>
  </si>
  <si>
    <t>Total</t>
  </si>
  <si>
    <t>Originally recorded</t>
  </si>
  <si>
    <t>$ Estimated RPP Settlement</t>
  </si>
  <si>
    <t>$ RPP Settlement True-UP</t>
  </si>
  <si>
    <t>$ Actual RPP Revenue</t>
  </si>
  <si>
    <t>JE#</t>
  </si>
  <si>
    <t>Account 4707 - GA Charges</t>
  </si>
  <si>
    <t>Billings Energy Sales Accounts 4006-4055</t>
  </si>
  <si>
    <t>Billings Energy Sales Sub Accounts GA 4006-4055</t>
  </si>
  <si>
    <t>Account 1588 - RSVA Power</t>
  </si>
  <si>
    <t>Account 1589 - RSVA GA</t>
  </si>
  <si>
    <t>Notes</t>
  </si>
  <si>
    <t>Cr. Account 1589 RSVA GA</t>
  </si>
  <si>
    <t>JE #5 - Reversal of Revenue Estimate Accrual</t>
  </si>
  <si>
    <t>Dr. Account 1589 RSVA GA</t>
  </si>
  <si>
    <t>Table 12A: Estimated Retail Volume Revenue Data (TLF Included)</t>
  </si>
  <si>
    <t>Amount Unbilled</t>
  </si>
  <si>
    <t>Amount billed</t>
  </si>
  <si>
    <t>Cr. Billings Energy Sales Accounts 4006-4055 non-RPP - unbilled</t>
  </si>
  <si>
    <t>Cr. Billings Energy Sales Accounts 4006-4055 Class B non-RPP GA - unbilled</t>
  </si>
  <si>
    <t>e</t>
  </si>
  <si>
    <t>f</t>
  </si>
  <si>
    <t>Cr. Account 1588 RSVA Power</t>
  </si>
  <si>
    <t>Cr. Account 1589 - RSVA GA</t>
  </si>
  <si>
    <t>Balance recorded</t>
  </si>
  <si>
    <t>Cr. Account 4707 - GA Charges</t>
  </si>
  <si>
    <r>
      <t>AQEW</t>
    </r>
    <r>
      <rPr>
        <b/>
        <vertAlign val="superscript"/>
        <sz val="11"/>
        <color theme="1"/>
        <rFont val="Calibri"/>
        <family val="2"/>
        <scheme val="minor"/>
      </rPr>
      <t>1</t>
    </r>
  </si>
  <si>
    <r>
      <t>Embedded Generation</t>
    </r>
    <r>
      <rPr>
        <b/>
        <vertAlign val="superscript"/>
        <sz val="11"/>
        <color theme="1"/>
        <rFont val="Calibri"/>
        <family val="2"/>
        <scheme val="minor"/>
      </rPr>
      <t>2</t>
    </r>
  </si>
  <si>
    <r>
      <t>Table 3: Estimated Retail Volume Revenue Data (TLF Included)</t>
    </r>
    <r>
      <rPr>
        <b/>
        <vertAlign val="superscript"/>
        <sz val="10"/>
        <color theme="1"/>
        <rFont val="Calibri"/>
        <family val="2"/>
        <scheme val="minor"/>
      </rPr>
      <t>3</t>
    </r>
  </si>
  <si>
    <t>Charge Type 1142 - RPP - 4705 - RPP Settlement - Day 4 Settlement</t>
  </si>
  <si>
    <t>Charge Type 1412 - FIT Program Settlement Amount - 4705</t>
  </si>
  <si>
    <t>Actual Payments to Embedded Generators - 4705</t>
  </si>
  <si>
    <t>Actual cost of power</t>
  </si>
  <si>
    <r>
      <t>Estimated Payments to Embedded Generators - 4705</t>
    </r>
    <r>
      <rPr>
        <b/>
        <vertAlign val="superscript"/>
        <sz val="11"/>
        <color theme="1"/>
        <rFont val="Calibri"/>
        <family val="2"/>
        <scheme val="minor"/>
      </rPr>
      <t>4</t>
    </r>
  </si>
  <si>
    <r>
      <t>Charge Type 147 - non-RPP Class A - 4707</t>
    </r>
    <r>
      <rPr>
        <b/>
        <vertAlign val="superscript"/>
        <sz val="11"/>
        <color theme="1"/>
        <rFont val="Calibri"/>
        <family val="2"/>
        <scheme val="minor"/>
      </rPr>
      <t>5</t>
    </r>
  </si>
  <si>
    <r>
      <t>Charge Type 1412 - FIT Program Settlement Amount - 4705</t>
    </r>
    <r>
      <rPr>
        <b/>
        <vertAlign val="superscript"/>
        <sz val="11"/>
        <color theme="1"/>
        <rFont val="Calibri"/>
        <family val="2"/>
        <scheme val="minor"/>
      </rPr>
      <t>6</t>
    </r>
  </si>
  <si>
    <r>
      <t>Estimated Average Energy Price for non-RPP customers</t>
    </r>
    <r>
      <rPr>
        <b/>
        <vertAlign val="superscript"/>
        <sz val="11"/>
        <color theme="1"/>
        <rFont val="Calibri"/>
        <family val="2"/>
        <scheme val="minor"/>
      </rPr>
      <t>7</t>
    </r>
    <r>
      <rPr>
        <sz val="11"/>
        <color theme="1"/>
        <rFont val="Calibri"/>
        <family val="2"/>
        <scheme val="minor"/>
      </rPr>
      <t xml:space="preserve">  </t>
    </r>
  </si>
  <si>
    <r>
      <t>Class B - GA actual</t>
    </r>
    <r>
      <rPr>
        <b/>
        <vertAlign val="superscript"/>
        <sz val="11"/>
        <color theme="1"/>
        <rFont val="Calibri"/>
        <family val="2"/>
        <scheme val="minor"/>
      </rPr>
      <t>8</t>
    </r>
  </si>
  <si>
    <r>
      <t>Class B - GA actual IESO billed</t>
    </r>
    <r>
      <rPr>
        <b/>
        <vertAlign val="superscript"/>
        <sz val="11"/>
        <color theme="1"/>
        <rFont val="Calibri"/>
        <family val="2"/>
        <scheme val="minor"/>
      </rPr>
      <t>9</t>
    </r>
  </si>
  <si>
    <r>
      <t>Charge Type 147 - non-RPP Class A - 4707</t>
    </r>
    <r>
      <rPr>
        <b/>
        <vertAlign val="superscript"/>
        <sz val="11"/>
        <color theme="1"/>
        <rFont val="Calibri"/>
        <family val="2"/>
        <scheme val="minor"/>
      </rPr>
      <t>10</t>
    </r>
  </si>
  <si>
    <t>Embedded Generation</t>
  </si>
  <si>
    <t>AQEW</t>
  </si>
  <si>
    <t>Class A customer Volumes for GA (TLF included)</t>
  </si>
  <si>
    <t>Cr. Account 4705 - Power Purchased (CT 1412)</t>
  </si>
  <si>
    <t>JE #12- Actual Revenue Entries</t>
  </si>
  <si>
    <t>JE #13 - RPP Settlement 2nd True-up</t>
  </si>
  <si>
    <t>JE #14 - RPP/non-RPP ratio True-Up</t>
  </si>
  <si>
    <t>Table 2: Estimated Volumes purchased for RPP Customers (TLF Included)</t>
  </si>
  <si>
    <t>Table 11: Updated estimated Volumes purchased for RPP Customers (TLF Included)</t>
  </si>
  <si>
    <t>Table 23: Actual Volumes purchased for RPP Customers (TLF Included)</t>
  </si>
  <si>
    <t>Table 24: Actual Retail Volume Revenue Data (TLF included)</t>
  </si>
  <si>
    <t>Table 29: non-RPP Actual Revenue</t>
  </si>
  <si>
    <t>Table 31: Estimated RPP Revenue &amp; Actual GA price</t>
  </si>
  <si>
    <t>Table 32 Final Revised RPP Settlement based on Actual RPP Revenue and Actual GA Price</t>
  </si>
  <si>
    <t>Table 33: True-up of RPP Volumes and Revenue and GA price to actual</t>
  </si>
  <si>
    <t>Table 34: RPP GA Allocation Adjustment</t>
  </si>
  <si>
    <t>Table 10: Wholesale Volume data per IESO Power Bill</t>
  </si>
  <si>
    <t>Table 14: Commodity Price Data</t>
  </si>
  <si>
    <t>Table 17: non-RPP Estimated Revenue</t>
  </si>
  <si>
    <t>Dr. Account 4705 - Power Purchased (CT 1412)</t>
  </si>
  <si>
    <t>Cr. Account 4705 - Power Purchased  from Embedded Generators</t>
  </si>
  <si>
    <t>Cr. Account 4705 - Power Purchased  (CT 101)</t>
  </si>
  <si>
    <t>Cr. Billings Energy Sales Accounts 4006-4055 RPP - unbilled</t>
  </si>
  <si>
    <r>
      <t>Dr. Account 4705 - Power Purchased  from Embedded Generators</t>
    </r>
    <r>
      <rPr>
        <vertAlign val="superscript"/>
        <sz val="11"/>
        <color theme="1"/>
        <rFont val="Calibri"/>
        <family val="2"/>
        <scheme val="minor"/>
      </rPr>
      <t>1</t>
    </r>
  </si>
  <si>
    <r>
      <t xml:space="preserve">Dr. Account 4705 - Actual Payments to Embedded Generators </t>
    </r>
    <r>
      <rPr>
        <vertAlign val="superscript"/>
        <sz val="11"/>
        <color theme="1"/>
        <rFont val="Calibri"/>
        <family val="2"/>
        <scheme val="minor"/>
      </rPr>
      <t>2</t>
    </r>
  </si>
  <si>
    <t>Billed Data Support</t>
  </si>
  <si>
    <t>Estimated Non-RPP power sales volumes and revenues</t>
  </si>
  <si>
    <t>Estimated RPP power sales volumes and revenues</t>
  </si>
  <si>
    <t>Updated Estimated RPP power sales volumes and revenues</t>
  </si>
  <si>
    <t>Updated Estimated Non-RPP power sales volumes and revenues</t>
  </si>
  <si>
    <t>Actual RPP power sales volumes and revenues</t>
  </si>
  <si>
    <t>Actual Non-RPP power sales volumes and revenues</t>
  </si>
  <si>
    <t>Dr. Billings Energy Sales Accounts 4006-4055 Non-RPP GA</t>
  </si>
  <si>
    <t>JE #7 - RPP Settlement 1st True-Up</t>
  </si>
  <si>
    <t>Pre IESO Bill balance</t>
  </si>
  <si>
    <t>Revenue - Energy Sales (Tables 28 &amp; 29)</t>
  </si>
  <si>
    <t>Revenue - GA (Table 29)</t>
  </si>
  <si>
    <t>Costs - 4705 (Table 27)</t>
  </si>
  <si>
    <t>GA Costs - 4707 (Table 27)</t>
  </si>
  <si>
    <t>Customer Group</t>
  </si>
  <si>
    <t>Price Variance</t>
  </si>
  <si>
    <t>Volume Variance</t>
  </si>
  <si>
    <t>Class B - RPP</t>
  </si>
  <si>
    <t>Class B  - RPP</t>
  </si>
  <si>
    <t>Account Balance - December 31, 2017</t>
  </si>
  <si>
    <t>Balance Per DVA Continuity</t>
  </si>
  <si>
    <t>Retail vs Wholesale Price Variances</t>
  </si>
  <si>
    <t>Retail GA Price Billed vs Wholesale GA Actual Price paid to IESO</t>
  </si>
  <si>
    <t>1588 - RSVA Power - Balance Explanation</t>
  </si>
  <si>
    <t>1589 - RSVA GA - Balance Explanation</t>
  </si>
  <si>
    <t>Balance Explained</t>
  </si>
  <si>
    <t>Variance - Type</t>
  </si>
  <si>
    <t>GA Wholesale kWh Volumes</t>
  </si>
  <si>
    <t>Energy Wholesale kWh Volumes</t>
  </si>
  <si>
    <t>Energy Retail kWh Volumes</t>
  </si>
  <si>
    <t>GA Retail
kWh Volumes</t>
  </si>
  <si>
    <t>Table 37 - Total Energy and GA Revenue</t>
  </si>
  <si>
    <t>Table 38 - Account 4705 Total Commodity Costs</t>
  </si>
  <si>
    <t>Table 39 - Account 4705 Total GA Costs</t>
  </si>
  <si>
    <t>Table 40 - Account 1588 Balance Explanation</t>
  </si>
  <si>
    <t>Table 41 - Account 1589 Balance Explanation</t>
  </si>
  <si>
    <t>Summary and Explanation of Final Balances of RSVA 1588 and 1589</t>
  </si>
  <si>
    <t>Volume Data by Customer Group</t>
  </si>
  <si>
    <r>
      <rPr>
        <b/>
        <sz val="11"/>
        <color theme="1"/>
        <rFont val="Calibri"/>
        <family val="2"/>
        <scheme val="minor"/>
      </rPr>
      <t xml:space="preserve">Amount </t>
    </r>
    <r>
      <rPr>
        <b/>
        <vertAlign val="superscript"/>
        <sz val="11"/>
        <color theme="1"/>
        <rFont val="Calibri"/>
        <family val="2"/>
        <scheme val="minor"/>
      </rPr>
      <t>12</t>
    </r>
  </si>
  <si>
    <r>
      <t>GA Actual</t>
    </r>
    <r>
      <rPr>
        <b/>
        <vertAlign val="superscript"/>
        <sz val="11"/>
        <color theme="1"/>
        <rFont val="Calibri"/>
        <family val="2"/>
        <scheme val="minor"/>
      </rPr>
      <t>13</t>
    </r>
  </si>
  <si>
    <r>
      <rPr>
        <vertAlign val="superscript"/>
        <sz val="11"/>
        <color theme="1"/>
        <rFont val="Calibri"/>
        <family val="2"/>
        <scheme val="minor"/>
      </rPr>
      <t>13</t>
    </r>
    <r>
      <rPr>
        <sz val="11"/>
        <color theme="1"/>
        <rFont val="Calibri"/>
        <family val="2"/>
        <scheme val="minor"/>
      </rPr>
      <t xml:space="preserve"> - Settlement Based on Actual unit GA billed by the IESO (not the Actual GA posted Rate)</t>
    </r>
  </si>
  <si>
    <r>
      <t>Table 25: Actual RPP Revenue Volume and Price Data</t>
    </r>
    <r>
      <rPr>
        <b/>
        <vertAlign val="superscript"/>
        <sz val="10"/>
        <color theme="1"/>
        <rFont val="Calibri"/>
        <family val="2"/>
        <scheme val="minor"/>
      </rPr>
      <t>14</t>
    </r>
  </si>
  <si>
    <r>
      <t>Charge Type 148 - RPP - 4705</t>
    </r>
    <r>
      <rPr>
        <b/>
        <vertAlign val="superscript"/>
        <sz val="11"/>
        <color theme="1"/>
        <rFont val="Calibri"/>
        <family val="2"/>
        <scheme val="minor"/>
      </rPr>
      <t>15</t>
    </r>
  </si>
  <si>
    <r>
      <t>Charge Type 148 - non-RPP - 4707</t>
    </r>
    <r>
      <rPr>
        <b/>
        <vertAlign val="superscript"/>
        <sz val="11"/>
        <color theme="1"/>
        <rFont val="Calibri"/>
        <family val="2"/>
        <scheme val="minor"/>
      </rPr>
      <t>15</t>
    </r>
  </si>
  <si>
    <r>
      <t>Charge Type 1142 - RPP - 4705 - RPP Settlement - Final Settlement Amount</t>
    </r>
    <r>
      <rPr>
        <b/>
        <vertAlign val="superscript"/>
        <sz val="11"/>
        <color theme="1"/>
        <rFont val="Calibri"/>
        <family val="2"/>
        <scheme val="minor"/>
      </rPr>
      <t>16</t>
    </r>
  </si>
  <si>
    <r>
      <t>Actuals</t>
    </r>
    <r>
      <rPr>
        <b/>
        <vertAlign val="superscript"/>
        <sz val="11"/>
        <color theme="1"/>
        <rFont val="Calibri"/>
        <family val="2"/>
        <scheme val="minor"/>
      </rPr>
      <t>17</t>
    </r>
  </si>
  <si>
    <t>Final Purchased Price</t>
  </si>
  <si>
    <t>Actual GA IESO Bill Price</t>
  </si>
  <si>
    <t>Final IESO RPP Settlement</t>
  </si>
  <si>
    <t>Retail vs Wholesale Volume Variance - (UFE differences)</t>
  </si>
  <si>
    <t>Dr. Billings Energy Sales Accounts 4006-4055  Sub-account GA</t>
  </si>
  <si>
    <r>
      <t>Charge Type 1142 - RPP - 4705 - RPP Settlement - Initial Settlement Amount</t>
    </r>
    <r>
      <rPr>
        <b/>
        <vertAlign val="superscript"/>
        <sz val="11"/>
        <color theme="1"/>
        <rFont val="Calibri"/>
        <family val="2"/>
        <scheme val="minor"/>
      </rPr>
      <t>11</t>
    </r>
  </si>
  <si>
    <t>Charge Type 1142 - RPP - 4705 - RPP Settlement - Initial Settlement Amount</t>
  </si>
  <si>
    <t>Table 18: Updated Estimated Average unit cost of power for RPP &amp; non-RPP for 1st True-up</t>
  </si>
  <si>
    <t>RPP Price/kWh</t>
  </si>
  <si>
    <t>Table 17: Updated non-RPP Energy and GA Revenue Accrual</t>
  </si>
  <si>
    <t>RPP Price</t>
  </si>
  <si>
    <t>Table 9: Estimated average unit cost of power sold for RPP &amp; non-RPP for Initial Settlement</t>
  </si>
  <si>
    <t>Table 18: Updated Estimated Average unit cost of power sold for RPP &amp; non-RPP for 1st True-up</t>
  </si>
  <si>
    <t>Table 30: Actual Average unit cost of power sold for RPP &amp; non-RPP for 2nd True-up</t>
  </si>
  <si>
    <t>Updates for ULO</t>
  </si>
  <si>
    <t>Standard TOU Off-peak</t>
  </si>
  <si>
    <t>Standard TOU Mid-peak</t>
  </si>
  <si>
    <t>Standard TOU On-peak</t>
  </si>
  <si>
    <t>ULO Weekend Off-peak</t>
  </si>
  <si>
    <t>ULO Mid-peak</t>
  </si>
  <si>
    <t>ULO On-peak</t>
  </si>
  <si>
    <t>ULO Ultra-Low Overnight</t>
  </si>
  <si>
    <t xml:space="preserve">Table 13A: Billed and Unbilled RPP Revenue Volume and Price Data for December consumption </t>
  </si>
  <si>
    <t>7 -  Unit energy price for Class B non-RPP customers remains the same until actual sales data available.
8 -  Where there is a difference between the Class B GA actual posted rate and the Charge Type 148 - Class B GA Actual IESO billed price then 
      such difference should be confirmed with the IESO.
9  -  Actual GA billed price based on actual charges for CT 148 on IESO invoice divided by actual wholesale volumes.
10 - Actual GA billed price based on actual charges for CT 147 on IESO invoice.
11 - This is the initial RPP Settlement amount. 
12 -  The unit cost for RPP customers is updated due to the change in Commodity Costs paid to the IESO. It is assumed that the unit cost of 
        power for Non-RPP customers remains the same as what was used in the initial RPP settlement. The unit cost of power for RPP 
        customers is a derived residual amount. The difference between the Commodity cost paid to the IESO and the Commodity cost relating to 
        RPP customers pertains to the unaccounted for energy.</t>
  </si>
  <si>
    <r>
      <t xml:space="preserve">1 - Allocated Quantity of Energy </t>
    </r>
    <r>
      <rPr>
        <sz val="11"/>
        <rFont val="Calibri"/>
        <family val="2"/>
        <scheme val="minor"/>
      </rPr>
      <t>Withdrawn</t>
    </r>
    <r>
      <rPr>
        <sz val="11"/>
        <color theme="1"/>
        <rFont val="Calibri"/>
        <family val="2"/>
        <scheme val="minor"/>
      </rPr>
      <t xml:space="preserve"> (AQEW) is the aggregate kWh energy withdrawn by a distributor from the
     transmission grid based on quantities as per delivery point energy totalization tables.
2 - The aggregate kWh's generated by embedded generators in the distributors service territory during the month, net 
      of generated quantities injected into the transmission grid. 
3 - Total estimated Class B RPP &amp; non-RPP kWh volumes used for RPP settlement purposes must be consistent with the 
     billings minus the previous months unbilled revenue plus the current month's unbilled revenues implicit in GL 4006 - 
     4055 for the month.
4 -Based on the aggregate amounts to be paid to the embedded generator.
5 - Class A GA is the sum of amounts for each Class A customer as calculated by multiplying the customer specific peak 
     demand factor by the provincial actual total GA dollars.
6 - Based on difference between amounts paid to the embedded generator and the wholesale market cost of power 
     amount to be used in embedded generator settlement with the IESO.</t>
    </r>
  </si>
  <si>
    <t>$ Final RPP Settlement</t>
  </si>
  <si>
    <r>
      <t>Table 35: DVA Continuity Schedule adjustments at</t>
    </r>
    <r>
      <rPr>
        <b/>
        <sz val="11"/>
        <color rgb="FF00B050"/>
        <rFont val="Calibri"/>
        <family val="2"/>
        <scheme val="minor"/>
      </rPr>
      <t xml:space="preserve"> </t>
    </r>
    <r>
      <rPr>
        <b/>
        <sz val="11"/>
        <rFont val="Calibri"/>
        <family val="2"/>
        <scheme val="minor"/>
      </rPr>
      <t xml:space="preserve">December 31, </t>
    </r>
    <r>
      <rPr>
        <b/>
        <sz val="11"/>
        <color rgb="FF00B050"/>
        <rFont val="Calibri"/>
        <family val="2"/>
        <scheme val="minor"/>
      </rPr>
      <t>2023</t>
    </r>
  </si>
  <si>
    <r>
      <t>If Books Open and IESO Bill Posted to</t>
    </r>
    <r>
      <rPr>
        <b/>
        <sz val="11"/>
        <rFont val="Calibri"/>
        <family val="2"/>
        <scheme val="minor"/>
      </rPr>
      <t xml:space="preserve"> December 31, </t>
    </r>
    <r>
      <rPr>
        <b/>
        <sz val="11"/>
        <color rgb="FF00B050"/>
        <rFont val="Calibri"/>
        <family val="2"/>
        <scheme val="minor"/>
      </rPr>
      <t>2023</t>
    </r>
    <r>
      <rPr>
        <b/>
        <sz val="11"/>
        <color theme="1"/>
        <rFont val="Calibri"/>
        <family val="2"/>
        <scheme val="minor"/>
      </rPr>
      <t xml:space="preserve"> G/L, no DVA Continuity Adjustment</t>
    </r>
  </si>
  <si>
    <r>
      <t>Not Posted to</t>
    </r>
    <r>
      <rPr>
        <b/>
        <sz val="11"/>
        <color theme="7" tint="-0.249977111117893"/>
        <rFont val="Calibri"/>
        <family val="2"/>
        <scheme val="minor"/>
      </rPr>
      <t xml:space="preserve"> </t>
    </r>
    <r>
      <rPr>
        <b/>
        <sz val="11"/>
        <rFont val="Calibri"/>
        <family val="2"/>
        <scheme val="minor"/>
      </rPr>
      <t xml:space="preserve">December 31, </t>
    </r>
    <r>
      <rPr>
        <b/>
        <sz val="11"/>
        <color rgb="FF00B050"/>
        <rFont val="Calibri"/>
        <family val="2"/>
        <scheme val="minor"/>
      </rPr>
      <t>2023</t>
    </r>
    <r>
      <rPr>
        <b/>
        <sz val="11"/>
        <color theme="1"/>
        <rFont val="Calibri"/>
        <family val="2"/>
        <scheme val="minor"/>
      </rPr>
      <t xml:space="preserve"> G/L, DVA Continuity Adjustment needed</t>
    </r>
  </si>
  <si>
    <r>
      <t xml:space="preserve">If Books Open and IESO Bill Posted to </t>
    </r>
    <r>
      <rPr>
        <b/>
        <sz val="11"/>
        <rFont val="Calibri"/>
        <family val="2"/>
        <scheme val="minor"/>
      </rPr>
      <t xml:space="preserve">December 31, </t>
    </r>
    <r>
      <rPr>
        <b/>
        <sz val="11"/>
        <color rgb="FF00B050"/>
        <rFont val="Calibri"/>
        <family val="2"/>
        <scheme val="minor"/>
      </rPr>
      <t>2023</t>
    </r>
    <r>
      <rPr>
        <b/>
        <sz val="11"/>
        <color theme="7" tint="-0.249977111117893"/>
        <rFont val="Calibri"/>
        <family val="2"/>
        <scheme val="minor"/>
      </rPr>
      <t xml:space="preserve"> </t>
    </r>
    <r>
      <rPr>
        <b/>
        <sz val="11"/>
        <color theme="1"/>
        <rFont val="Calibri"/>
        <family val="2"/>
        <scheme val="minor"/>
      </rPr>
      <t>G/L, no reconciling Item</t>
    </r>
  </si>
  <si>
    <r>
      <t xml:space="preserve">Per </t>
    </r>
    <r>
      <rPr>
        <b/>
        <sz val="11"/>
        <rFont val="Calibri"/>
        <family val="2"/>
        <scheme val="minor"/>
      </rPr>
      <t xml:space="preserve">Dec 31, </t>
    </r>
    <r>
      <rPr>
        <b/>
        <sz val="11"/>
        <color rgb="FF00B050"/>
        <rFont val="Calibri"/>
        <family val="2"/>
        <scheme val="minor"/>
      </rPr>
      <t>2023</t>
    </r>
    <r>
      <rPr>
        <b/>
        <sz val="11"/>
        <color theme="1"/>
        <rFont val="Calibri"/>
        <family val="2"/>
        <scheme val="minor"/>
      </rPr>
      <t xml:space="preserve"> G/L</t>
    </r>
  </si>
  <si>
    <t>Cr. Account 4705 - FIT program settlement amount (CT 1412)</t>
  </si>
  <si>
    <r>
      <t>Purple</t>
    </r>
    <r>
      <rPr>
        <sz val="12"/>
        <color theme="1"/>
        <rFont val="Calibri"/>
        <family val="2"/>
        <scheme val="minor"/>
      </rPr>
      <t xml:space="preserve"> font - Data input change </t>
    </r>
  </si>
  <si>
    <r>
      <t>Red</t>
    </r>
    <r>
      <rPr>
        <sz val="12"/>
        <color theme="1"/>
        <rFont val="Calibri"/>
        <family val="2"/>
        <scheme val="minor"/>
      </rPr>
      <t xml:space="preserve"> font - Changes that cascade from the purple font changes due to formulas</t>
    </r>
  </si>
  <si>
    <r>
      <t>Blue</t>
    </r>
    <r>
      <rPr>
        <sz val="12"/>
        <color theme="1"/>
        <rFont val="Calibri"/>
        <family val="2"/>
        <scheme val="minor"/>
      </rPr>
      <t xml:space="preserve"> font - Formula changes made to correct some existing minor issues with the Illustrative Commodity Model posted on the OEB’s website.</t>
    </r>
  </si>
  <si>
    <r>
      <t xml:space="preserve">Green </t>
    </r>
    <r>
      <rPr>
        <sz val="12"/>
        <color theme="1"/>
        <rFont val="Calibri"/>
        <family val="2"/>
        <scheme val="minor"/>
      </rPr>
      <t>font – Date changes</t>
    </r>
  </si>
  <si>
    <t>Assumption for ULO allocation in Cell B43:B46 Tab "Data for Settlement &amp; 1st TU":
Approximately 5.33% of the estimated purchased volumes are being diverted to the ULO periods from the previous Standard TOU periods. The allocation for the ULO periods is estimated to be approximately 10% for on-peak, 20% mid-peak, 40% weekend off-peak and 30% ULO overnight.</t>
  </si>
  <si>
    <t>Assumption for ULO allocation in Cell G42:G45 Tab "Data for 2nd TU":
4.8% of the actual RPP revenue volumes are being diverted to the ULO periods from the previous two RPP Tiers and Standard TOU periods. The allocation for the ULO periods is estimated to be approximately 10% for on-peak, 20% mid-peak, 40% weekend off-peak and 30% ULO overnight.</t>
  </si>
  <si>
    <t>Dates have been updated based on the assumption that the example data is for the month of December 2023.</t>
  </si>
  <si>
    <t>ULO prices effective May 1, 2023 are used in the model. To minimize the amount of changes to this document, only the ULO RPP prices have been updated to reflect recent prices. The other groupings (Tiered and Standard TOU) reflect RPP prices from 2018.</t>
  </si>
  <si>
    <t>Colour schemes used for the updates:</t>
  </si>
  <si>
    <t>Summary of Updates Made on May 23, 2023 Compared to Original Issuance Version (February 21, 2019)</t>
  </si>
  <si>
    <t>National Grid</t>
  </si>
  <si>
    <t>Note: CT 148 Actual IESO Billed Based on AQEW plus Embedded Gen less Class A -&gt;</t>
  </si>
  <si>
    <t>Actual CT 148 per IESO Invoice</t>
  </si>
  <si>
    <t>CT 148 if billed based on total GA Volumes including National Grid</t>
  </si>
  <si>
    <t>Difference (Estimated GA "Avoided" for kWhs Purchased from National Grid)</t>
  </si>
  <si>
    <t>Invoice total from National Grid</t>
  </si>
  <si>
    <t>Total to 4705 (IESO CT 101 + National Grid)</t>
  </si>
  <si>
    <r>
      <t xml:space="preserve">Table 16A: RPP Commodity Revenue Billed/Unbilled for </t>
    </r>
    <r>
      <rPr>
        <b/>
        <sz val="10"/>
        <rFont val="Calibri"/>
        <family val="2"/>
        <scheme val="minor"/>
      </rPr>
      <t xml:space="preserve">August </t>
    </r>
    <r>
      <rPr>
        <b/>
        <sz val="10"/>
        <color theme="1"/>
        <rFont val="Calibri"/>
        <family val="2"/>
        <scheme val="minor"/>
      </rPr>
      <t xml:space="preserve">consumption </t>
    </r>
  </si>
  <si>
    <t>Table 17A: Non-RPP Energy and GA Revenue Billed/Unbilled for August consumption</t>
  </si>
  <si>
    <r>
      <t>Initial RPP Settlement Calculation on Business Day 4 of September</t>
    </r>
    <r>
      <rPr>
        <b/>
        <sz val="14"/>
        <color rgb="FF00B050"/>
        <rFont val="Calibri"/>
        <family val="2"/>
        <scheme val="minor"/>
      </rPr>
      <t xml:space="preserve"> 2023</t>
    </r>
  </si>
  <si>
    <r>
      <t>RPP Settlement Calculation on Business Day 4 of</t>
    </r>
    <r>
      <rPr>
        <b/>
        <sz val="14"/>
        <color rgb="FF00B050"/>
        <rFont val="Calibri"/>
        <family val="2"/>
        <scheme val="minor"/>
      </rPr>
      <t xml:space="preserve"> </t>
    </r>
    <r>
      <rPr>
        <b/>
        <sz val="14"/>
        <rFont val="Calibri"/>
        <family val="2"/>
        <scheme val="minor"/>
      </rPr>
      <t xml:space="preserve">October </t>
    </r>
    <r>
      <rPr>
        <b/>
        <sz val="14"/>
        <color rgb="FF00B050"/>
        <rFont val="Calibri"/>
        <family val="2"/>
        <scheme val="minor"/>
      </rPr>
      <t>2023</t>
    </r>
    <r>
      <rPr>
        <b/>
        <sz val="14"/>
        <color theme="1"/>
        <rFont val="Calibri"/>
        <family val="2"/>
        <scheme val="minor"/>
      </rPr>
      <t xml:space="preserve"> based on Actual GA Price</t>
    </r>
  </si>
  <si>
    <r>
      <t xml:space="preserve">Data for Unbilled/Billed Entry for </t>
    </r>
    <r>
      <rPr>
        <b/>
        <sz val="14"/>
        <color rgb="FF00B050"/>
        <rFont val="Calibri"/>
        <family val="2"/>
        <scheme val="minor"/>
      </rPr>
      <t>September 2023</t>
    </r>
    <r>
      <rPr>
        <b/>
        <sz val="14"/>
        <color theme="1"/>
        <rFont val="Calibri"/>
        <family val="2"/>
        <scheme val="minor"/>
      </rPr>
      <t>:</t>
    </r>
  </si>
  <si>
    <r>
      <rPr>
        <b/>
        <sz val="14"/>
        <color rgb="FF00B050"/>
        <rFont val="Calibri"/>
        <family val="2"/>
        <scheme val="minor"/>
      </rPr>
      <t>September 2023</t>
    </r>
    <r>
      <rPr>
        <b/>
        <sz val="14"/>
        <color theme="1"/>
        <rFont val="Calibri"/>
        <family val="2"/>
        <scheme val="minor"/>
      </rPr>
      <t xml:space="preserve"> Billed and Unbilled Revenue from RPP &amp; non-RPP Customers for August consumption:</t>
    </r>
  </si>
  <si>
    <r>
      <t xml:space="preserve">Total Unbilled </t>
    </r>
    <r>
      <rPr>
        <sz val="11"/>
        <color rgb="FF00B050"/>
        <rFont val="Calibri"/>
        <family val="2"/>
        <scheme val="minor"/>
      </rPr>
      <t>September 30, 2023</t>
    </r>
  </si>
  <si>
    <r>
      <t xml:space="preserve">Data for Initial RPP Settlement based on Estimates on Day 4 </t>
    </r>
    <r>
      <rPr>
        <b/>
        <sz val="14"/>
        <color rgb="FF00B050"/>
        <rFont val="Calibri"/>
        <family val="2"/>
        <scheme val="minor"/>
      </rPr>
      <t>September 7, 2023</t>
    </r>
    <r>
      <rPr>
        <b/>
        <sz val="14"/>
        <color theme="1"/>
        <rFont val="Calibri"/>
        <family val="2"/>
        <scheme val="minor"/>
      </rPr>
      <t>:</t>
    </r>
  </si>
  <si>
    <r>
      <t xml:space="preserve">Data for 1st True up of RPP Settlement based on Actual IESO Invoice on </t>
    </r>
    <r>
      <rPr>
        <b/>
        <sz val="14"/>
        <color rgb="FF00B050"/>
        <rFont val="Calibri"/>
        <family val="2"/>
        <scheme val="minor"/>
      </rPr>
      <t>October 5, 2023</t>
    </r>
    <r>
      <rPr>
        <b/>
        <sz val="14"/>
        <color theme="1"/>
        <rFont val="Calibri"/>
        <family val="2"/>
        <scheme val="minor"/>
      </rPr>
      <t>:</t>
    </r>
  </si>
  <si>
    <r>
      <t>Data for 1st True up of RPP Settlement based on Actual IESO Invoice on</t>
    </r>
    <r>
      <rPr>
        <b/>
        <sz val="14"/>
        <color rgb="FF00B050"/>
        <rFont val="Calibri"/>
        <family val="2"/>
        <scheme val="minor"/>
      </rPr>
      <t xml:space="preserve"> October 5, 2023</t>
    </r>
    <r>
      <rPr>
        <b/>
        <sz val="14"/>
        <color theme="1"/>
        <rFont val="Calibri"/>
        <family val="2"/>
        <scheme val="minor"/>
      </rPr>
      <t>:</t>
    </r>
  </si>
  <si>
    <t>Billed in September</t>
  </si>
  <si>
    <t>Billed in October</t>
  </si>
  <si>
    <r>
      <t xml:space="preserve">RPP Settlement Calculation based on Actual GA Price on Business Day 4 of </t>
    </r>
    <r>
      <rPr>
        <b/>
        <sz val="14"/>
        <color rgb="FF00B050"/>
        <rFont val="Calibri"/>
        <family val="2"/>
        <scheme val="minor"/>
      </rPr>
      <t>October 2023</t>
    </r>
  </si>
  <si>
    <r>
      <t xml:space="preserve">Final RPP Settlement Calculation on Business Day 4 of </t>
    </r>
    <r>
      <rPr>
        <b/>
        <sz val="14"/>
        <color rgb="FF00B050"/>
        <rFont val="Calibri"/>
        <family val="2"/>
        <scheme val="minor"/>
      </rPr>
      <t>November 2023</t>
    </r>
  </si>
  <si>
    <r>
      <rPr>
        <vertAlign val="superscript"/>
        <sz val="11"/>
        <color theme="1"/>
        <rFont val="Calibri"/>
        <family val="2"/>
        <scheme val="minor"/>
      </rPr>
      <t>17</t>
    </r>
    <r>
      <rPr>
        <sz val="11"/>
        <color theme="1"/>
        <rFont val="Calibri"/>
        <family val="2"/>
        <scheme val="minor"/>
      </rPr>
      <t xml:space="preserve"> - October </t>
    </r>
    <r>
      <rPr>
        <sz val="11"/>
        <color rgb="FF00B050"/>
        <rFont val="Calibri"/>
        <family val="2"/>
        <scheme val="minor"/>
      </rPr>
      <t>2023</t>
    </r>
    <r>
      <rPr>
        <sz val="11"/>
        <color theme="1"/>
        <rFont val="Calibri"/>
        <family val="2"/>
        <scheme val="minor"/>
      </rPr>
      <t xml:space="preserve"> journal entry is required to adjust amounts apportioned between Class B RPP &amp; non-RPP since actual proportions are known.</t>
    </r>
  </si>
  <si>
    <t>NOTE: 1st and 2nd true-ups in CNPI's Aug 2023 example would have been posted prior to Dec 31, closing principal balance remains as presented.</t>
  </si>
  <si>
    <t>GA "Avoided" for kWhs Purchased from National Grid (split between RPP and non-RPP)</t>
  </si>
  <si>
    <t>GA "Avoided" for kWhs Purchased from National Grid</t>
  </si>
  <si>
    <t>Record the GA avoided costs in 1588 for the RPP equivalent percentage of total GA avoided costs.</t>
  </si>
  <si>
    <t>Record the GA avoided costs in 1589 for the non-RPP equivalent percentage of total GA avoided costs.</t>
  </si>
  <si>
    <t>August 31, 2023</t>
  </si>
  <si>
    <t>Dr. Account 4705 - Power Purchased  National Grid</t>
  </si>
  <si>
    <t>Cr. Account 2205 - National Grid Accounts Payable</t>
  </si>
  <si>
    <r>
      <t xml:space="preserve">To accrue commodity cost of power expenses. Accrual of expenses for CT 101, CT 147, CT 148, and CT 1142. See JE #4 for reversal entry in September </t>
    </r>
    <r>
      <rPr>
        <sz val="11"/>
        <color rgb="FF00B050"/>
        <rFont val="Calibri"/>
        <family val="2"/>
        <scheme val="minor"/>
      </rPr>
      <t>2023</t>
    </r>
    <r>
      <rPr>
        <sz val="11"/>
        <rFont val="Calibri"/>
        <family val="2"/>
        <scheme val="minor"/>
      </rPr>
      <t xml:space="preserve">.
</t>
    </r>
    <r>
      <rPr>
        <vertAlign val="superscript"/>
        <sz val="11"/>
        <rFont val="Calibri"/>
        <family val="2"/>
        <scheme val="minor"/>
      </rPr>
      <t>1</t>
    </r>
    <r>
      <rPr>
        <sz val="11"/>
        <rFont val="Calibri"/>
        <family val="2"/>
        <scheme val="minor"/>
      </rPr>
      <t xml:space="preserve">  Accruals for payments to Embedded Generators included in cost of power accrual.  </t>
    </r>
  </si>
  <si>
    <r>
      <t>To accrue billings minus the previous months unbilled revenue plus the current month's unbilled revenues implicit in GL 4006 - 4055 for the month. See JE #5 for reversal entry in September</t>
    </r>
    <r>
      <rPr>
        <sz val="11"/>
        <color rgb="FF00B050"/>
        <rFont val="Calibri"/>
        <family val="2"/>
        <scheme val="minor"/>
      </rPr>
      <t xml:space="preserve"> 2023</t>
    </r>
    <r>
      <rPr>
        <sz val="11"/>
        <color theme="1"/>
        <rFont val="Calibri"/>
        <family val="2"/>
        <scheme val="minor"/>
      </rPr>
      <t xml:space="preserve">. </t>
    </r>
    <r>
      <rPr>
        <b/>
        <sz val="11"/>
        <color theme="1"/>
        <rFont val="Calibri"/>
        <family val="2"/>
        <scheme val="minor"/>
      </rPr>
      <t>The revenue estimate is shown as a single entry for illustrative purposes. Billing entries would come from daily Billing Journal transactions and the other components would be from the August</t>
    </r>
    <r>
      <rPr>
        <b/>
        <sz val="11"/>
        <color rgb="FF00B050"/>
        <rFont val="Calibri"/>
        <family val="2"/>
        <scheme val="minor"/>
      </rPr>
      <t xml:space="preserve"> 2023</t>
    </r>
    <r>
      <rPr>
        <b/>
        <sz val="11"/>
        <color theme="1"/>
        <rFont val="Calibri"/>
        <family val="2"/>
        <scheme val="minor"/>
      </rPr>
      <t xml:space="preserve"> month-end unbilled revenue accruals and the reversal of the July</t>
    </r>
    <r>
      <rPr>
        <b/>
        <sz val="11"/>
        <color rgb="FF00B050"/>
        <rFont val="Calibri"/>
        <family val="2"/>
        <scheme val="minor"/>
      </rPr>
      <t xml:space="preserve"> 2023</t>
    </r>
    <r>
      <rPr>
        <b/>
        <sz val="11"/>
        <color theme="1"/>
        <rFont val="Calibri"/>
        <family val="2"/>
        <scheme val="minor"/>
      </rPr>
      <t xml:space="preserve"> unbilled revenue accruals would be the remaining two journal entry sources.</t>
    </r>
  </si>
  <si>
    <r>
      <t xml:space="preserve">JE #3 - </t>
    </r>
    <r>
      <rPr>
        <sz val="11"/>
        <rFont val="Calibri"/>
        <family val="2"/>
        <scheme val="minor"/>
      </rPr>
      <t xml:space="preserve">August </t>
    </r>
    <r>
      <rPr>
        <sz val="11"/>
        <color theme="1"/>
        <rFont val="Calibri"/>
        <family val="2"/>
        <scheme val="minor"/>
      </rPr>
      <t>RSVA Entry</t>
    </r>
  </si>
  <si>
    <t>September 1, 2023</t>
  </si>
  <si>
    <t>JE #4 - IESO/National Grid Cost of Power Reversal</t>
  </si>
  <si>
    <t>Dr. Account 2205 - National Grid Accounts Payable</t>
  </si>
  <si>
    <t>Cr. Account 4705 - Power Purchased  National Grid</t>
  </si>
  <si>
    <r>
      <t xml:space="preserve">To reverse revenue related accrual per JE #2. </t>
    </r>
    <r>
      <rPr>
        <b/>
        <sz val="11"/>
        <color theme="1"/>
        <rFont val="Calibri"/>
        <family val="2"/>
        <scheme val="minor"/>
      </rPr>
      <t>For illustrative purposes, the entire JE #2 is shown as a reversal, in practice, only the unbilled revenue journal entry from</t>
    </r>
    <r>
      <rPr>
        <b/>
        <sz val="11"/>
        <color rgb="FF00B050"/>
        <rFont val="Calibri"/>
        <family val="2"/>
        <scheme val="minor"/>
      </rPr>
      <t xml:space="preserve"> </t>
    </r>
    <r>
      <rPr>
        <b/>
        <sz val="11"/>
        <rFont val="Calibri"/>
        <family val="2"/>
        <scheme val="minor"/>
      </rPr>
      <t xml:space="preserve">August </t>
    </r>
    <r>
      <rPr>
        <b/>
        <sz val="11"/>
        <color rgb="FF00B050"/>
        <rFont val="Calibri"/>
        <family val="2"/>
        <scheme val="minor"/>
      </rPr>
      <t>2023</t>
    </r>
    <r>
      <rPr>
        <b/>
        <sz val="11"/>
        <color theme="1"/>
        <rFont val="Calibri"/>
        <family val="2"/>
        <scheme val="minor"/>
      </rPr>
      <t xml:space="preserve"> would be reversed.</t>
    </r>
  </si>
  <si>
    <t>September 15, 2023</t>
  </si>
  <si>
    <t>Dr. Account 4705 - Power Purchased  (National Grid)</t>
  </si>
  <si>
    <t>JE #6 - IESO and National Grid Cost of Power Invoice</t>
  </si>
  <si>
    <r>
      <t>To record Actual charges re. CT 101, CT 147, CT 148, 1142, and CT 1412 on IESO invoice (on 10th business day of</t>
    </r>
    <r>
      <rPr>
        <sz val="11"/>
        <color rgb="FF00B050"/>
        <rFont val="Calibri"/>
        <family val="2"/>
        <scheme val="minor"/>
      </rPr>
      <t xml:space="preserve"> September</t>
    </r>
    <r>
      <rPr>
        <sz val="11"/>
        <rFont val="Calibri"/>
        <family val="2"/>
        <scheme val="minor"/>
      </rPr>
      <t xml:space="preserve"> </t>
    </r>
    <r>
      <rPr>
        <sz val="11"/>
        <color rgb="FF00B050"/>
        <rFont val="Calibri"/>
        <family val="2"/>
        <scheme val="minor"/>
      </rPr>
      <t>2023</t>
    </r>
    <r>
      <rPr>
        <sz val="11"/>
        <color theme="1"/>
        <rFont val="Calibri"/>
        <family val="2"/>
        <scheme val="minor"/>
      </rPr>
      <t xml:space="preserve">) and National Grid invoice into Power Purchased and actual GA charges based on estimated RPP/Non-RPP proportions.
</t>
    </r>
    <r>
      <rPr>
        <vertAlign val="superscript"/>
        <sz val="11"/>
        <color theme="1"/>
        <rFont val="Calibri"/>
        <family val="2"/>
        <scheme val="minor"/>
      </rPr>
      <t>2</t>
    </r>
    <r>
      <rPr>
        <sz val="11"/>
        <color theme="1"/>
        <rFont val="Calibri"/>
        <family val="2"/>
        <scheme val="minor"/>
      </rPr>
      <t xml:space="preserve"> Payments to Embedded Generators included for illustrative purposes; these payments would actually be negative billed through a distributors billing system, with payments to embedded generators. </t>
    </r>
    <r>
      <rPr>
        <vertAlign val="superscript"/>
        <sz val="11"/>
        <color theme="1"/>
        <rFont val="Calibri"/>
        <family val="2"/>
        <scheme val="minor"/>
      </rPr>
      <t xml:space="preserve"> </t>
    </r>
    <r>
      <rPr>
        <sz val="11"/>
        <color theme="1"/>
        <rFont val="Calibri"/>
        <family val="2"/>
        <scheme val="minor"/>
      </rPr>
      <t xml:space="preserve">
</t>
    </r>
  </si>
  <si>
    <t>September 30,  2023</t>
  </si>
  <si>
    <r>
      <t>To record RPP Settlement 1st true-up for CT 1142 on business day 4 of</t>
    </r>
    <r>
      <rPr>
        <sz val="11"/>
        <color theme="7" tint="-0.499984740745262"/>
        <rFont val="Calibri"/>
        <family val="2"/>
        <scheme val="minor"/>
      </rPr>
      <t xml:space="preserve"> </t>
    </r>
    <r>
      <rPr>
        <sz val="11"/>
        <color rgb="FF00B050"/>
        <rFont val="Calibri"/>
        <family val="2"/>
        <scheme val="minor"/>
      </rPr>
      <t>October 2023</t>
    </r>
    <r>
      <rPr>
        <sz val="11"/>
        <color theme="1"/>
        <rFont val="Calibri"/>
        <family val="2"/>
        <scheme val="minor"/>
      </rPr>
      <t xml:space="preserve"> for the difference between GA 2nd Estimate price and GA Actual price (based on CT 148 total amount) and for actual wholesale kWh volumes.</t>
    </r>
  </si>
  <si>
    <t>JE #8 - Revenue Billed in September for August consumption</t>
  </si>
  <si>
    <t>September 30, 2023</t>
  </si>
  <si>
    <t>JE #9 - Unbilled Revenue accrued for August consumption</t>
  </si>
  <si>
    <r>
      <t xml:space="preserve">To record the monthly RSVA entry for </t>
    </r>
    <r>
      <rPr>
        <sz val="11"/>
        <color rgb="FF00B050"/>
        <rFont val="Calibri"/>
        <family val="2"/>
        <scheme val="minor"/>
      </rPr>
      <t>September 2023</t>
    </r>
    <r>
      <rPr>
        <sz val="11"/>
        <color theme="1"/>
        <rFont val="Calibri"/>
        <family val="2"/>
        <scheme val="minor"/>
      </rPr>
      <t>.</t>
    </r>
  </si>
  <si>
    <t>October 1, 2023</t>
  </si>
  <si>
    <t>JE #11 - Reversal of Unbilled revenue recorded in September for August consumption</t>
  </si>
  <si>
    <r>
      <t xml:space="preserve">To reverse the unbilled revenue entry JE#9 relating to August </t>
    </r>
    <r>
      <rPr>
        <sz val="11"/>
        <color rgb="FF00B050"/>
        <rFont val="Calibri"/>
        <family val="2"/>
        <scheme val="minor"/>
      </rPr>
      <t>2023</t>
    </r>
    <r>
      <rPr>
        <sz val="11"/>
        <color theme="1"/>
        <rFont val="Calibri"/>
        <family val="2"/>
        <scheme val="minor"/>
      </rPr>
      <t xml:space="preserve"> consumption recorded in September </t>
    </r>
    <r>
      <rPr>
        <sz val="11"/>
        <color rgb="FF00B050"/>
        <rFont val="Calibri"/>
        <family val="2"/>
        <scheme val="minor"/>
      </rPr>
      <t>2023</t>
    </r>
    <r>
      <rPr>
        <sz val="11"/>
        <color theme="1"/>
        <rFont val="Calibri"/>
        <family val="2"/>
        <scheme val="minor"/>
      </rPr>
      <t xml:space="preserve">. </t>
    </r>
  </si>
  <si>
    <t>October 31, 2023</t>
  </si>
  <si>
    <r>
      <t xml:space="preserve">To record the billings in October </t>
    </r>
    <r>
      <rPr>
        <sz val="11"/>
        <color rgb="FF00B050"/>
        <rFont val="Calibri"/>
        <family val="2"/>
        <scheme val="minor"/>
      </rPr>
      <t>2023</t>
    </r>
    <r>
      <rPr>
        <sz val="11"/>
        <rFont val="Calibri"/>
        <family val="2"/>
        <scheme val="minor"/>
      </rPr>
      <t xml:space="preserve"> relating to August </t>
    </r>
    <r>
      <rPr>
        <sz val="11"/>
        <color rgb="FF00B050"/>
        <rFont val="Calibri"/>
        <family val="2"/>
        <scheme val="minor"/>
      </rPr>
      <t>2023</t>
    </r>
    <r>
      <rPr>
        <sz val="11"/>
        <rFont val="Calibri"/>
        <family val="2"/>
        <scheme val="minor"/>
      </rPr>
      <t xml:space="preserve"> consumption.  </t>
    </r>
    <r>
      <rPr>
        <b/>
        <sz val="11"/>
        <rFont val="Calibri"/>
        <family val="2"/>
        <scheme val="minor"/>
      </rPr>
      <t>For illustrative purposes the portion of billings in October</t>
    </r>
    <r>
      <rPr>
        <b/>
        <sz val="11"/>
        <color rgb="FF00B050"/>
        <rFont val="Calibri"/>
        <family val="2"/>
        <scheme val="minor"/>
      </rPr>
      <t xml:space="preserve"> 2023</t>
    </r>
    <r>
      <rPr>
        <b/>
        <sz val="11"/>
        <rFont val="Calibri"/>
        <family val="2"/>
        <scheme val="minor"/>
      </rPr>
      <t xml:space="preserve"> that relate to August </t>
    </r>
    <r>
      <rPr>
        <b/>
        <sz val="11"/>
        <color rgb="FF00B050"/>
        <rFont val="Calibri"/>
        <family val="2"/>
        <scheme val="minor"/>
      </rPr>
      <t>2023</t>
    </r>
    <r>
      <rPr>
        <b/>
        <sz val="11"/>
        <rFont val="Calibri"/>
        <family val="2"/>
        <scheme val="minor"/>
      </rPr>
      <t xml:space="preserve"> is being shown. In this example it is assumed that half of the August </t>
    </r>
    <r>
      <rPr>
        <b/>
        <sz val="11"/>
        <color rgb="FF00B050"/>
        <rFont val="Calibri"/>
        <family val="2"/>
        <scheme val="minor"/>
      </rPr>
      <t>2023</t>
    </r>
    <r>
      <rPr>
        <b/>
        <sz val="11"/>
        <rFont val="Calibri"/>
        <family val="2"/>
        <scheme val="minor"/>
      </rPr>
      <t xml:space="preserve"> consumption was billed in September </t>
    </r>
    <r>
      <rPr>
        <b/>
        <sz val="11"/>
        <color rgb="FF00B050"/>
        <rFont val="Calibri"/>
        <family val="2"/>
        <scheme val="minor"/>
      </rPr>
      <t>2023</t>
    </r>
    <r>
      <rPr>
        <b/>
        <sz val="11"/>
        <rFont val="Calibri"/>
        <family val="2"/>
        <scheme val="minor"/>
      </rPr>
      <t xml:space="preserve"> and the balance was billed in October </t>
    </r>
    <r>
      <rPr>
        <b/>
        <sz val="11"/>
        <color rgb="FF00B050"/>
        <rFont val="Calibri"/>
        <family val="2"/>
        <scheme val="minor"/>
      </rPr>
      <t>2023</t>
    </r>
    <r>
      <rPr>
        <b/>
        <sz val="11"/>
        <rFont val="Calibri"/>
        <family val="2"/>
        <scheme val="minor"/>
      </rPr>
      <t xml:space="preserve">. In actual practice billings during the month of October </t>
    </r>
    <r>
      <rPr>
        <b/>
        <sz val="11"/>
        <color rgb="FF00B050"/>
        <rFont val="Calibri"/>
        <family val="2"/>
        <scheme val="minor"/>
      </rPr>
      <t>2023</t>
    </r>
    <r>
      <rPr>
        <b/>
        <sz val="11"/>
        <rFont val="Calibri"/>
        <family val="2"/>
        <scheme val="minor"/>
      </rPr>
      <t xml:space="preserve"> may include billings for August </t>
    </r>
    <r>
      <rPr>
        <b/>
        <sz val="11"/>
        <color rgb="FF00B050"/>
        <rFont val="Calibri"/>
        <family val="2"/>
        <scheme val="minor"/>
      </rPr>
      <t>2023</t>
    </r>
    <r>
      <rPr>
        <b/>
        <sz val="11"/>
        <rFont val="Calibri"/>
        <family val="2"/>
        <scheme val="minor"/>
      </rPr>
      <t xml:space="preserve">,  September </t>
    </r>
    <r>
      <rPr>
        <b/>
        <sz val="11"/>
        <color rgb="FF00B050"/>
        <rFont val="Calibri"/>
        <family val="2"/>
        <scheme val="minor"/>
      </rPr>
      <t>2023</t>
    </r>
    <r>
      <rPr>
        <b/>
        <sz val="11"/>
        <rFont val="Calibri"/>
        <family val="2"/>
        <scheme val="minor"/>
      </rPr>
      <t xml:space="preserve">, and October </t>
    </r>
    <r>
      <rPr>
        <b/>
        <sz val="11"/>
        <color rgb="FF00B050"/>
        <rFont val="Calibri"/>
        <family val="2"/>
        <scheme val="minor"/>
      </rPr>
      <t>2023</t>
    </r>
    <r>
      <rPr>
        <b/>
        <sz val="11"/>
        <rFont val="Calibri"/>
        <family val="2"/>
        <scheme val="minor"/>
      </rPr>
      <t xml:space="preserve"> calendar month consumption. </t>
    </r>
  </si>
  <si>
    <r>
      <t xml:space="preserve">To record the billings in September </t>
    </r>
    <r>
      <rPr>
        <sz val="11"/>
        <color rgb="FF00B050"/>
        <rFont val="Calibri"/>
        <family val="2"/>
        <scheme val="minor"/>
      </rPr>
      <t>2023</t>
    </r>
    <r>
      <rPr>
        <sz val="11"/>
        <rFont val="Calibri"/>
        <family val="2"/>
        <scheme val="minor"/>
      </rPr>
      <t xml:space="preserve"> relating to August </t>
    </r>
    <r>
      <rPr>
        <sz val="11"/>
        <color rgb="FF00B050"/>
        <rFont val="Calibri"/>
        <family val="2"/>
        <scheme val="minor"/>
      </rPr>
      <t>2023</t>
    </r>
    <r>
      <rPr>
        <sz val="11"/>
        <rFont val="Calibri"/>
        <family val="2"/>
        <scheme val="minor"/>
      </rPr>
      <t xml:space="preserve"> consumption. </t>
    </r>
    <r>
      <rPr>
        <b/>
        <sz val="11"/>
        <rFont val="Calibri"/>
        <family val="2"/>
        <scheme val="minor"/>
      </rPr>
      <t xml:space="preserve"> For illustrative purposes the portion of billings in September </t>
    </r>
    <r>
      <rPr>
        <b/>
        <sz val="11"/>
        <color rgb="FF00B050"/>
        <rFont val="Calibri"/>
        <family val="2"/>
        <scheme val="minor"/>
      </rPr>
      <t>2023</t>
    </r>
    <r>
      <rPr>
        <b/>
        <sz val="11"/>
        <rFont val="Calibri"/>
        <family val="2"/>
        <scheme val="minor"/>
      </rPr>
      <t xml:space="preserve"> that relate to August </t>
    </r>
    <r>
      <rPr>
        <b/>
        <sz val="11"/>
        <color rgb="FF00B050"/>
        <rFont val="Calibri"/>
        <family val="2"/>
        <scheme val="minor"/>
      </rPr>
      <t>2023</t>
    </r>
    <r>
      <rPr>
        <b/>
        <sz val="11"/>
        <rFont val="Calibri"/>
        <family val="2"/>
        <scheme val="minor"/>
      </rPr>
      <t xml:space="preserve"> is being shown. In this example it is assumed that half of the August </t>
    </r>
    <r>
      <rPr>
        <b/>
        <sz val="11"/>
        <color rgb="FF00B050"/>
        <rFont val="Calibri"/>
        <family val="2"/>
        <scheme val="minor"/>
      </rPr>
      <t>2023</t>
    </r>
    <r>
      <rPr>
        <b/>
        <sz val="11"/>
        <rFont val="Calibri"/>
        <family val="2"/>
        <scheme val="minor"/>
      </rPr>
      <t xml:space="preserve"> consumption is billed in September </t>
    </r>
    <r>
      <rPr>
        <b/>
        <sz val="11"/>
        <color rgb="FF00B050"/>
        <rFont val="Calibri"/>
        <family val="2"/>
        <scheme val="minor"/>
      </rPr>
      <t>2023</t>
    </r>
    <r>
      <rPr>
        <b/>
        <sz val="11"/>
        <rFont val="Calibri"/>
        <family val="2"/>
        <scheme val="minor"/>
      </rPr>
      <t xml:space="preserve"> and the balance is billed in October </t>
    </r>
    <r>
      <rPr>
        <b/>
        <sz val="11"/>
        <color rgb="FF00B050"/>
        <rFont val="Calibri"/>
        <family val="2"/>
        <scheme val="minor"/>
      </rPr>
      <t>2023</t>
    </r>
    <r>
      <rPr>
        <b/>
        <sz val="11"/>
        <rFont val="Calibri"/>
        <family val="2"/>
        <scheme val="minor"/>
      </rPr>
      <t xml:space="preserve">. In actual practice billings during the month of September </t>
    </r>
    <r>
      <rPr>
        <b/>
        <sz val="11"/>
        <color rgb="FF00B050"/>
        <rFont val="Calibri"/>
        <family val="2"/>
        <scheme val="minor"/>
      </rPr>
      <t>2023</t>
    </r>
    <r>
      <rPr>
        <b/>
        <sz val="11"/>
        <rFont val="Calibri"/>
        <family val="2"/>
        <scheme val="minor"/>
      </rPr>
      <t xml:space="preserve"> may include billings for July </t>
    </r>
    <r>
      <rPr>
        <b/>
        <sz val="11"/>
        <color rgb="FF00B050"/>
        <rFont val="Calibri"/>
        <family val="2"/>
        <scheme val="minor"/>
      </rPr>
      <t>2023</t>
    </r>
    <r>
      <rPr>
        <b/>
        <sz val="11"/>
        <rFont val="Calibri"/>
        <family val="2"/>
        <scheme val="minor"/>
      </rPr>
      <t xml:space="preserve">, August 2023 and September </t>
    </r>
    <r>
      <rPr>
        <b/>
        <sz val="11"/>
        <color rgb="FF00B050"/>
        <rFont val="Calibri"/>
        <family val="2"/>
        <scheme val="minor"/>
      </rPr>
      <t>2023</t>
    </r>
    <r>
      <rPr>
        <b/>
        <sz val="11"/>
        <rFont val="Calibri"/>
        <family val="2"/>
        <scheme val="minor"/>
      </rPr>
      <t xml:space="preserve"> calendar month consumption. </t>
    </r>
  </si>
  <si>
    <r>
      <t xml:space="preserve">Data for 2nd True up of RPP Settlement based on Actual Revenue Volumes on </t>
    </r>
    <r>
      <rPr>
        <b/>
        <sz val="14"/>
        <color rgb="FF00B050"/>
        <rFont val="Calibri"/>
        <family val="2"/>
        <scheme val="minor"/>
      </rPr>
      <t>November 6, 2023</t>
    </r>
    <r>
      <rPr>
        <b/>
        <sz val="14"/>
        <color theme="1"/>
        <rFont val="Calibri"/>
        <family val="2"/>
        <scheme val="minor"/>
      </rPr>
      <t>:</t>
    </r>
  </si>
  <si>
    <r>
      <t xml:space="preserve">To adjust allocation of CT 148 per IESO bill relating to actual RPP and non-RPP kWh proportions. </t>
    </r>
    <r>
      <rPr>
        <b/>
        <sz val="11"/>
        <color theme="1"/>
        <rFont val="Calibri"/>
        <family val="2"/>
        <scheme val="minor"/>
      </rPr>
      <t xml:space="preserve">In this Illustrative example it is assumed that the actual data is available by the end of </t>
    </r>
    <r>
      <rPr>
        <b/>
        <sz val="11"/>
        <color rgb="FF00B050"/>
        <rFont val="Calibri"/>
        <family val="2"/>
        <scheme val="minor"/>
      </rPr>
      <t>October 2023</t>
    </r>
    <r>
      <rPr>
        <b/>
        <sz val="11"/>
        <color theme="1"/>
        <rFont val="Calibri"/>
        <family val="2"/>
        <scheme val="minor"/>
      </rPr>
      <t>.</t>
    </r>
  </si>
  <si>
    <t>JE #15 - October RSVA Entry</t>
  </si>
  <si>
    <r>
      <t xml:space="preserve">To record the monthly RSVA entry for </t>
    </r>
    <r>
      <rPr>
        <sz val="11"/>
        <color rgb="FF00B050"/>
        <rFont val="Calibri"/>
        <family val="2"/>
        <scheme val="minor"/>
      </rPr>
      <t>October 2023</t>
    </r>
    <r>
      <rPr>
        <sz val="11"/>
        <color theme="1"/>
        <rFont val="Calibri"/>
        <family val="2"/>
        <scheme val="minor"/>
      </rPr>
      <t>.</t>
    </r>
  </si>
  <si>
    <r>
      <t xml:space="preserve">Table 36: GA Analysis Workform Reconciling Items </t>
    </r>
    <r>
      <rPr>
        <b/>
        <sz val="11"/>
        <rFont val="Calibri"/>
        <family val="2"/>
        <scheme val="minor"/>
      </rPr>
      <t xml:space="preserve">December 31, </t>
    </r>
    <r>
      <rPr>
        <b/>
        <sz val="11"/>
        <color rgb="FF00B050"/>
        <rFont val="Calibri"/>
        <family val="2"/>
        <scheme val="minor"/>
      </rPr>
      <t>2023</t>
    </r>
  </si>
  <si>
    <r>
      <t xml:space="preserve">To record the unbilled revenue at the end of September </t>
    </r>
    <r>
      <rPr>
        <sz val="11"/>
        <color rgb="FF00B050"/>
        <rFont val="Calibri"/>
        <family val="2"/>
        <scheme val="minor"/>
      </rPr>
      <t>2023</t>
    </r>
    <r>
      <rPr>
        <sz val="11"/>
        <rFont val="Calibri"/>
        <family val="2"/>
        <scheme val="minor"/>
      </rPr>
      <t xml:space="preserve"> relating to the portion of August </t>
    </r>
    <r>
      <rPr>
        <sz val="11"/>
        <color rgb="FF00B050"/>
        <rFont val="Calibri"/>
        <family val="2"/>
        <scheme val="minor"/>
      </rPr>
      <t>2023</t>
    </r>
    <r>
      <rPr>
        <sz val="11"/>
        <rFont val="Calibri"/>
        <family val="2"/>
        <scheme val="minor"/>
      </rPr>
      <t xml:space="preserve"> consumption that still has not been billed by the end of September </t>
    </r>
    <r>
      <rPr>
        <sz val="11"/>
        <color rgb="FF00B050"/>
        <rFont val="Calibri"/>
        <family val="2"/>
        <scheme val="minor"/>
      </rPr>
      <t>2023</t>
    </r>
    <r>
      <rPr>
        <sz val="11"/>
        <rFont val="Calibri"/>
        <family val="2"/>
        <scheme val="minor"/>
      </rPr>
      <t xml:space="preserve">. This entry will be reversed in October (see JE #11). </t>
    </r>
    <r>
      <rPr>
        <b/>
        <sz val="11"/>
        <rFont val="Calibri"/>
        <family val="2"/>
        <scheme val="minor"/>
      </rPr>
      <t xml:space="preserve">For illustrative purposes it is assumed that a portion of August </t>
    </r>
    <r>
      <rPr>
        <b/>
        <sz val="11"/>
        <color rgb="FF00B050"/>
        <rFont val="Calibri"/>
        <family val="2"/>
        <scheme val="minor"/>
      </rPr>
      <t>2023</t>
    </r>
    <r>
      <rPr>
        <b/>
        <sz val="11"/>
        <rFont val="Calibri"/>
        <family val="2"/>
        <scheme val="minor"/>
      </rPr>
      <t xml:space="preserve"> consumption has still not been billed by the end of September </t>
    </r>
    <r>
      <rPr>
        <b/>
        <sz val="11"/>
        <color rgb="FF00B050"/>
        <rFont val="Calibri"/>
        <family val="2"/>
        <scheme val="minor"/>
      </rPr>
      <t>2023</t>
    </r>
    <r>
      <rPr>
        <b/>
        <sz val="11"/>
        <rFont val="Calibri"/>
        <family val="2"/>
        <scheme val="minor"/>
      </rPr>
      <t xml:space="preserve">. In this example it is also assumed that the actual consumption related to this unbilled revenue entry is billed in October </t>
    </r>
    <r>
      <rPr>
        <b/>
        <sz val="11"/>
        <color rgb="FF00B050"/>
        <rFont val="Calibri"/>
        <family val="2"/>
        <scheme val="minor"/>
      </rPr>
      <t>2023</t>
    </r>
    <r>
      <rPr>
        <b/>
        <sz val="11"/>
        <rFont val="Calibri"/>
        <family val="2"/>
        <scheme val="minor"/>
      </rPr>
      <t xml:space="preserve">. Note, the unbilled revenue relating to the September </t>
    </r>
    <r>
      <rPr>
        <b/>
        <sz val="11"/>
        <color rgb="FF00B050"/>
        <rFont val="Calibri"/>
        <family val="2"/>
        <scheme val="minor"/>
      </rPr>
      <t>2023</t>
    </r>
    <r>
      <rPr>
        <b/>
        <sz val="11"/>
        <rFont val="Calibri"/>
        <family val="2"/>
        <scheme val="minor"/>
      </rPr>
      <t xml:space="preserve"> consumption has not been incorporated into this example. The focus of the Illustrative example relates to transactions for August </t>
    </r>
    <r>
      <rPr>
        <b/>
        <sz val="11"/>
        <color rgb="FF00B050"/>
        <rFont val="Calibri"/>
        <family val="2"/>
        <scheme val="minor"/>
      </rPr>
      <t>2023</t>
    </r>
    <r>
      <rPr>
        <b/>
        <sz val="11"/>
        <rFont val="Calibri"/>
        <family val="2"/>
        <scheme val="minor"/>
      </rPr>
      <t xml:space="preserve"> consumption only.</t>
    </r>
  </si>
  <si>
    <t>Cr. Account 4705 - Power Purchased - RPP GA Avoided</t>
  </si>
  <si>
    <t>Cr. Account 4707 - GA Charges - Class B non-RPP GA Avoided</t>
  </si>
  <si>
    <t>Dr. Account 4705 - Power Purchased - RPP GA Avoided</t>
  </si>
  <si>
    <t>COP Excl NG</t>
  </si>
  <si>
    <t>JE #10 - September RSVA Entry</t>
  </si>
  <si>
    <t>Account 2256 - IESO Accounts Payable</t>
  </si>
  <si>
    <t>Account 2256 - 2205 - National Grid Accounts Payable</t>
  </si>
  <si>
    <t>Subtotal for August 2023</t>
  </si>
  <si>
    <t>Total for August 2023</t>
  </si>
  <si>
    <t>T-ACCOUNTS ADDED FOR 2205 + 2256 + A/R ACCOUNTS</t>
  </si>
  <si>
    <t>Accounts Receivable</t>
  </si>
  <si>
    <r>
      <t>To record the monthly RSVA entry for August</t>
    </r>
    <r>
      <rPr>
        <sz val="11"/>
        <color rgb="FF00B050"/>
        <rFont val="Calibri"/>
        <family val="2"/>
        <scheme val="minor"/>
      </rPr>
      <t xml:space="preserve"> 2023</t>
    </r>
    <r>
      <rPr>
        <sz val="11"/>
        <color theme="1"/>
        <rFont val="Calibri"/>
        <family val="2"/>
        <scheme val="minor"/>
      </rPr>
      <t xml:space="preserve">. </t>
    </r>
  </si>
  <si>
    <t>Dr. Billings Energy Sales Accounts 4006-4055</t>
  </si>
  <si>
    <t>Note: This is technically a net Dr to 4705 but leave presentation as is in row</t>
  </si>
  <si>
    <t>Note: This is technically a net Cr to 4705 but leave presentation as is in row</t>
  </si>
  <si>
    <t>Subtotal for September 2023</t>
  </si>
  <si>
    <t>Total for September 2023</t>
  </si>
  <si>
    <t>Total for October 2023</t>
  </si>
  <si>
    <t>Subtotal for October 2023</t>
  </si>
  <si>
    <r>
      <t xml:space="preserve">RSVA power account 1588 entry for </t>
    </r>
    <r>
      <rPr>
        <sz val="11"/>
        <color rgb="FF00B050"/>
        <rFont val="Calibri"/>
        <family val="2"/>
        <scheme val="minor"/>
      </rPr>
      <t>August  2023</t>
    </r>
    <r>
      <rPr>
        <sz val="11"/>
        <color theme="1"/>
        <rFont val="Calibri"/>
        <family val="2"/>
        <scheme val="minor"/>
      </rPr>
      <t>, JE# 3</t>
    </r>
  </si>
  <si>
    <r>
      <t xml:space="preserve">RSVA GA account 1589 entry for </t>
    </r>
    <r>
      <rPr>
        <sz val="11"/>
        <color rgb="FF00B050"/>
        <rFont val="Calibri"/>
        <family val="2"/>
        <scheme val="minor"/>
      </rPr>
      <t>August 2023</t>
    </r>
    <r>
      <rPr>
        <sz val="11"/>
        <color theme="1"/>
        <rFont val="Calibri"/>
        <family val="2"/>
        <scheme val="minor"/>
      </rPr>
      <t>, JE# 3</t>
    </r>
  </si>
  <si>
    <r>
      <t xml:space="preserve">RSVA power account 1588 entry for </t>
    </r>
    <r>
      <rPr>
        <sz val="11"/>
        <color rgb="FF00B050"/>
        <rFont val="Calibri"/>
        <family val="2"/>
        <scheme val="minor"/>
      </rPr>
      <t>September 2023</t>
    </r>
    <r>
      <rPr>
        <sz val="11"/>
        <rFont val="Calibri"/>
        <family val="2"/>
        <scheme val="minor"/>
      </rPr>
      <t>, JE# 10</t>
    </r>
  </si>
  <si>
    <r>
      <t xml:space="preserve">RSVA GA account 1589 for </t>
    </r>
    <r>
      <rPr>
        <sz val="11"/>
        <color rgb="FF00B050"/>
        <rFont val="Calibri"/>
        <family val="2"/>
        <scheme val="minor"/>
      </rPr>
      <t>September 2023</t>
    </r>
    <r>
      <rPr>
        <sz val="11"/>
        <color theme="1"/>
        <rFont val="Calibri"/>
        <family val="2"/>
        <scheme val="minor"/>
      </rPr>
      <t>, JE# 10</t>
    </r>
  </si>
  <si>
    <r>
      <t xml:space="preserve">RSVA power account 1588 entry for </t>
    </r>
    <r>
      <rPr>
        <sz val="11"/>
        <color rgb="FF00B050"/>
        <rFont val="Calibri"/>
        <family val="2"/>
        <scheme val="minor"/>
      </rPr>
      <t>October 2023</t>
    </r>
    <r>
      <rPr>
        <sz val="11"/>
        <rFont val="Calibri"/>
        <family val="2"/>
        <scheme val="minor"/>
      </rPr>
      <t>, JE# 15</t>
    </r>
  </si>
  <si>
    <r>
      <t xml:space="preserve">RSVA GA account 1589 for </t>
    </r>
    <r>
      <rPr>
        <sz val="11"/>
        <color rgb="FF00B050"/>
        <rFont val="Calibri"/>
        <family val="2"/>
        <scheme val="minor"/>
      </rPr>
      <t>October 2023</t>
    </r>
    <r>
      <rPr>
        <sz val="11"/>
        <color theme="1"/>
        <rFont val="Calibri"/>
        <family val="2"/>
        <scheme val="minor"/>
      </rPr>
      <t>, JE# 15</t>
    </r>
  </si>
  <si>
    <t>CUMULATIVE GRAND TOTAL NET DR (CR)</t>
  </si>
  <si>
    <t>CUM GRAND TOTAL NET DR (CR) - SALES LESS POWER PURCHASED S/B NIL</t>
  </si>
  <si>
    <t>CUM GRAND TOTAL NET DR (CR) - BALANCE SHEET ACCOUNTS S/B NIL</t>
  </si>
  <si>
    <t>CHECK TO 2ND TU</t>
  </si>
  <si>
    <t>SETTLEMENT EXAMPLE UPDATED</t>
  </si>
  <si>
    <t>Highlighted in red extra cells added/updated by CNPI</t>
  </si>
  <si>
    <r>
      <rPr>
        <vertAlign val="superscript"/>
        <sz val="11"/>
        <color theme="1"/>
        <rFont val="Calibri"/>
        <family val="2"/>
        <scheme val="minor"/>
      </rPr>
      <t>14</t>
    </r>
    <r>
      <rPr>
        <sz val="11"/>
        <color theme="1"/>
        <rFont val="Calibri"/>
        <family val="2"/>
        <scheme val="minor"/>
      </rPr>
      <t xml:space="preserve"> - Volumes related to each RPP price point for Revenue based on actual consumption during calendar month.
</t>
    </r>
    <r>
      <rPr>
        <vertAlign val="superscript"/>
        <sz val="11"/>
        <color theme="1"/>
        <rFont val="Calibri"/>
        <family val="2"/>
        <scheme val="minor"/>
      </rPr>
      <t>15</t>
    </r>
    <r>
      <rPr>
        <sz val="11"/>
        <color theme="1"/>
        <rFont val="Calibri"/>
        <family val="2"/>
        <scheme val="minor"/>
      </rPr>
      <t xml:space="preserve"> - Updated GA for RPP and non-RPP class B customers based on actual proportions for RPP and non-RPP Class B customers.
</t>
    </r>
    <r>
      <rPr>
        <vertAlign val="superscript"/>
        <sz val="11"/>
        <color theme="1"/>
        <rFont val="Calibri"/>
        <family val="2"/>
        <scheme val="minor"/>
      </rPr>
      <t>16</t>
    </r>
    <r>
      <rPr>
        <sz val="11"/>
        <color theme="1"/>
        <rFont val="Calibri"/>
        <family val="2"/>
        <scheme val="minor"/>
      </rPr>
      <t xml:space="preserve"> - This is the updated cumulative RPP Settlement amount. The true up element of this amount will be incorporated into Charge 
       Type 1142 in the RPP settlement with the IESO</t>
    </r>
    <r>
      <rPr>
        <sz val="11"/>
        <rFont val="Calibri"/>
        <family val="2"/>
        <scheme val="minor"/>
      </rPr>
      <t>.</t>
    </r>
  </si>
  <si>
    <t>THIS TAB WAS NOT UPDATED GIVEN CNPI SAMPLE EXAMPLE WAS FOR AUG 2023 AND 2ND TRUE-UP IN THEORY WOULD BE COMPLETED PRE DEC 2023</t>
  </si>
  <si>
    <t>CUMULATIVE 1588 + 1589</t>
  </si>
  <si>
    <t>THIS COL ADDED</t>
  </si>
  <si>
    <t>FOR REPLY SUB</t>
  </si>
  <si>
    <t>USE % FOR SETTLEMENT CALC</t>
  </si>
  <si>
    <t>$/kWh w NG</t>
  </si>
  <si>
    <t>$/kWh w/o NG</t>
  </si>
  <si>
    <t>Net Emb Gen + CT 101 IESO + NG</t>
  </si>
  <si>
    <t>Net Emb Gen + CT 101 IESO</t>
  </si>
  <si>
    <t>To Use for Settlements - Prorated To Exclude NG</t>
  </si>
  <si>
    <r>
      <t xml:space="preserve">Amount </t>
    </r>
    <r>
      <rPr>
        <b/>
        <vertAlign val="superscript"/>
        <sz val="11"/>
        <color rgb="FFFF0000"/>
        <rFont val="Calibri"/>
        <family val="2"/>
        <scheme val="minor"/>
      </rPr>
      <t>12</t>
    </r>
  </si>
  <si>
    <t>USE % FOR SETTLEMENT CALC BELOW</t>
  </si>
  <si>
    <t>To Use for Settlements and non-RPP Cost/kWh above - Prorated To Exclude NG</t>
  </si>
  <si>
    <t>Cr. Account 4705 - Power Purchased - non-RPP GA Avoided</t>
  </si>
  <si>
    <t>Dr. Account 4705 - Power Purchased - non-RPP GA Avoided</t>
  </si>
  <si>
    <t>this additional entry no longer required as built into calculations above</t>
  </si>
  <si>
    <t>RPP Avoided, see JE #6</t>
  </si>
  <si>
    <t>Non-RPP Avoided, see JE #6</t>
  </si>
  <si>
    <t>zeroed this out b/c RPP/non-RPP CT 148 updated above</t>
  </si>
  <si>
    <t>this reflects actual CT 148</t>
  </si>
  <si>
    <t>PRORATED AMTS</t>
  </si>
  <si>
    <t>Updated to formula</t>
  </si>
  <si>
    <t>Updated for actual August or September 2023 values.</t>
  </si>
  <si>
    <r>
      <t>Note: For RPP settlement calculation, assume CT 148 hypothetically billed on 33,000,000 kWhs basis per above, even though CT 148 actually billed on 25,500,000 kWhs basis.  This is then addressed via 1st and 2nd settlement true-up calculations. (</t>
    </r>
    <r>
      <rPr>
        <b/>
        <sz val="11"/>
        <color rgb="FFFF0000"/>
        <rFont val="Calibri"/>
        <family val="2"/>
        <scheme val="minor"/>
      </rPr>
      <t>This is N/A for the Aug and Sept 2023 actual settlement calculations</t>
    </r>
    <r>
      <rPr>
        <sz val="11"/>
        <color rgb="FFFF0000"/>
        <rFont val="Calibri"/>
        <family val="2"/>
        <scheme val="minor"/>
      </rPr>
      <t>).</t>
    </r>
  </si>
  <si>
    <r>
      <t xml:space="preserve">Note: For RPP settlement calculation, assume CT 148 hypothetically billed on 33,000,000 kWhs basis per above, even though CT 148 actually billed on 25,500,000 kWhs basis.  This is then addressed via 1st and 2nd settlement true-up calculations. </t>
    </r>
    <r>
      <rPr>
        <b/>
        <sz val="11"/>
        <color rgb="FFFF0000"/>
        <rFont val="Calibri"/>
        <family val="2"/>
        <scheme val="minor"/>
      </rPr>
      <t>(This is N/A for the Aug and Sept 2023 actual settlement calculations).</t>
    </r>
  </si>
  <si>
    <r>
      <t xml:space="preserve">To accrue 2nd true-up adjustment to CT 1142 for actual August </t>
    </r>
    <r>
      <rPr>
        <sz val="11"/>
        <color rgb="FF00B050"/>
        <rFont val="Calibri"/>
        <family val="2"/>
        <scheme val="minor"/>
      </rPr>
      <t>2023</t>
    </r>
    <r>
      <rPr>
        <sz val="11"/>
        <rFont val="Calibri"/>
        <family val="2"/>
        <scheme val="minor"/>
      </rPr>
      <t xml:space="preserve"> kWh consumption sold at each RPP price point. </t>
    </r>
    <r>
      <rPr>
        <b/>
        <sz val="11"/>
        <rFont val="Calibri"/>
        <family val="2"/>
        <scheme val="minor"/>
      </rPr>
      <t>In this illustrative example it is assumed that the 2nd true-up happens on business day 4 of November</t>
    </r>
    <r>
      <rPr>
        <b/>
        <sz val="11"/>
        <color rgb="FF00B050"/>
        <rFont val="Calibri"/>
        <family val="2"/>
        <scheme val="minor"/>
      </rPr>
      <t xml:space="preserve"> 2023</t>
    </r>
    <r>
      <rPr>
        <b/>
        <sz val="11"/>
        <rFont val="Calibri"/>
        <family val="2"/>
        <scheme val="minor"/>
      </rPr>
      <t xml:space="preserve"> and is included in CT 1142 on the IESO invoice on business day 10 of November </t>
    </r>
    <r>
      <rPr>
        <b/>
        <sz val="11"/>
        <color rgb="FF00B050"/>
        <rFont val="Calibri"/>
        <family val="2"/>
        <scheme val="minor"/>
      </rPr>
      <t>2023</t>
    </r>
    <r>
      <rPr>
        <b/>
        <sz val="11"/>
        <rFont val="Calibri"/>
        <family val="2"/>
        <scheme val="minor"/>
      </rPr>
      <t xml:space="preserve">. The illustrative example does not show the reversal of this entry on November 1, </t>
    </r>
    <r>
      <rPr>
        <b/>
        <sz val="11"/>
        <color rgb="FF00B050"/>
        <rFont val="Calibri"/>
        <family val="2"/>
        <scheme val="minor"/>
      </rPr>
      <t>2023</t>
    </r>
    <r>
      <rPr>
        <b/>
        <sz val="11"/>
        <rFont val="Calibri"/>
        <family val="2"/>
        <scheme val="minor"/>
      </rPr>
      <t xml:space="preserve">, and then the recording of the same amount when the November </t>
    </r>
    <r>
      <rPr>
        <b/>
        <sz val="11"/>
        <color rgb="FF00B050"/>
        <rFont val="Calibri"/>
        <family val="2"/>
        <scheme val="minor"/>
      </rPr>
      <t>2023</t>
    </r>
    <r>
      <rPr>
        <b/>
        <sz val="11"/>
        <rFont val="Calibri"/>
        <family val="2"/>
        <scheme val="minor"/>
      </rPr>
      <t xml:space="preserve"> IESO invoice is recorded.</t>
    </r>
  </si>
  <si>
    <t>THIS SCENARIO IS FOR AUGUST 2023 POWER PURCHASED AND SOLD</t>
  </si>
  <si>
    <t>Cells highlighted in red have been added by CNPI for purposes of settlement example walk through that includes National Grid purchases.  Updates May May 2025 in EB-2025-0081.</t>
  </si>
  <si>
    <t>Cells highlighted in purple have been updated by CNPI for August or September 2023 settlement calculations based on actual activity for purposes of settlement illustrative example walk through that considers National Grid purchases and associated proration.  Updates Made October 2023 in EB-2025-0050.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</si>
</sst>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 #,##0_);_(* \(#,##0\);_(* &quot;-&quot;??_);_(@_)"/>
    <numFmt numFmtId="167" formatCode="_(&quot;$&quot;* #,##0.0000_);_(&quot;$&quot;* \(#,##0.0000\);_(&quot;$&quot;* &quot;-&quot;??_);_(@_)"/>
    <numFmt numFmtId="168" formatCode="_(&quot;$&quot;* #,##0_);_(&quot;$&quot;* \(#,##0\);_(&quot;$&quot;* &quot;-&quot;??_);_(@_)"/>
    <numFmt numFmtId="169" formatCode="_(* #,##0_);_(* \(#,##0\);_(* &quot;-&quot;????_);_(@_)"/>
    <numFmt numFmtId="170" formatCode="_(&quot;$&quot;* #,##0.000_);_(&quot;$&quot;* \(#,##0.000\);_(&quot;$&quot;* &quot;-&quot;??_);_(@_)"/>
    <numFmt numFmtId="171" formatCode="_-&quot;$&quot;* #,##0_-;\-&quot;$&quot;* #,##0_-;_-&quot;$&quot;* &quot;-&quot;????_-;_-@_-"/>
    <numFmt numFmtId="172" formatCode="_-&quot;$&quot;* #,##0.0000_-;\-&quot;$&quot;* #,##0.0000_-;_-&quot;$&quot;* &quot;-&quot;??_-;_-@_-"/>
    <numFmt numFmtId="173" formatCode="_-&quot;$&quot;* #,##0.00000_-;\-&quot;$&quot;* #,##0.00000_-;_-&quot;$&quot;* &quot;-&quot;??_-;_-@_-"/>
    <numFmt numFmtId="174" formatCode="_(* #,##0.0000_);_(* \(#,##0.0000\);_(* &quot;-&quot;??_);_(@_)"/>
    <numFmt numFmtId="175" formatCode="_(* #,##0.0000_);_(* \(#,##0.0000\);_(* &quot;-&quot;????_);_(@_)"/>
    <numFmt numFmtId="176" formatCode="_(* #,##0.000000_);_(* \(#,##0.000000\);_(* &quot;-&quot;??_);_(@_)"/>
    <numFmt numFmtId="177" formatCode="0.0000%"/>
    <numFmt numFmtId="178" formatCode="_(&quot;$&quot;* #,##0.00000_);_(&quot;$&quot;* \(#,##0.00000\);_(&quot;$&quot;* &quot;-&quot;??_);_(@_)"/>
    <numFmt numFmtId="179" formatCode="_(* #,##0.00000_);_(* \(#,##0.00000\);_(* &quot;-&quot;??_);_(@_)"/>
    <numFmt numFmtId="180" formatCode="_(* #,##0.0000000_);_(* \(#,##0.0000000\);_(* &quot;-&quot;??_);_(@_)"/>
    <numFmt numFmtId="181" formatCode="_-&quot;$&quot;* #,##0_-;\-&quot;$&quot;* #,##0_-;_-&quot;$&quot;* &quot;-&quot;??_-;_-@_-"/>
    <numFmt numFmtId="182" formatCode="_-* #,##0.00000_-;\-* #,##0.00000_-;_-* &quot;-&quot;??_-;_-@_-"/>
    <numFmt numFmtId="183" formatCode="_-* #,##0_-;\-* #,##0_-;_-* &quot;-&quot;??_-;_-@_-"/>
    <numFmt numFmtId="184" formatCode="_-* #,##0.000000_-;\-* #,##0.000000_-;_-* &quot;-&quot;??_-;_-@_-"/>
    <numFmt numFmtId="185" formatCode="_-* #,##0.00000000_-;\-* #,##0.00000000_-;_-* &quot;-&quot;??_-;_-@_-"/>
    <numFmt numFmtId="186" formatCode="_(&quot;$&quot;* #,##0.00000000_);_(&quot;$&quot;* \(#,##0.00000000\);_(&quot;$&quot;* &quot;-&quot;??_);_(@_)"/>
    <numFmt numFmtId="187" formatCode="0.000000"/>
    <numFmt numFmtId="188" formatCode="0.0%"/>
    <numFmt numFmtId="189" formatCode="_(* #,##0.000_);_(* \(#,##0.000\);_(* &quot;-&quot;??_);_(@_)"/>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name val="Calibri"/>
      <family val="2"/>
      <scheme val="minor"/>
    </font>
    <font>
      <b/>
      <sz val="20"/>
      <color theme="1"/>
      <name val="Calibri"/>
      <family val="2"/>
      <scheme val="minor"/>
    </font>
    <font>
      <b/>
      <u/>
      <sz val="11"/>
      <color theme="1"/>
      <name val="Calibri"/>
      <family val="2"/>
      <scheme val="minor"/>
    </font>
    <font>
      <b/>
      <vertAlign val="superscript"/>
      <sz val="11"/>
      <color theme="1"/>
      <name val="Calibri"/>
      <family val="2"/>
      <scheme val="minor"/>
    </font>
    <font>
      <b/>
      <vertAlign val="superscript"/>
      <sz val="10"/>
      <color theme="1"/>
      <name val="Calibri"/>
      <family val="2"/>
      <scheme val="minor"/>
    </font>
    <font>
      <b/>
      <u/>
      <sz val="20"/>
      <color theme="1"/>
      <name val="Calibri"/>
      <family val="2"/>
      <scheme val="minor"/>
    </font>
    <font>
      <b/>
      <sz val="12"/>
      <color theme="1"/>
      <name val="Calibri"/>
      <family val="2"/>
      <scheme val="minor"/>
    </font>
    <font>
      <i/>
      <sz val="11"/>
      <color theme="1"/>
      <name val="Calibri"/>
      <family val="2"/>
      <scheme val="minor"/>
    </font>
    <font>
      <sz val="11"/>
      <color rgb="FFFF0000"/>
      <name val="Calibri"/>
      <family val="2"/>
      <scheme val="minor"/>
    </font>
    <font>
      <i/>
      <sz val="11"/>
      <name val="Calibri"/>
      <family val="2"/>
      <scheme val="minor"/>
    </font>
    <font>
      <b/>
      <sz val="10"/>
      <name val="Calibri"/>
      <family val="2"/>
      <scheme val="minor"/>
    </font>
    <font>
      <b/>
      <sz val="11"/>
      <color rgb="FFFF0000"/>
      <name val="Calibri"/>
      <family val="2"/>
      <scheme val="minor"/>
    </font>
    <font>
      <vertAlign val="superscript"/>
      <sz val="11"/>
      <color theme="1"/>
      <name val="Calibri"/>
      <family val="2"/>
      <scheme val="minor"/>
    </font>
    <font>
      <vertAlign val="superscript"/>
      <sz val="11"/>
      <name val="Calibri"/>
      <family val="2"/>
      <scheme val="minor"/>
    </font>
    <font>
      <sz val="10"/>
      <color theme="1"/>
      <name val="Calibri"/>
      <family val="2"/>
      <scheme val="minor"/>
    </font>
    <font>
      <b/>
      <u/>
      <sz val="22"/>
      <color theme="1"/>
      <name val="Calibri"/>
      <family val="2"/>
      <scheme val="minor"/>
    </font>
    <font>
      <b/>
      <sz val="11"/>
      <name val="Calibri"/>
      <family val="2"/>
      <scheme val="minor"/>
    </font>
    <font>
      <sz val="9"/>
      <color indexed="81"/>
      <name val="Tahoma"/>
      <family val="2"/>
    </font>
    <font>
      <b/>
      <sz val="9"/>
      <color indexed="81"/>
      <name val="Tahoma"/>
      <family val="2"/>
    </font>
    <font>
      <sz val="11"/>
      <color rgb="FF7030A0"/>
      <name val="Calibri"/>
      <family val="2"/>
      <scheme val="minor"/>
    </font>
    <font>
      <sz val="11"/>
      <color rgb="FF00B0F0"/>
      <name val="Calibri"/>
      <family val="2"/>
      <scheme val="minor"/>
    </font>
    <font>
      <i/>
      <sz val="11"/>
      <color rgb="FFFF0000"/>
      <name val="Calibri"/>
      <family val="2"/>
      <scheme val="minor"/>
    </font>
    <font>
      <b/>
      <sz val="11"/>
      <color theme="7" tint="-0.249977111117893"/>
      <name val="Calibri"/>
      <family val="2"/>
      <scheme val="minor"/>
    </font>
    <font>
      <sz val="11"/>
      <color theme="7" tint="-0.249977111117893"/>
      <name val="Calibri"/>
      <family val="2"/>
      <scheme val="minor"/>
    </font>
    <font>
      <sz val="11"/>
      <color theme="7" tint="-0.499984740745262"/>
      <name val="Calibri"/>
      <family val="2"/>
      <scheme val="minor"/>
    </font>
    <font>
      <sz val="8"/>
      <name val="Calibri"/>
      <family val="2"/>
      <scheme val="minor"/>
    </font>
    <font>
      <sz val="11"/>
      <color rgb="FF00B050"/>
      <name val="Calibri"/>
      <family val="2"/>
      <scheme val="minor"/>
    </font>
    <font>
      <i/>
      <sz val="11"/>
      <color rgb="FF00B050"/>
      <name val="Calibri"/>
      <family val="2"/>
      <scheme val="minor"/>
    </font>
    <font>
      <b/>
      <sz val="11"/>
      <color rgb="FF00B050"/>
      <name val="Calibri"/>
      <family val="2"/>
      <scheme val="minor"/>
    </font>
    <font>
      <b/>
      <sz val="14"/>
      <color rgb="FF00B050"/>
      <name val="Calibri"/>
      <family val="2"/>
      <scheme val="minor"/>
    </font>
    <font>
      <b/>
      <sz val="14"/>
      <name val="Calibri"/>
      <family val="2"/>
      <scheme val="minor"/>
    </font>
    <font>
      <sz val="12"/>
      <color theme="1"/>
      <name val="Calibri"/>
      <family val="2"/>
      <scheme val="minor"/>
    </font>
    <font>
      <sz val="10"/>
      <name val="Arial"/>
      <family val="2"/>
    </font>
    <font>
      <sz val="12"/>
      <color rgb="FF7030A0"/>
      <name val="Calibri"/>
      <family val="2"/>
      <scheme val="minor"/>
    </font>
    <font>
      <sz val="12"/>
      <color rgb="FFFF0000"/>
      <name val="Calibri"/>
      <family val="2"/>
      <scheme val="minor"/>
    </font>
    <font>
      <sz val="12"/>
      <color rgb="FF00B0F0"/>
      <name val="Calibri"/>
      <family val="2"/>
      <scheme val="minor"/>
    </font>
    <font>
      <sz val="12"/>
      <color rgb="FF00B050"/>
      <name val="Calibri"/>
      <family val="2"/>
      <scheme val="minor"/>
    </font>
    <font>
      <sz val="11"/>
      <color rgb="FFFFC000"/>
      <name val="Calibri"/>
      <family val="2"/>
      <scheme val="minor"/>
    </font>
    <font>
      <b/>
      <sz val="11"/>
      <color rgb="FFFFC000"/>
      <name val="Calibri"/>
      <family val="2"/>
      <scheme val="minor"/>
    </font>
    <font>
      <b/>
      <u/>
      <sz val="11"/>
      <color rgb="FFFF0000"/>
      <name val="Calibri"/>
      <family val="2"/>
      <scheme val="minor"/>
    </font>
    <font>
      <sz val="12"/>
      <name val="Calibri"/>
      <family val="2"/>
      <scheme val="minor"/>
    </font>
    <font>
      <b/>
      <u/>
      <sz val="14"/>
      <color rgb="FFFF0000"/>
      <name val="Calibri"/>
      <family val="2"/>
      <scheme val="minor"/>
    </font>
    <font>
      <u val="singleAccounting"/>
      <sz val="11"/>
      <color rgb="FFFF0000"/>
      <name val="Calibri"/>
      <family val="2"/>
      <scheme val="minor"/>
    </font>
    <font>
      <b/>
      <vertAlign val="superscript"/>
      <sz val="11"/>
      <color rgb="FFFF000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gray0625">
        <bgColor theme="0" tint="-4.9989318521683403E-2"/>
      </patternFill>
    </fill>
    <fill>
      <patternFill patternType="solid">
        <fgColor auto="1"/>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rgb="FFFF0000"/>
        <bgColor indexed="64"/>
      </patternFill>
    </fill>
    <fill>
      <patternFill patternType="solid">
        <fgColor rgb="FFFF66FF"/>
        <bgColor indexed="64"/>
      </patternFill>
    </fill>
  </fills>
  <borders count="77">
    <border>
      <left/>
      <right/>
      <top/>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indexed="64"/>
      </top>
      <bottom style="thin">
        <color auto="1"/>
      </bottom>
      <diagonal/>
    </border>
    <border>
      <left/>
      <right style="thick">
        <color auto="1"/>
      </right>
      <top style="thick">
        <color auto="1"/>
      </top>
      <bottom/>
      <diagonal/>
    </border>
    <border>
      <left/>
      <right/>
      <top style="thick">
        <color auto="1"/>
      </top>
      <bottom/>
      <diagonal/>
    </border>
    <border>
      <left/>
      <right style="thick">
        <color auto="1"/>
      </right>
      <top/>
      <bottom/>
      <diagonal/>
    </border>
    <border>
      <left/>
      <right/>
      <top/>
      <bottom style="thick">
        <color auto="1"/>
      </bottom>
      <diagonal/>
    </border>
    <border>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right style="hair">
        <color auto="1"/>
      </right>
      <top style="thin">
        <color auto="1"/>
      </top>
      <bottom style="thin">
        <color auto="1"/>
      </bottom>
      <diagonal/>
    </border>
    <border>
      <left style="thin">
        <color indexed="64"/>
      </left>
      <right/>
      <top style="thin">
        <color indexed="64"/>
      </top>
      <bottom style="medium">
        <color indexed="64"/>
      </bottom>
      <diagonal/>
    </border>
    <border>
      <left/>
      <right/>
      <top/>
      <bottom style="double">
        <color auto="1"/>
      </bottom>
      <diagonal/>
    </border>
    <border>
      <left/>
      <right/>
      <top style="medium">
        <color auto="1"/>
      </top>
      <bottom/>
      <diagonal/>
    </border>
    <border>
      <left style="dashed">
        <color indexed="64"/>
      </left>
      <right style="thin">
        <color auto="1"/>
      </right>
      <top style="thin">
        <color indexed="64"/>
      </top>
      <bottom style="medium">
        <color auto="1"/>
      </bottom>
      <diagonal/>
    </border>
    <border>
      <left style="dashed">
        <color indexed="64"/>
      </left>
      <right style="thin">
        <color auto="1"/>
      </right>
      <top style="thin">
        <color indexed="64"/>
      </top>
      <bottom style="thin">
        <color indexed="64"/>
      </bottom>
      <diagonal/>
    </border>
    <border>
      <left style="dashed">
        <color indexed="64"/>
      </left>
      <right style="dashed">
        <color indexed="64"/>
      </right>
      <top style="thin">
        <color indexed="64"/>
      </top>
      <bottom style="thin">
        <color auto="1"/>
      </bottom>
      <diagonal/>
    </border>
    <border>
      <left style="thick">
        <color auto="1"/>
      </left>
      <right/>
      <top/>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dashed">
        <color indexed="64"/>
      </left>
      <right style="dashed">
        <color indexed="64"/>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style="dashed">
        <color indexed="64"/>
      </left>
      <right style="dashed">
        <color indexed="64"/>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style="medium">
        <color auto="1"/>
      </top>
      <bottom style="double">
        <color auto="1"/>
      </bottom>
      <diagonal/>
    </border>
    <border>
      <left style="thin">
        <color indexed="64"/>
      </left>
      <right style="thin">
        <color indexed="64"/>
      </right>
      <top/>
      <bottom style="double">
        <color indexed="64"/>
      </bottom>
      <diagonal/>
    </border>
    <border>
      <left style="thin">
        <color auto="1"/>
      </left>
      <right/>
      <top/>
      <bottom style="medium">
        <color auto="1"/>
      </bottom>
      <diagonal/>
    </border>
    <border>
      <left/>
      <right style="thin">
        <color indexed="64"/>
      </right>
      <top/>
      <bottom style="medium">
        <color auto="1"/>
      </bottom>
      <diagonal/>
    </border>
    <border>
      <left style="dashed">
        <color indexed="64"/>
      </left>
      <right style="medium">
        <color auto="1"/>
      </right>
      <top style="medium">
        <color auto="1"/>
      </top>
      <bottom style="medium">
        <color auto="1"/>
      </bottom>
      <diagonal/>
    </border>
    <border>
      <left style="dashed">
        <color indexed="64"/>
      </left>
      <right style="thin">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thin">
        <color indexed="64"/>
      </bottom>
      <diagonal/>
    </border>
    <border>
      <left style="thin">
        <color auto="1"/>
      </left>
      <right/>
      <top style="medium">
        <color auto="1"/>
      </top>
      <bottom style="thin">
        <color auto="1"/>
      </bottom>
      <diagonal/>
    </border>
    <border>
      <left style="dashed">
        <color indexed="64"/>
      </left>
      <right style="thin">
        <color auto="1"/>
      </right>
      <top style="medium">
        <color auto="1"/>
      </top>
      <bottom style="thin">
        <color auto="1"/>
      </bottom>
      <diagonal/>
    </border>
    <border>
      <left/>
      <right style="hair">
        <color auto="1"/>
      </right>
      <top style="medium">
        <color auto="1"/>
      </top>
      <bottom style="thin">
        <color auto="1"/>
      </bottom>
      <diagonal/>
    </border>
    <border>
      <left/>
      <right style="thin">
        <color indexed="64"/>
      </right>
      <top style="medium">
        <color auto="1"/>
      </top>
      <bottom style="thin">
        <color auto="1"/>
      </bottom>
      <diagonal/>
    </border>
    <border>
      <left style="thin">
        <color indexed="64"/>
      </left>
      <right style="thin">
        <color auto="1"/>
      </right>
      <top style="medium">
        <color auto="1"/>
      </top>
      <bottom style="double">
        <color indexed="64"/>
      </bottom>
      <diagonal/>
    </border>
    <border>
      <left style="dashed">
        <color indexed="64"/>
      </left>
      <right style="thin">
        <color auto="1"/>
      </right>
      <top style="medium">
        <color auto="1"/>
      </top>
      <bottom style="double">
        <color indexed="64"/>
      </bottom>
      <diagonal/>
    </border>
    <border>
      <left style="medium">
        <color auto="1"/>
      </left>
      <right/>
      <top style="medium">
        <color auto="1"/>
      </top>
      <bottom style="thin">
        <color auto="1"/>
      </bottom>
      <diagonal/>
    </border>
    <border>
      <left style="dashed">
        <color indexed="64"/>
      </left>
      <right style="dashed">
        <color indexed="64"/>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right style="thick">
        <color rgb="FF00B050"/>
      </right>
      <top style="thin">
        <color indexed="64"/>
      </top>
      <bottom style="double">
        <color indexed="64"/>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right/>
      <top/>
      <bottom style="medium">
        <color auto="1"/>
      </bottom>
      <diagonal/>
    </border>
    <border>
      <left style="medium">
        <color indexed="64"/>
      </left>
      <right style="medium">
        <color indexed="64"/>
      </right>
      <top/>
      <bottom/>
      <diagonal/>
    </border>
    <border>
      <left/>
      <right style="medium">
        <color auto="1"/>
      </right>
      <top/>
      <bottom/>
      <diagonal/>
    </border>
    <border>
      <left style="medium">
        <color auto="1"/>
      </left>
      <right style="medium">
        <color indexed="64"/>
      </right>
      <top/>
      <bottom style="medium">
        <color indexed="64"/>
      </bottom>
      <diagonal/>
    </border>
    <border>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dashed">
        <color indexed="64"/>
      </left>
      <right style="thin">
        <color auto="1"/>
      </right>
      <top style="thin">
        <color indexed="64"/>
      </top>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7" fillId="0" borderId="0"/>
  </cellStyleXfs>
  <cellXfs count="591">
    <xf numFmtId="0" fontId="0" fillId="0" borderId="0" xfId="0"/>
    <xf numFmtId="166" fontId="0" fillId="0" borderId="0" xfId="1" applyNumberFormat="1" applyFont="1"/>
    <xf numFmtId="10" fontId="0" fillId="0" borderId="0" xfId="3" applyNumberFormat="1" applyFont="1"/>
    <xf numFmtId="167" fontId="0" fillId="0" borderId="0" xfId="2" applyNumberFormat="1" applyFont="1"/>
    <xf numFmtId="168" fontId="0" fillId="0" borderId="0" xfId="2" applyNumberFormat="1" applyFont="1"/>
    <xf numFmtId="168" fontId="0" fillId="0" borderId="0" xfId="0" applyNumberFormat="1"/>
    <xf numFmtId="166" fontId="0" fillId="0" borderId="0" xfId="0" applyNumberFormat="1"/>
    <xf numFmtId="166" fontId="0" fillId="0" borderId="0" xfId="1" applyNumberFormat="1" applyFont="1" applyBorder="1"/>
    <xf numFmtId="166" fontId="0" fillId="0" borderId="0" xfId="1" applyNumberFormat="1" applyFont="1" applyFill="1"/>
    <xf numFmtId="167" fontId="0" fillId="0" borderId="0" xfId="0" applyNumberFormat="1"/>
    <xf numFmtId="0" fontId="2" fillId="0" borderId="0" xfId="0" applyFont="1"/>
    <xf numFmtId="10" fontId="0" fillId="0" borderId="0" xfId="3" applyNumberFormat="1" applyFont="1" applyFill="1"/>
    <xf numFmtId="168" fontId="0" fillId="0" borderId="0" xfId="2" applyNumberFormat="1" applyFont="1" applyFill="1"/>
    <xf numFmtId="0" fontId="0" fillId="0" borderId="0" xfId="0" applyAlignment="1">
      <alignment horizontal="center"/>
    </xf>
    <xf numFmtId="166" fontId="0" fillId="0" borderId="1" xfId="1" applyNumberFormat="1" applyFont="1" applyBorder="1"/>
    <xf numFmtId="166" fontId="0" fillId="0" borderId="1" xfId="0" applyNumberFormat="1" applyBorder="1"/>
    <xf numFmtId="10" fontId="0" fillId="0" borderId="1" xfId="0" applyNumberFormat="1" applyBorder="1"/>
    <xf numFmtId="166" fontId="0" fillId="0" borderId="0" xfId="3" applyNumberFormat="1" applyFont="1"/>
    <xf numFmtId="164" fontId="0" fillId="0" borderId="0" xfId="2" applyFont="1"/>
    <xf numFmtId="170" fontId="0" fillId="0" borderId="0" xfId="2" applyNumberFormat="1" applyFont="1"/>
    <xf numFmtId="0" fontId="2" fillId="0" borderId="0" xfId="0" applyFont="1" applyAlignment="1">
      <alignment horizontal="center"/>
    </xf>
    <xf numFmtId="168" fontId="0" fillId="0" borderId="1" xfId="2" applyNumberFormat="1" applyFont="1" applyBorder="1"/>
    <xf numFmtId="0" fontId="3" fillId="0" borderId="0" xfId="0" applyFont="1"/>
    <xf numFmtId="0" fontId="4" fillId="0" borderId="0" xfId="0" applyFont="1"/>
    <xf numFmtId="171" fontId="0" fillId="0" borderId="0" xfId="0" applyNumberFormat="1"/>
    <xf numFmtId="168" fontId="0" fillId="0" borderId="0" xfId="2" applyNumberFormat="1" applyFont="1" applyBorder="1"/>
    <xf numFmtId="173" fontId="0" fillId="0" borderId="0" xfId="0" applyNumberFormat="1"/>
    <xf numFmtId="0" fontId="2" fillId="0" borderId="0" xfId="0" applyFont="1" applyAlignment="1">
      <alignment horizontal="center" wrapText="1"/>
    </xf>
    <xf numFmtId="170" fontId="0" fillId="0" borderId="0" xfId="0" applyNumberFormat="1"/>
    <xf numFmtId="166" fontId="0" fillId="0" borderId="0" xfId="3" applyNumberFormat="1" applyFont="1" applyBorder="1"/>
    <xf numFmtId="43" fontId="0" fillId="0" borderId="0" xfId="0" applyNumberFormat="1"/>
    <xf numFmtId="0" fontId="2" fillId="0" borderId="0" xfId="0" applyFont="1" applyAlignment="1">
      <alignment wrapText="1"/>
    </xf>
    <xf numFmtId="167" fontId="0" fillId="0" borderId="0" xfId="2" applyNumberFormat="1" applyFont="1" applyBorder="1"/>
    <xf numFmtId="172" fontId="0" fillId="0" borderId="0" xfId="0" applyNumberFormat="1"/>
    <xf numFmtId="0" fontId="2" fillId="0" borderId="2" xfId="0" applyFont="1" applyBorder="1"/>
    <xf numFmtId="0" fontId="2" fillId="0" borderId="2" xfId="0" applyFont="1" applyBorder="1" applyAlignment="1">
      <alignment horizontal="center"/>
    </xf>
    <xf numFmtId="0" fontId="2" fillId="0" borderId="2" xfId="0" applyFont="1" applyBorder="1" applyAlignment="1">
      <alignment horizontal="center" wrapText="1"/>
    </xf>
    <xf numFmtId="0" fontId="0" fillId="0" borderId="3" xfId="0" applyBorder="1"/>
    <xf numFmtId="170" fontId="0" fillId="0" borderId="4" xfId="0" applyNumberFormat="1" applyBorder="1"/>
    <xf numFmtId="167" fontId="0" fillId="0" borderId="4" xfId="2" applyNumberFormat="1" applyFont="1" applyBorder="1"/>
    <xf numFmtId="172" fontId="0" fillId="0" borderId="4" xfId="0" applyNumberFormat="1" applyBorder="1"/>
    <xf numFmtId="0" fontId="0" fillId="0" borderId="5" xfId="0" applyBorder="1"/>
    <xf numFmtId="166" fontId="2" fillId="0" borderId="0" xfId="1" applyNumberFormat="1" applyFont="1" applyBorder="1" applyAlignment="1">
      <alignment horizontal="center"/>
    </xf>
    <xf numFmtId="168" fontId="2" fillId="0" borderId="0" xfId="2" applyNumberFormat="1" applyFont="1" applyBorder="1" applyAlignment="1">
      <alignment horizontal="center"/>
    </xf>
    <xf numFmtId="166" fontId="1" fillId="0" borderId="0" xfId="1" applyNumberFormat="1" applyFont="1" applyBorder="1"/>
    <xf numFmtId="168" fontId="0" fillId="0" borderId="1" xfId="2" applyNumberFormat="1" applyFont="1" applyFill="1" applyBorder="1"/>
    <xf numFmtId="166" fontId="0" fillId="2" borderId="0" xfId="1" applyNumberFormat="1" applyFont="1" applyFill="1"/>
    <xf numFmtId="168" fontId="0" fillId="0" borderId="0" xfId="2" applyNumberFormat="1" applyFont="1" applyFill="1" applyBorder="1"/>
    <xf numFmtId="168" fontId="2" fillId="0" borderId="0" xfId="2" applyNumberFormat="1" applyFont="1" applyFill="1" applyBorder="1" applyAlignment="1">
      <alignment horizontal="center"/>
    </xf>
    <xf numFmtId="168" fontId="1" fillId="0" borderId="0" xfId="2" applyNumberFormat="1" applyFont="1" applyFill="1" applyBorder="1"/>
    <xf numFmtId="166" fontId="5" fillId="0" borderId="0" xfId="1" applyNumberFormat="1" applyFont="1" applyFill="1"/>
    <xf numFmtId="170" fontId="0" fillId="0" borderId="0" xfId="2" applyNumberFormat="1" applyFont="1" applyFill="1"/>
    <xf numFmtId="44" fontId="0" fillId="0" borderId="0" xfId="0" applyNumberFormat="1"/>
    <xf numFmtId="165" fontId="0" fillId="0" borderId="0" xfId="0" applyNumberFormat="1"/>
    <xf numFmtId="0" fontId="2" fillId="0" borderId="2" xfId="0" applyFont="1" applyBorder="1" applyAlignment="1">
      <alignment wrapText="1"/>
    </xf>
    <xf numFmtId="10" fontId="0" fillId="0" borderId="1" xfId="3" applyNumberFormat="1" applyFont="1" applyBorder="1"/>
    <xf numFmtId="166" fontId="0" fillId="0" borderId="8" xfId="1" applyNumberFormat="1" applyFont="1" applyFill="1" applyBorder="1"/>
    <xf numFmtId="0" fontId="6" fillId="0" borderId="0" xfId="0" applyFont="1"/>
    <xf numFmtId="10" fontId="0" fillId="0" borderId="0" xfId="3" applyNumberFormat="1" applyFont="1" applyBorder="1"/>
    <xf numFmtId="164" fontId="0" fillId="0" borderId="0" xfId="0" applyNumberFormat="1"/>
    <xf numFmtId="174" fontId="0" fillId="0" borderId="0" xfId="0" applyNumberFormat="1"/>
    <xf numFmtId="168" fontId="0" fillId="2" borderId="0" xfId="2" applyNumberFormat="1" applyFont="1" applyFill="1"/>
    <xf numFmtId="168" fontId="0" fillId="0" borderId="1" xfId="0" applyNumberFormat="1" applyBorder="1"/>
    <xf numFmtId="167" fontId="0" fillId="0" borderId="8" xfId="0" applyNumberFormat="1" applyBorder="1"/>
    <xf numFmtId="166" fontId="0" fillId="0" borderId="8" xfId="1" applyNumberFormat="1" applyFont="1" applyBorder="1"/>
    <xf numFmtId="165" fontId="0" fillId="0" borderId="0" xfId="1" applyFont="1"/>
    <xf numFmtId="0" fontId="0" fillId="0" borderId="0" xfId="0" applyAlignment="1">
      <alignment wrapText="1"/>
    </xf>
    <xf numFmtId="165" fontId="0" fillId="0" borderId="0" xfId="0" applyNumberFormat="1" applyAlignment="1">
      <alignment wrapText="1"/>
    </xf>
    <xf numFmtId="166" fontId="0" fillId="0" borderId="0" xfId="1" applyNumberFormat="1" applyFont="1" applyAlignment="1">
      <alignment wrapText="1"/>
    </xf>
    <xf numFmtId="166" fontId="0" fillId="0" borderId="0" xfId="0" applyNumberFormat="1" applyAlignment="1">
      <alignment wrapText="1"/>
    </xf>
    <xf numFmtId="10" fontId="0" fillId="0" borderId="0" xfId="0" applyNumberFormat="1"/>
    <xf numFmtId="166" fontId="0" fillId="0" borderId="0" xfId="1" applyNumberFormat="1" applyFont="1" applyFill="1" applyBorder="1"/>
    <xf numFmtId="167" fontId="0" fillId="0" borderId="0" xfId="2" applyNumberFormat="1" applyFont="1" applyFill="1" applyBorder="1"/>
    <xf numFmtId="166" fontId="2" fillId="0" borderId="0" xfId="1" applyNumberFormat="1" applyFont="1" applyFill="1" applyBorder="1" applyAlignment="1">
      <alignment horizontal="center"/>
    </xf>
    <xf numFmtId="0" fontId="0" fillId="0" borderId="0" xfId="0" applyAlignment="1">
      <alignment horizontal="right"/>
    </xf>
    <xf numFmtId="0" fontId="5" fillId="0" borderId="0" xfId="0" applyFont="1" applyAlignment="1">
      <alignment horizontal="left" wrapText="1"/>
    </xf>
    <xf numFmtId="0" fontId="0" fillId="0" borderId="2" xfId="0" applyBorder="1"/>
    <xf numFmtId="0" fontId="0" fillId="0" borderId="2" xfId="0" applyBorder="1" applyAlignment="1">
      <alignment wrapText="1"/>
    </xf>
    <xf numFmtId="168" fontId="0" fillId="0" borderId="15" xfId="2" applyNumberFormat="1" applyFont="1" applyBorder="1"/>
    <xf numFmtId="0" fontId="2" fillId="0" borderId="14" xfId="0" applyFont="1" applyBorder="1" applyAlignment="1">
      <alignment horizontal="center" wrapText="1"/>
    </xf>
    <xf numFmtId="168" fontId="0" fillId="0" borderId="15" xfId="2" applyNumberFormat="1" applyFont="1" applyFill="1" applyBorder="1"/>
    <xf numFmtId="178" fontId="0" fillId="0" borderId="0" xfId="2" applyNumberFormat="1" applyFont="1" applyBorder="1"/>
    <xf numFmtId="168" fontId="0" fillId="0" borderId="0" xfId="0" applyNumberFormat="1" applyAlignment="1">
      <alignment wrapText="1"/>
    </xf>
    <xf numFmtId="164" fontId="0" fillId="0" borderId="0" xfId="0" applyNumberFormat="1" applyAlignment="1">
      <alignment wrapText="1"/>
    </xf>
    <xf numFmtId="174" fontId="0" fillId="0" borderId="0" xfId="0" applyNumberFormat="1" applyAlignment="1">
      <alignment wrapText="1"/>
    </xf>
    <xf numFmtId="165" fontId="0" fillId="0" borderId="0" xfId="1" applyFont="1" applyBorder="1"/>
    <xf numFmtId="179" fontId="0" fillId="0" borderId="0" xfId="0" applyNumberFormat="1"/>
    <xf numFmtId="174" fontId="0" fillId="0" borderId="0" xfId="1" applyNumberFormat="1" applyFont="1"/>
    <xf numFmtId="179" fontId="0" fillId="0" borderId="0" xfId="0" applyNumberFormat="1" applyAlignment="1">
      <alignment wrapText="1"/>
    </xf>
    <xf numFmtId="180" fontId="0" fillId="0" borderId="0" xfId="0" applyNumberFormat="1" applyAlignment="1">
      <alignment wrapText="1"/>
    </xf>
    <xf numFmtId="0" fontId="0" fillId="0" borderId="23" xfId="0" applyBorder="1"/>
    <xf numFmtId="167" fontId="0" fillId="0" borderId="23" xfId="0" applyNumberFormat="1" applyBorder="1"/>
    <xf numFmtId="166" fontId="0" fillId="0" borderId="5" xfId="0" applyNumberFormat="1" applyBorder="1" applyAlignment="1">
      <alignment wrapText="1"/>
    </xf>
    <xf numFmtId="0" fontId="2" fillId="0" borderId="3" xfId="0" applyFont="1" applyBorder="1" applyAlignment="1">
      <alignment horizontal="center" wrapText="1"/>
    </xf>
    <xf numFmtId="0" fontId="10" fillId="0" borderId="0" xfId="0" applyFont="1"/>
    <xf numFmtId="0" fontId="2" fillId="0" borderId="0" xfId="0" applyFont="1" applyAlignment="1">
      <alignment horizontal="left"/>
    </xf>
    <xf numFmtId="168" fontId="0" fillId="0" borderId="14" xfId="2" applyNumberFormat="1" applyFont="1" applyFill="1" applyBorder="1"/>
    <xf numFmtId="164" fontId="0" fillId="0" borderId="0" xfId="2" applyFont="1" applyFill="1"/>
    <xf numFmtId="10" fontId="0" fillId="0" borderId="0" xfId="3" applyNumberFormat="1" applyFont="1" applyFill="1" applyBorder="1"/>
    <xf numFmtId="0" fontId="0" fillId="0" borderId="0" xfId="0" applyAlignment="1">
      <alignment horizontal="left" wrapText="1"/>
    </xf>
    <xf numFmtId="0" fontId="0" fillId="0" borderId="10" xfId="0" applyBorder="1"/>
    <xf numFmtId="0" fontId="2" fillId="0" borderId="12" xfId="0" applyFont="1" applyBorder="1"/>
    <xf numFmtId="168" fontId="0" fillId="0" borderId="9" xfId="2" applyNumberFormat="1" applyFont="1" applyBorder="1"/>
    <xf numFmtId="168" fontId="0" fillId="0" borderId="11" xfId="2" applyNumberFormat="1" applyFont="1" applyBorder="1"/>
    <xf numFmtId="168" fontId="0" fillId="0" borderId="10" xfId="2" applyNumberFormat="1" applyFont="1" applyBorder="1"/>
    <xf numFmtId="181" fontId="0" fillId="0" borderId="0" xfId="2" applyNumberFormat="1" applyFont="1" applyFill="1"/>
    <xf numFmtId="0" fontId="13" fillId="0" borderId="0" xfId="0" applyFont="1"/>
    <xf numFmtId="0" fontId="13" fillId="0" borderId="0" xfId="0" applyFont="1" applyAlignment="1">
      <alignment horizontal="center"/>
    </xf>
    <xf numFmtId="168" fontId="13" fillId="0" borderId="0" xfId="2" applyNumberFormat="1" applyFont="1"/>
    <xf numFmtId="0" fontId="5" fillId="0" borderId="0" xfId="0" applyFont="1"/>
    <xf numFmtId="168" fontId="5" fillId="0" borderId="11" xfId="2" applyNumberFormat="1" applyFont="1" applyBorder="1"/>
    <xf numFmtId="168" fontId="5" fillId="0" borderId="0" xfId="2" applyNumberFormat="1" applyFont="1"/>
    <xf numFmtId="0" fontId="5" fillId="0" borderId="10" xfId="0" applyFont="1" applyBorder="1"/>
    <xf numFmtId="168" fontId="5" fillId="0" borderId="9" xfId="2" applyNumberFormat="1" applyFont="1" applyBorder="1"/>
    <xf numFmtId="168" fontId="5" fillId="0" borderId="10" xfId="2" applyNumberFormat="1" applyFont="1" applyBorder="1"/>
    <xf numFmtId="0" fontId="14" fillId="0" borderId="0" xfId="0" applyFont="1"/>
    <xf numFmtId="0" fontId="14" fillId="0" borderId="0" xfId="0" applyFont="1" applyAlignment="1">
      <alignment horizontal="center"/>
    </xf>
    <xf numFmtId="168" fontId="14" fillId="0" borderId="11" xfId="2" applyNumberFormat="1" applyFont="1" applyBorder="1"/>
    <xf numFmtId="168" fontId="14" fillId="0" borderId="0" xfId="2" applyNumberFormat="1" applyFont="1"/>
    <xf numFmtId="168" fontId="14" fillId="0" borderId="0" xfId="0" applyNumberFormat="1" applyFont="1"/>
    <xf numFmtId="0" fontId="12" fillId="0" borderId="0" xfId="0" applyFont="1"/>
    <xf numFmtId="0" fontId="12" fillId="0" borderId="0" xfId="0" applyFont="1" applyAlignment="1">
      <alignment horizontal="center"/>
    </xf>
    <xf numFmtId="168" fontId="12" fillId="0" borderId="11" xfId="2" applyNumberFormat="1" applyFont="1" applyBorder="1"/>
    <xf numFmtId="168" fontId="12" fillId="0" borderId="0" xfId="2" applyNumberFormat="1" applyFont="1"/>
    <xf numFmtId="0" fontId="0" fillId="6" borderId="0" xfId="0" applyFill="1"/>
    <xf numFmtId="0" fontId="0" fillId="6" borderId="0" xfId="0" applyFill="1" applyAlignment="1">
      <alignment horizontal="center"/>
    </xf>
    <xf numFmtId="0" fontId="2" fillId="6" borderId="0" xfId="0" applyFont="1" applyFill="1" applyAlignment="1">
      <alignment horizontal="center"/>
    </xf>
    <xf numFmtId="168" fontId="0" fillId="6" borderId="0" xfId="0" applyNumberFormat="1" applyFill="1"/>
    <xf numFmtId="166" fontId="0" fillId="6" borderId="0" xfId="1" applyNumberFormat="1" applyFont="1" applyFill="1"/>
    <xf numFmtId="168" fontId="0" fillId="6" borderId="0" xfId="2" applyNumberFormat="1" applyFont="1" applyFill="1"/>
    <xf numFmtId="0" fontId="16" fillId="0" borderId="0" xfId="0" applyFont="1" applyAlignment="1">
      <alignment horizontal="left"/>
    </xf>
    <xf numFmtId="0" fontId="5" fillId="0" borderId="0" xfId="0" applyFont="1" applyAlignment="1">
      <alignment wrapText="1"/>
    </xf>
    <xf numFmtId="0" fontId="0" fillId="7" borderId="0" xfId="0" applyFill="1" applyAlignment="1">
      <alignment horizontal="left" wrapText="1"/>
    </xf>
    <xf numFmtId="0" fontId="0" fillId="0" borderId="4" xfId="0" applyBorder="1"/>
    <xf numFmtId="166" fontId="0" fillId="0" borderId="27" xfId="0" applyNumberFormat="1" applyBorder="1"/>
    <xf numFmtId="0" fontId="2" fillId="0" borderId="12" xfId="0" applyFont="1" applyBorder="1" applyAlignment="1">
      <alignment horizontal="center"/>
    </xf>
    <xf numFmtId="0" fontId="10" fillId="0" borderId="0" xfId="0" applyFont="1" applyAlignment="1">
      <alignment horizontal="center"/>
    </xf>
    <xf numFmtId="0" fontId="13" fillId="0" borderId="0" xfId="0" applyFont="1" applyAlignment="1">
      <alignment horizontal="right"/>
    </xf>
    <xf numFmtId="43" fontId="0" fillId="0" borderId="0" xfId="1" applyNumberFormat="1" applyFont="1" applyBorder="1"/>
    <xf numFmtId="0" fontId="0" fillId="0" borderId="2" xfId="0" applyBorder="1" applyAlignment="1">
      <alignment horizontal="center" wrapText="1"/>
    </xf>
    <xf numFmtId="165" fontId="0" fillId="0" borderId="2" xfId="0" applyNumberFormat="1" applyBorder="1" applyAlignment="1">
      <alignment horizontal="center" wrapText="1"/>
    </xf>
    <xf numFmtId="0" fontId="2" fillId="0" borderId="14" xfId="0" applyFont="1" applyBorder="1"/>
    <xf numFmtId="0" fontId="2" fillId="0" borderId="15" xfId="0" applyFont="1" applyBorder="1"/>
    <xf numFmtId="166" fontId="0" fillId="0" borderId="2" xfId="0" applyNumberFormat="1" applyBorder="1"/>
    <xf numFmtId="166" fontId="0" fillId="0" borderId="31" xfId="0" applyNumberFormat="1" applyBorder="1"/>
    <xf numFmtId="0" fontId="2" fillId="0" borderId="33" xfId="0" applyFont="1" applyBorder="1"/>
    <xf numFmtId="0" fontId="2" fillId="0" borderId="34" xfId="0" applyFont="1" applyBorder="1"/>
    <xf numFmtId="166" fontId="2" fillId="0" borderId="35" xfId="0" applyNumberFormat="1" applyFont="1" applyBorder="1" applyAlignment="1">
      <alignment horizontal="center" wrapText="1"/>
    </xf>
    <xf numFmtId="0" fontId="2" fillId="0" borderId="36" xfId="0" applyFont="1" applyBorder="1" applyAlignment="1">
      <alignment horizontal="center" wrapText="1"/>
    </xf>
    <xf numFmtId="0" fontId="2" fillId="0" borderId="37" xfId="0" applyFont="1" applyBorder="1" applyAlignment="1">
      <alignment horizontal="center"/>
    </xf>
    <xf numFmtId="166" fontId="0" fillId="4" borderId="39" xfId="0" applyNumberFormat="1" applyFill="1" applyBorder="1" applyAlignment="1">
      <alignment wrapText="1"/>
    </xf>
    <xf numFmtId="0" fontId="0" fillId="0" borderId="19" xfId="0" applyBorder="1"/>
    <xf numFmtId="0" fontId="19" fillId="0" borderId="15" xfId="0" applyFont="1" applyBorder="1"/>
    <xf numFmtId="0" fontId="19" fillId="0" borderId="6" xfId="0" applyFont="1" applyBorder="1" applyAlignment="1">
      <alignment wrapText="1"/>
    </xf>
    <xf numFmtId="0" fontId="19" fillId="0" borderId="2" xfId="0" applyFont="1" applyBorder="1"/>
    <xf numFmtId="0" fontId="19" fillId="0" borderId="16" xfId="0" applyFont="1" applyBorder="1" applyAlignment="1">
      <alignment wrapText="1"/>
    </xf>
    <xf numFmtId="0" fontId="19" fillId="0" borderId="2" xfId="0" applyFont="1" applyBorder="1" applyAlignment="1">
      <alignment wrapText="1"/>
    </xf>
    <xf numFmtId="0" fontId="0" fillId="0" borderId="15" xfId="0" applyBorder="1"/>
    <xf numFmtId="0" fontId="2" fillId="0" borderId="35"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wrapText="1"/>
    </xf>
    <xf numFmtId="0" fontId="2" fillId="0" borderId="38" xfId="0" applyFont="1" applyBorder="1" applyAlignment="1">
      <alignment horizontal="center"/>
    </xf>
    <xf numFmtId="0" fontId="2" fillId="0" borderId="5" xfId="0" applyFont="1" applyBorder="1" applyAlignment="1">
      <alignment horizontal="center" wrapText="1"/>
    </xf>
    <xf numFmtId="0" fontId="0" fillId="0" borderId="19" xfId="0" applyBorder="1" applyAlignment="1">
      <alignment horizontal="left"/>
    </xf>
    <xf numFmtId="0" fontId="2" fillId="0" borderId="34" xfId="0" applyFont="1" applyBorder="1" applyAlignment="1">
      <alignment horizontal="center" wrapText="1"/>
    </xf>
    <xf numFmtId="166" fontId="0" fillId="0" borderId="47" xfId="0" applyNumberFormat="1" applyBorder="1"/>
    <xf numFmtId="0" fontId="0" fillId="0" borderId="47" xfId="0" applyBorder="1"/>
    <xf numFmtId="166" fontId="0" fillId="0" borderId="48" xfId="0" applyNumberFormat="1" applyBorder="1"/>
    <xf numFmtId="166" fontId="0" fillId="0" borderId="49" xfId="0" applyNumberFormat="1" applyBorder="1"/>
    <xf numFmtId="167" fontId="0" fillId="0" borderId="48" xfId="0" applyNumberFormat="1" applyBorder="1"/>
    <xf numFmtId="166" fontId="0" fillId="0" borderId="16" xfId="0" applyNumberFormat="1" applyBorder="1"/>
    <xf numFmtId="167" fontId="0" fillId="0" borderId="16" xfId="0" applyNumberFormat="1" applyBorder="1"/>
    <xf numFmtId="0" fontId="0" fillId="0" borderId="22" xfId="0" applyBorder="1"/>
    <xf numFmtId="166" fontId="0" fillId="0" borderId="17" xfId="0" applyNumberFormat="1" applyBorder="1"/>
    <xf numFmtId="165" fontId="0" fillId="0" borderId="27" xfId="0" applyNumberFormat="1" applyBorder="1"/>
    <xf numFmtId="167" fontId="0" fillId="0" borderId="31" xfId="0" applyNumberFormat="1" applyBorder="1"/>
    <xf numFmtId="166" fontId="0" fillId="0" borderId="52" xfId="0" applyNumberFormat="1" applyBorder="1"/>
    <xf numFmtId="166" fontId="0" fillId="4" borderId="53" xfId="0" applyNumberFormat="1" applyFill="1" applyBorder="1"/>
    <xf numFmtId="0" fontId="0" fillId="0" borderId="0" xfId="0" applyAlignment="1">
      <alignment horizontal="left"/>
    </xf>
    <xf numFmtId="166" fontId="0" fillId="0" borderId="54" xfId="0" applyNumberFormat="1" applyBorder="1" applyAlignment="1">
      <alignment wrapText="1"/>
    </xf>
    <xf numFmtId="167" fontId="0" fillId="0" borderId="55" xfId="2" applyNumberFormat="1" applyFont="1" applyFill="1" applyBorder="1" applyAlignment="1">
      <alignment wrapText="1"/>
    </xf>
    <xf numFmtId="168" fontId="0" fillId="0" borderId="56" xfId="0" applyNumberFormat="1" applyBorder="1" applyAlignment="1">
      <alignment wrapText="1"/>
    </xf>
    <xf numFmtId="166" fontId="0" fillId="0" borderId="57" xfId="0" applyNumberFormat="1" applyBorder="1" applyAlignment="1">
      <alignment wrapText="1"/>
    </xf>
    <xf numFmtId="168" fontId="0" fillId="0" borderId="58" xfId="0" applyNumberFormat="1" applyBorder="1" applyAlignment="1">
      <alignment wrapText="1"/>
    </xf>
    <xf numFmtId="167" fontId="0" fillId="0" borderId="28" xfId="0" applyNumberFormat="1" applyBorder="1" applyAlignment="1">
      <alignment wrapText="1"/>
    </xf>
    <xf numFmtId="166" fontId="0" fillId="0" borderId="59" xfId="1" applyNumberFormat="1" applyFont="1" applyBorder="1" applyAlignment="1">
      <alignment wrapText="1"/>
    </xf>
    <xf numFmtId="167" fontId="0" fillId="0" borderId="32" xfId="2" applyNumberFormat="1" applyFont="1" applyBorder="1" applyAlignment="1">
      <alignment wrapText="1"/>
    </xf>
    <xf numFmtId="168" fontId="0" fillId="0" borderId="60" xfId="0" applyNumberFormat="1" applyBorder="1" applyAlignment="1">
      <alignment wrapText="1"/>
    </xf>
    <xf numFmtId="166" fontId="0" fillId="0" borderId="54" xfId="1" applyNumberFormat="1" applyFont="1" applyBorder="1" applyAlignment="1">
      <alignment wrapText="1"/>
    </xf>
    <xf numFmtId="167" fontId="0" fillId="0" borderId="55" xfId="2" applyNumberFormat="1" applyFont="1" applyBorder="1" applyAlignment="1">
      <alignment wrapText="1"/>
    </xf>
    <xf numFmtId="166" fontId="0" fillId="0" borderId="59" xfId="0" applyNumberFormat="1" applyBorder="1" applyAlignment="1">
      <alignment wrapText="1"/>
    </xf>
    <xf numFmtId="167" fontId="0" fillId="0" borderId="32" xfId="2" applyNumberFormat="1" applyFont="1" applyFill="1" applyBorder="1" applyAlignment="1">
      <alignment wrapText="1"/>
    </xf>
    <xf numFmtId="168" fontId="0" fillId="0" borderId="60" xfId="2" applyNumberFormat="1" applyFont="1" applyBorder="1" applyAlignment="1">
      <alignment wrapText="1"/>
    </xf>
    <xf numFmtId="0" fontId="2" fillId="0" borderId="35" xfId="0" applyFont="1" applyBorder="1" applyAlignment="1">
      <alignment horizontal="center" wrapText="1"/>
    </xf>
    <xf numFmtId="0" fontId="0" fillId="3" borderId="30" xfId="0" applyFill="1" applyBorder="1"/>
    <xf numFmtId="0" fontId="0" fillId="3" borderId="3" xfId="0" applyFill="1" applyBorder="1"/>
    <xf numFmtId="0" fontId="0" fillId="3" borderId="4" xfId="0" applyFill="1" applyBorder="1"/>
    <xf numFmtId="0" fontId="2" fillId="0" borderId="38" xfId="0" applyFont="1" applyBorder="1" applyAlignment="1">
      <alignment horizontal="center" wrapText="1"/>
    </xf>
    <xf numFmtId="0" fontId="0" fillId="3" borderId="21" xfId="0" applyFill="1" applyBorder="1"/>
    <xf numFmtId="166" fontId="0" fillId="2" borderId="0" xfId="1" applyNumberFormat="1" applyFont="1" applyFill="1" applyProtection="1"/>
    <xf numFmtId="166" fontId="0" fillId="0" borderId="0" xfId="1" applyNumberFormat="1" applyFont="1" applyFill="1" applyProtection="1"/>
    <xf numFmtId="166" fontId="0" fillId="0" borderId="8" xfId="1" applyNumberFormat="1" applyFont="1" applyFill="1" applyBorder="1" applyProtection="1"/>
    <xf numFmtId="10" fontId="0" fillId="0" borderId="0" xfId="3" applyNumberFormat="1" applyFont="1" applyProtection="1"/>
    <xf numFmtId="166" fontId="0" fillId="0" borderId="0" xfId="1" applyNumberFormat="1" applyFont="1" applyProtection="1"/>
    <xf numFmtId="10" fontId="0" fillId="0" borderId="0" xfId="3" applyNumberFormat="1" applyFont="1" applyFill="1" applyProtection="1"/>
    <xf numFmtId="0" fontId="15" fillId="0" borderId="0" xfId="0" applyFont="1"/>
    <xf numFmtId="170" fontId="0" fillId="0" borderId="0" xfId="2" applyNumberFormat="1" applyFont="1" applyFill="1" applyProtection="1"/>
    <xf numFmtId="170" fontId="0" fillId="0" borderId="0" xfId="2" applyNumberFormat="1" applyFont="1" applyProtection="1"/>
    <xf numFmtId="165" fontId="0" fillId="0" borderId="0" xfId="1" applyFont="1" applyProtection="1"/>
    <xf numFmtId="165" fontId="0" fillId="0" borderId="0" xfId="1" applyFont="1" applyFill="1" applyProtection="1"/>
    <xf numFmtId="167" fontId="0" fillId="2" borderId="0" xfId="2" applyNumberFormat="1" applyFont="1" applyFill="1" applyProtection="1"/>
    <xf numFmtId="167" fontId="0" fillId="0" borderId="0" xfId="2" applyNumberFormat="1" applyFont="1" applyFill="1" applyProtection="1"/>
    <xf numFmtId="167" fontId="0" fillId="0" borderId="0" xfId="2" applyNumberFormat="1" applyFont="1" applyProtection="1"/>
    <xf numFmtId="167" fontId="0" fillId="0" borderId="0" xfId="2" applyNumberFormat="1" applyFont="1" applyFill="1" applyBorder="1" applyProtection="1"/>
    <xf numFmtId="174" fontId="0" fillId="0" borderId="0" xfId="1" applyNumberFormat="1" applyFont="1" applyProtection="1"/>
    <xf numFmtId="182" fontId="0" fillId="0" borderId="0" xfId="0" applyNumberFormat="1"/>
    <xf numFmtId="175" fontId="0" fillId="0" borderId="0" xfId="0" applyNumberFormat="1"/>
    <xf numFmtId="166" fontId="2" fillId="0" borderId="0" xfId="1" applyNumberFormat="1" applyFont="1" applyBorder="1" applyAlignment="1" applyProtection="1">
      <alignment horizontal="center" wrapText="1"/>
    </xf>
    <xf numFmtId="168" fontId="2" fillId="0" borderId="0" xfId="2" applyNumberFormat="1" applyFont="1" applyBorder="1" applyAlignment="1" applyProtection="1">
      <alignment horizontal="center"/>
    </xf>
    <xf numFmtId="166" fontId="2" fillId="0" borderId="0" xfId="1" applyNumberFormat="1" applyFont="1" applyBorder="1" applyAlignment="1" applyProtection="1">
      <alignment horizontal="center"/>
    </xf>
    <xf numFmtId="168" fontId="1" fillId="2" borderId="0" xfId="2" applyNumberFormat="1" applyFont="1" applyFill="1" applyBorder="1" applyAlignment="1" applyProtection="1">
      <alignment horizontal="center"/>
    </xf>
    <xf numFmtId="168" fontId="0" fillId="2" borderId="0" xfId="2" applyNumberFormat="1" applyFont="1" applyFill="1" applyProtection="1"/>
    <xf numFmtId="168" fontId="0" fillId="0" borderId="0" xfId="2" applyNumberFormat="1" applyFont="1" applyFill="1" applyProtection="1"/>
    <xf numFmtId="164" fontId="0" fillId="0" borderId="0" xfId="2" applyFont="1" applyProtection="1"/>
    <xf numFmtId="164" fontId="0" fillId="0" borderId="0" xfId="2" applyFont="1" applyFill="1" applyProtection="1"/>
    <xf numFmtId="168" fontId="0" fillId="0" borderId="0" xfId="2" applyNumberFormat="1" applyFont="1" applyFill="1" applyBorder="1" applyProtection="1"/>
    <xf numFmtId="166" fontId="0" fillId="0" borderId="1" xfId="1" applyNumberFormat="1" applyFont="1" applyBorder="1" applyProtection="1"/>
    <xf numFmtId="168" fontId="0" fillId="0" borderId="0" xfId="2" applyNumberFormat="1" applyFont="1" applyBorder="1" applyProtection="1"/>
    <xf numFmtId="168" fontId="0" fillId="0" borderId="1" xfId="2" applyNumberFormat="1" applyFont="1" applyBorder="1" applyProtection="1"/>
    <xf numFmtId="166" fontId="0" fillId="0" borderId="0" xfId="1" applyNumberFormat="1" applyFont="1" applyBorder="1" applyProtection="1"/>
    <xf numFmtId="168" fontId="2" fillId="0" borderId="0" xfId="2" applyNumberFormat="1" applyFont="1" applyFill="1" applyBorder="1" applyAlignment="1" applyProtection="1">
      <alignment horizontal="center"/>
    </xf>
    <xf numFmtId="168" fontId="1" fillId="0" borderId="0" xfId="2" applyNumberFormat="1" applyFont="1" applyFill="1" applyBorder="1" applyProtection="1"/>
    <xf numFmtId="174" fontId="0" fillId="0" borderId="0" xfId="1" applyNumberFormat="1" applyFont="1" applyBorder="1" applyProtection="1"/>
    <xf numFmtId="166" fontId="1" fillId="0" borderId="0" xfId="1" applyNumberFormat="1" applyFont="1" applyBorder="1" applyProtection="1"/>
    <xf numFmtId="177" fontId="0" fillId="0" borderId="0" xfId="3" applyNumberFormat="1" applyFont="1" applyBorder="1" applyProtection="1"/>
    <xf numFmtId="181" fontId="0" fillId="0" borderId="0" xfId="2" applyNumberFormat="1" applyFont="1" applyFill="1" applyProtection="1"/>
    <xf numFmtId="166" fontId="0" fillId="0" borderId="8" xfId="1" applyNumberFormat="1" applyFont="1" applyBorder="1" applyProtection="1"/>
    <xf numFmtId="166" fontId="0" fillId="0" borderId="0" xfId="1" applyNumberFormat="1" applyFont="1" applyFill="1" applyBorder="1" applyProtection="1"/>
    <xf numFmtId="183" fontId="0" fillId="0" borderId="0" xfId="1" applyNumberFormat="1" applyFont="1" applyProtection="1"/>
    <xf numFmtId="183" fontId="0" fillId="0" borderId="0" xfId="1" applyNumberFormat="1" applyFont="1"/>
    <xf numFmtId="184" fontId="0" fillId="0" borderId="0" xfId="0" applyNumberFormat="1"/>
    <xf numFmtId="185" fontId="0" fillId="0" borderId="0" xfId="0" applyNumberFormat="1"/>
    <xf numFmtId="185" fontId="0" fillId="0" borderId="0" xfId="1" applyNumberFormat="1" applyFont="1"/>
    <xf numFmtId="178" fontId="0" fillId="0" borderId="0" xfId="0" applyNumberFormat="1"/>
    <xf numFmtId="180" fontId="0" fillId="0" borderId="0" xfId="0" applyNumberFormat="1"/>
    <xf numFmtId="186" fontId="0" fillId="0" borderId="0" xfId="2" applyNumberFormat="1" applyFont="1" applyBorder="1"/>
    <xf numFmtId="181" fontId="0" fillId="0" borderId="0" xfId="0" applyNumberFormat="1"/>
    <xf numFmtId="44" fontId="0" fillId="0" borderId="0" xfId="2" applyNumberFormat="1" applyFont="1" applyFill="1" applyProtection="1"/>
    <xf numFmtId="168" fontId="2" fillId="0" borderId="0" xfId="0" applyNumberFormat="1" applyFont="1"/>
    <xf numFmtId="183" fontId="0" fillId="0" borderId="0" xfId="0" applyNumberFormat="1"/>
    <xf numFmtId="0" fontId="0" fillId="0" borderId="62" xfId="0" applyBorder="1"/>
    <xf numFmtId="166" fontId="0" fillId="0" borderId="62" xfId="1" applyNumberFormat="1" applyFont="1" applyFill="1" applyBorder="1"/>
    <xf numFmtId="166" fontId="0" fillId="0" borderId="63" xfId="1" applyNumberFormat="1" applyFont="1" applyFill="1" applyBorder="1"/>
    <xf numFmtId="0" fontId="0" fillId="0" borderId="64" xfId="0" applyBorder="1"/>
    <xf numFmtId="0" fontId="0" fillId="0" borderId="65" xfId="0" applyBorder="1" applyAlignment="1">
      <alignment horizontal="center"/>
    </xf>
    <xf numFmtId="0" fontId="2" fillId="0" borderId="64" xfId="0" applyFont="1" applyBorder="1" applyAlignment="1">
      <alignment horizontal="center"/>
    </xf>
    <xf numFmtId="0" fontId="2" fillId="0" borderId="65" xfId="0" applyFont="1" applyBorder="1" applyAlignment="1">
      <alignment horizontal="center"/>
    </xf>
    <xf numFmtId="168" fontId="0" fillId="0" borderId="65" xfId="2" applyNumberFormat="1" applyFont="1" applyFill="1" applyBorder="1"/>
    <xf numFmtId="168" fontId="0" fillId="0" borderId="66" xfId="2" applyNumberFormat="1" applyFont="1" applyFill="1" applyBorder="1"/>
    <xf numFmtId="0" fontId="0" fillId="0" borderId="63" xfId="0" applyBorder="1"/>
    <xf numFmtId="0" fontId="0" fillId="0" borderId="65" xfId="0" applyBorder="1"/>
    <xf numFmtId="0" fontId="0" fillId="7" borderId="64" xfId="0" applyFill="1" applyBorder="1"/>
    <xf numFmtId="0" fontId="0" fillId="7" borderId="0" xfId="0" applyFill="1"/>
    <xf numFmtId="0" fontId="0" fillId="7" borderId="0" xfId="0" applyFill="1" applyAlignment="1">
      <alignment horizontal="center"/>
    </xf>
    <xf numFmtId="0" fontId="0" fillId="7" borderId="65" xfId="0" applyFill="1" applyBorder="1" applyAlignment="1">
      <alignment horizontal="center"/>
    </xf>
    <xf numFmtId="0" fontId="2" fillId="7" borderId="64" xfId="0" applyFont="1" applyFill="1" applyBorder="1" applyAlignment="1">
      <alignment horizontal="center"/>
    </xf>
    <xf numFmtId="0" fontId="2" fillId="7" borderId="0" xfId="0" applyFont="1" applyFill="1" applyAlignment="1">
      <alignment horizontal="center"/>
    </xf>
    <xf numFmtId="0" fontId="2" fillId="7" borderId="65" xfId="0" applyFont="1" applyFill="1" applyBorder="1" applyAlignment="1">
      <alignment horizontal="center"/>
    </xf>
    <xf numFmtId="0" fontId="0" fillId="7" borderId="64" xfId="0" applyFill="1" applyBorder="1" applyAlignment="1">
      <alignment wrapText="1"/>
    </xf>
    <xf numFmtId="0" fontId="0" fillId="7" borderId="0" xfId="0" applyFill="1" applyAlignment="1">
      <alignment wrapText="1"/>
    </xf>
    <xf numFmtId="168" fontId="0" fillId="0" borderId="65" xfId="0" applyNumberFormat="1" applyBorder="1"/>
    <xf numFmtId="0" fontId="21" fillId="0" borderId="0" xfId="0" applyFont="1" applyAlignment="1">
      <alignment horizontal="center"/>
    </xf>
    <xf numFmtId="0" fontId="0" fillId="0" borderId="62" xfId="0" applyBorder="1" applyAlignment="1">
      <alignment horizontal="left" wrapText="1"/>
    </xf>
    <xf numFmtId="0" fontId="0" fillId="0" borderId="63" xfId="0" applyBorder="1" applyAlignment="1">
      <alignment horizontal="left" wrapText="1"/>
    </xf>
    <xf numFmtId="0" fontId="0" fillId="0" borderId="65" xfId="0" applyBorder="1" applyAlignment="1">
      <alignment horizontal="left" wrapText="1"/>
    </xf>
    <xf numFmtId="0" fontId="0" fillId="0" borderId="67" xfId="0" applyBorder="1"/>
    <xf numFmtId="0" fontId="0" fillId="0" borderId="68" xfId="0" applyBorder="1"/>
    <xf numFmtId="168" fontId="0" fillId="0" borderId="68" xfId="2" applyNumberFormat="1" applyFont="1" applyFill="1" applyBorder="1"/>
    <xf numFmtId="168" fontId="0" fillId="0" borderId="69" xfId="2" applyNumberFormat="1" applyFont="1" applyFill="1" applyBorder="1"/>
    <xf numFmtId="0" fontId="0" fillId="0" borderId="69" xfId="0" applyBorder="1"/>
    <xf numFmtId="168" fontId="0" fillId="0" borderId="0" xfId="0" applyNumberFormat="1" applyAlignment="1">
      <alignment horizontal="center"/>
    </xf>
    <xf numFmtId="168" fontId="0" fillId="0" borderId="62" xfId="2" applyNumberFormat="1" applyFont="1" applyFill="1" applyBorder="1"/>
    <xf numFmtId="168" fontId="0" fillId="0" borderId="63" xfId="2" applyNumberFormat="1" applyFont="1" applyFill="1" applyBorder="1"/>
    <xf numFmtId="183" fontId="13" fillId="0" borderId="0" xfId="1" applyNumberFormat="1" applyFont="1" applyProtection="1"/>
    <xf numFmtId="0" fontId="13" fillId="8" borderId="0" xfId="0" applyFont="1" applyFill="1"/>
    <xf numFmtId="10" fontId="13" fillId="0" borderId="0" xfId="3" applyNumberFormat="1" applyFont="1" applyFill="1" applyProtection="1"/>
    <xf numFmtId="170" fontId="13" fillId="0" borderId="0" xfId="2" applyNumberFormat="1" applyFont="1" applyProtection="1"/>
    <xf numFmtId="166" fontId="13" fillId="0" borderId="0" xfId="1" applyNumberFormat="1" applyFont="1" applyFill="1" applyProtection="1"/>
    <xf numFmtId="171" fontId="13" fillId="0" borderId="0" xfId="0" applyNumberFormat="1" applyFont="1"/>
    <xf numFmtId="176" fontId="0" fillId="0" borderId="0" xfId="0" applyNumberFormat="1"/>
    <xf numFmtId="167" fontId="13" fillId="0" borderId="0" xfId="2" applyNumberFormat="1" applyFont="1" applyProtection="1"/>
    <xf numFmtId="166" fontId="13" fillId="0" borderId="0" xfId="1" applyNumberFormat="1" applyFont="1" applyProtection="1"/>
    <xf numFmtId="168" fontId="13" fillId="0" borderId="1" xfId="2" applyNumberFormat="1" applyFont="1" applyFill="1" applyBorder="1" applyProtection="1"/>
    <xf numFmtId="168" fontId="13" fillId="0" borderId="1" xfId="2" applyNumberFormat="1" applyFont="1" applyBorder="1" applyProtection="1"/>
    <xf numFmtId="10" fontId="13" fillId="0" borderId="0" xfId="3" applyNumberFormat="1" applyFont="1" applyFill="1"/>
    <xf numFmtId="183" fontId="13" fillId="0" borderId="0" xfId="1" applyNumberFormat="1" applyFont="1"/>
    <xf numFmtId="167" fontId="13" fillId="0" borderId="0" xfId="2" applyNumberFormat="1" applyFont="1"/>
    <xf numFmtId="166" fontId="13" fillId="0" borderId="0" xfId="1" applyNumberFormat="1" applyFont="1"/>
    <xf numFmtId="170" fontId="13" fillId="0" borderId="0" xfId="2" applyNumberFormat="1" applyFont="1"/>
    <xf numFmtId="170" fontId="5" fillId="0" borderId="0" xfId="2" applyNumberFormat="1" applyFont="1"/>
    <xf numFmtId="187" fontId="0" fillId="0" borderId="0" xfId="0" applyNumberFormat="1"/>
    <xf numFmtId="178" fontId="0" fillId="0" borderId="0" xfId="2" applyNumberFormat="1" applyFont="1"/>
    <xf numFmtId="168" fontId="13" fillId="0" borderId="0" xfId="2" applyNumberFormat="1" applyFont="1" applyFill="1"/>
    <xf numFmtId="167" fontId="13" fillId="0" borderId="0" xfId="2" applyNumberFormat="1" applyFont="1" applyBorder="1"/>
    <xf numFmtId="172" fontId="13" fillId="0" borderId="0" xfId="0" applyNumberFormat="1" applyFont="1"/>
    <xf numFmtId="166" fontId="13" fillId="0" borderId="0" xfId="3" applyNumberFormat="1" applyFont="1"/>
    <xf numFmtId="167" fontId="13" fillId="0" borderId="7" xfId="2" applyNumberFormat="1" applyFont="1" applyBorder="1"/>
    <xf numFmtId="172" fontId="13" fillId="0" borderId="7" xfId="0" applyNumberFormat="1" applyFont="1" applyBorder="1"/>
    <xf numFmtId="170" fontId="13" fillId="0" borderId="0" xfId="0" applyNumberFormat="1" applyFont="1"/>
    <xf numFmtId="166" fontId="13" fillId="0" borderId="0" xfId="3" applyNumberFormat="1" applyFont="1" applyBorder="1"/>
    <xf numFmtId="170" fontId="13" fillId="0" borderId="7" xfId="0" applyNumberFormat="1" applyFont="1" applyBorder="1"/>
    <xf numFmtId="168" fontId="13" fillId="0" borderId="1" xfId="2" applyNumberFormat="1" applyFont="1" applyFill="1" applyBorder="1"/>
    <xf numFmtId="168" fontId="13" fillId="0" borderId="1" xfId="2" applyNumberFormat="1" applyFont="1" applyBorder="1"/>
    <xf numFmtId="168" fontId="13" fillId="0" borderId="0" xfId="2" applyNumberFormat="1" applyFont="1" applyBorder="1"/>
    <xf numFmtId="166" fontId="13" fillId="0" borderId="7" xfId="3" applyNumberFormat="1" applyFont="1" applyBorder="1"/>
    <xf numFmtId="168" fontId="13" fillId="0" borderId="7" xfId="2" applyNumberFormat="1" applyFont="1" applyBorder="1"/>
    <xf numFmtId="168" fontId="13" fillId="0" borderId="24" xfId="2" applyNumberFormat="1" applyFont="1" applyBorder="1"/>
    <xf numFmtId="170" fontId="13" fillId="0" borderId="0" xfId="2" applyNumberFormat="1" applyFont="1" applyFill="1" applyProtection="1"/>
    <xf numFmtId="0" fontId="24" fillId="0" borderId="0" xfId="0" applyFont="1"/>
    <xf numFmtId="0" fontId="24" fillId="8" borderId="0" xfId="0" applyFont="1" applyFill="1"/>
    <xf numFmtId="170" fontId="5" fillId="0" borderId="0" xfId="2" applyNumberFormat="1" applyFont="1" applyProtection="1"/>
    <xf numFmtId="166" fontId="5" fillId="0" borderId="1" xfId="0" applyNumberFormat="1" applyFont="1" applyBorder="1"/>
    <xf numFmtId="10" fontId="5" fillId="0" borderId="1" xfId="0" applyNumberFormat="1" applyFont="1" applyBorder="1"/>
    <xf numFmtId="168" fontId="13" fillId="0" borderId="0" xfId="2" applyNumberFormat="1" applyFont="1" applyFill="1" applyProtection="1"/>
    <xf numFmtId="166" fontId="5" fillId="0" borderId="1" xfId="1" applyNumberFormat="1" applyFont="1" applyBorder="1" applyProtection="1"/>
    <xf numFmtId="0" fontId="24" fillId="8" borderId="7" xfId="0" applyFont="1" applyFill="1" applyBorder="1"/>
    <xf numFmtId="167" fontId="13" fillId="0" borderId="20" xfId="2" applyNumberFormat="1" applyFont="1" applyBorder="1"/>
    <xf numFmtId="167" fontId="5" fillId="0" borderId="0" xfId="2" applyNumberFormat="1" applyFont="1" applyBorder="1"/>
    <xf numFmtId="172" fontId="5" fillId="0" borderId="0" xfId="0" applyNumberFormat="1" applyFont="1"/>
    <xf numFmtId="170" fontId="13" fillId="0" borderId="0" xfId="2" applyNumberFormat="1" applyFont="1" applyFill="1"/>
    <xf numFmtId="166" fontId="13" fillId="0" borderId="1" xfId="1" applyNumberFormat="1" applyFont="1" applyBorder="1"/>
    <xf numFmtId="168" fontId="25" fillId="0" borderId="0" xfId="2" applyNumberFormat="1" applyFont="1"/>
    <xf numFmtId="10" fontId="24" fillId="2" borderId="0" xfId="3" applyNumberFormat="1" applyFont="1" applyFill="1"/>
    <xf numFmtId="167" fontId="13" fillId="0" borderId="70" xfId="2" applyNumberFormat="1" applyFont="1" applyBorder="1"/>
    <xf numFmtId="168" fontId="13" fillId="0" borderId="14" xfId="2" applyNumberFormat="1" applyFont="1" applyFill="1" applyBorder="1"/>
    <xf numFmtId="168" fontId="13" fillId="0" borderId="14" xfId="2" applyNumberFormat="1" applyFont="1" applyBorder="1"/>
    <xf numFmtId="167" fontId="13" fillId="0" borderId="47" xfId="0" applyNumberFormat="1" applyFont="1" applyBorder="1"/>
    <xf numFmtId="166" fontId="13" fillId="0" borderId="47" xfId="0" applyNumberFormat="1" applyFont="1" applyBorder="1"/>
    <xf numFmtId="166" fontId="13" fillId="4" borderId="53" xfId="0" applyNumberFormat="1" applyFont="1" applyFill="1" applyBorder="1"/>
    <xf numFmtId="166" fontId="13" fillId="0" borderId="50" xfId="1" applyNumberFormat="1" applyFont="1" applyBorder="1"/>
    <xf numFmtId="166" fontId="13" fillId="0" borderId="51" xfId="0" applyNumberFormat="1" applyFont="1" applyBorder="1"/>
    <xf numFmtId="166" fontId="13" fillId="0" borderId="52" xfId="0" applyNumberFormat="1" applyFont="1" applyBorder="1"/>
    <xf numFmtId="166" fontId="13" fillId="4" borderId="39" xfId="0" applyNumberFormat="1" applyFont="1" applyFill="1" applyBorder="1" applyAlignment="1">
      <alignment wrapText="1"/>
    </xf>
    <xf numFmtId="167" fontId="13" fillId="0" borderId="28" xfId="2" applyNumberFormat="1" applyFont="1" applyFill="1" applyBorder="1" applyAlignment="1">
      <alignment wrapText="1"/>
    </xf>
    <xf numFmtId="168" fontId="13" fillId="0" borderId="58" xfId="0" applyNumberFormat="1" applyFont="1" applyBorder="1" applyAlignment="1">
      <alignment wrapText="1"/>
    </xf>
    <xf numFmtId="168" fontId="13" fillId="0" borderId="65" xfId="2" applyNumberFormat="1" applyFont="1" applyFill="1" applyBorder="1"/>
    <xf numFmtId="168" fontId="13" fillId="6" borderId="0" xfId="2" applyNumberFormat="1" applyFont="1" applyFill="1"/>
    <xf numFmtId="168" fontId="13" fillId="6" borderId="1" xfId="2" applyNumberFormat="1" applyFont="1" applyFill="1" applyBorder="1"/>
    <xf numFmtId="168" fontId="25" fillId="0" borderId="66" xfId="2" applyNumberFormat="1" applyFont="1" applyFill="1" applyBorder="1"/>
    <xf numFmtId="168" fontId="13" fillId="0" borderId="0" xfId="2" applyNumberFormat="1" applyFont="1" applyFill="1" applyBorder="1"/>
    <xf numFmtId="168" fontId="25" fillId="6" borderId="1" xfId="2" applyNumberFormat="1" applyFont="1" applyFill="1" applyBorder="1"/>
    <xf numFmtId="169" fontId="13" fillId="0" borderId="0" xfId="0" applyNumberFormat="1" applyFont="1"/>
    <xf numFmtId="169" fontId="13" fillId="0" borderId="65" xfId="0" applyNumberFormat="1" applyFont="1" applyBorder="1"/>
    <xf numFmtId="168" fontId="13" fillId="0" borderId="66" xfId="2" applyNumberFormat="1" applyFont="1" applyFill="1" applyBorder="1"/>
    <xf numFmtId="0" fontId="13" fillId="0" borderId="65" xfId="0" applyFont="1" applyBorder="1"/>
    <xf numFmtId="168" fontId="13" fillId="6" borderId="0" xfId="0" applyNumberFormat="1" applyFont="1" applyFill="1"/>
    <xf numFmtId="168" fontId="13" fillId="7" borderId="0" xfId="0" applyNumberFormat="1" applyFont="1" applyFill="1"/>
    <xf numFmtId="168" fontId="13" fillId="7" borderId="65" xfId="0" applyNumberFormat="1" applyFont="1" applyFill="1" applyBorder="1"/>
    <xf numFmtId="168" fontId="25" fillId="7" borderId="1" xfId="2" applyNumberFormat="1" applyFont="1" applyFill="1" applyBorder="1"/>
    <xf numFmtId="168" fontId="13" fillId="0" borderId="0" xfId="0" applyNumberFormat="1" applyFont="1"/>
    <xf numFmtId="168" fontId="13" fillId="0" borderId="11" xfId="2" applyNumberFormat="1" applyFont="1" applyBorder="1"/>
    <xf numFmtId="168" fontId="13" fillId="0" borderId="29" xfId="2" applyNumberFormat="1" applyFont="1" applyBorder="1"/>
    <xf numFmtId="168" fontId="26" fillId="0" borderId="0" xfId="2" applyNumberFormat="1" applyFont="1"/>
    <xf numFmtId="168" fontId="26" fillId="0" borderId="11" xfId="2" applyNumberFormat="1" applyFont="1" applyBorder="1"/>
    <xf numFmtId="168" fontId="13" fillId="0" borderId="10" xfId="2" applyNumberFormat="1" applyFont="1" applyBorder="1"/>
    <xf numFmtId="168" fontId="25" fillId="0" borderId="11" xfId="2" applyNumberFormat="1" applyFont="1" applyBorder="1"/>
    <xf numFmtId="167" fontId="5" fillId="0" borderId="0" xfId="2" applyNumberFormat="1" applyFont="1" applyFill="1" applyProtection="1"/>
    <xf numFmtId="167" fontId="5" fillId="0" borderId="0" xfId="2" applyNumberFormat="1" applyFont="1" applyProtection="1"/>
    <xf numFmtId="168" fontId="13" fillId="0" borderId="24" xfId="0" applyNumberFormat="1" applyFont="1" applyBorder="1"/>
    <xf numFmtId="166" fontId="5" fillId="0" borderId="24" xfId="0" applyNumberFormat="1" applyFont="1" applyBorder="1"/>
    <xf numFmtId="168" fontId="5" fillId="0" borderId="24" xfId="2" applyNumberFormat="1" applyFont="1" applyBorder="1"/>
    <xf numFmtId="168" fontId="5" fillId="0" borderId="1" xfId="2" applyNumberFormat="1" applyFont="1" applyFill="1" applyBorder="1"/>
    <xf numFmtId="168" fontId="5" fillId="0" borderId="1" xfId="2" applyNumberFormat="1" applyFont="1" applyBorder="1"/>
    <xf numFmtId="168" fontId="5" fillId="0" borderId="65" xfId="2" applyNumberFormat="1" applyFont="1" applyFill="1" applyBorder="1"/>
    <xf numFmtId="168" fontId="5" fillId="6" borderId="0" xfId="2" applyNumberFormat="1" applyFont="1" applyFill="1"/>
    <xf numFmtId="168" fontId="5" fillId="0" borderId="0" xfId="2" applyNumberFormat="1" applyFont="1" applyFill="1" applyBorder="1"/>
    <xf numFmtId="0" fontId="28" fillId="0" borderId="62" xfId="0" applyFont="1" applyBorder="1"/>
    <xf numFmtId="0" fontId="29" fillId="6" borderId="0" xfId="0" applyFont="1" applyFill="1"/>
    <xf numFmtId="0" fontId="29" fillId="0" borderId="0" xfId="0" applyFont="1"/>
    <xf numFmtId="0" fontId="31" fillId="0" borderId="0" xfId="0" applyFont="1"/>
    <xf numFmtId="0" fontId="32" fillId="0" borderId="0" xfId="0" applyFont="1"/>
    <xf numFmtId="0" fontId="31" fillId="0" borderId="61" xfId="0" quotePrefix="1" applyFont="1" applyBorder="1"/>
    <xf numFmtId="0" fontId="31" fillId="6" borderId="0" xfId="0" quotePrefix="1" applyFont="1" applyFill="1"/>
    <xf numFmtId="0" fontId="31" fillId="0" borderId="61" xfId="0" quotePrefix="1" applyFont="1" applyBorder="1" applyAlignment="1">
      <alignment vertical="top"/>
    </xf>
    <xf numFmtId="168" fontId="25" fillId="7" borderId="66" xfId="0" applyNumberFormat="1" applyFont="1" applyFill="1" applyBorder="1"/>
    <xf numFmtId="0" fontId="36" fillId="0" borderId="71" xfId="0" applyFont="1" applyBorder="1" applyAlignment="1">
      <alignment horizontal="center" vertical="top"/>
    </xf>
    <xf numFmtId="0" fontId="36" fillId="0" borderId="73" xfId="0" applyFont="1" applyBorder="1" applyAlignment="1">
      <alignment horizontal="center" vertical="top"/>
    </xf>
    <xf numFmtId="0" fontId="36" fillId="0" borderId="75" xfId="0" applyFont="1" applyBorder="1" applyAlignment="1">
      <alignment horizontal="center" vertical="top"/>
    </xf>
    <xf numFmtId="0" fontId="36" fillId="0" borderId="75" xfId="4" applyFont="1" applyBorder="1" applyAlignment="1">
      <alignment horizontal="left" vertical="top" wrapText="1"/>
    </xf>
    <xf numFmtId="0" fontId="36" fillId="0" borderId="73" xfId="4" applyFont="1" applyBorder="1" applyAlignment="1">
      <alignment horizontal="left" vertical="top" wrapText="1"/>
    </xf>
    <xf numFmtId="0" fontId="36" fillId="0" borderId="71" xfId="4" applyFont="1" applyBorder="1" applyAlignment="1">
      <alignment horizontal="left" vertical="top" wrapText="1"/>
    </xf>
    <xf numFmtId="0" fontId="38" fillId="0" borderId="72" xfId="0" applyFont="1" applyBorder="1" applyAlignment="1">
      <alignment horizontal="left" vertical="top" indent="1"/>
    </xf>
    <xf numFmtId="0" fontId="39" fillId="0" borderId="72" xfId="0" applyFont="1" applyBorder="1" applyAlignment="1">
      <alignment horizontal="left" vertical="top" indent="1"/>
    </xf>
    <xf numFmtId="0" fontId="40" fillId="0" borderId="72" xfId="0" applyFont="1" applyBorder="1" applyAlignment="1">
      <alignment horizontal="left" vertical="top" indent="1"/>
    </xf>
    <xf numFmtId="0" fontId="41" fillId="0" borderId="74" xfId="0" applyFont="1" applyBorder="1" applyAlignment="1">
      <alignment horizontal="left" vertical="top" indent="1"/>
    </xf>
    <xf numFmtId="166" fontId="0" fillId="11" borderId="8" xfId="1" applyNumberFormat="1" applyFont="1" applyFill="1" applyBorder="1"/>
    <xf numFmtId="166" fontId="0" fillId="11" borderId="0" xfId="1" applyNumberFormat="1" applyFont="1" applyFill="1" applyProtection="1"/>
    <xf numFmtId="178" fontId="0" fillId="0" borderId="0" xfId="2" applyNumberFormat="1" applyFont="1" applyFill="1"/>
    <xf numFmtId="178" fontId="2" fillId="0" borderId="0" xfId="2" applyNumberFormat="1" applyFont="1" applyFill="1" applyAlignment="1">
      <alignment horizontal="center"/>
    </xf>
    <xf numFmtId="178" fontId="0" fillId="11" borderId="0" xfId="2" applyNumberFormat="1" applyFont="1" applyFill="1"/>
    <xf numFmtId="166" fontId="0" fillId="11" borderId="0" xfId="1" applyNumberFormat="1" applyFont="1" applyFill="1"/>
    <xf numFmtId="168" fontId="0" fillId="11" borderId="0" xfId="2" applyNumberFormat="1" applyFont="1" applyFill="1"/>
    <xf numFmtId="166" fontId="0" fillId="11" borderId="4" xfId="1" applyNumberFormat="1" applyFont="1" applyFill="1" applyBorder="1"/>
    <xf numFmtId="168" fontId="0" fillId="11" borderId="4" xfId="2" applyNumberFormat="1" applyFont="1" applyFill="1" applyBorder="1"/>
    <xf numFmtId="167" fontId="5" fillId="0" borderId="0" xfId="2" applyNumberFormat="1" applyFont="1" applyFill="1"/>
    <xf numFmtId="166" fontId="5" fillId="0" borderId="0" xfId="0" applyNumberFormat="1" applyFont="1"/>
    <xf numFmtId="168" fontId="5" fillId="11" borderId="0" xfId="2" applyNumberFormat="1" applyFont="1" applyFill="1"/>
    <xf numFmtId="168" fontId="5" fillId="11" borderId="1" xfId="2" applyNumberFormat="1" applyFont="1" applyFill="1" applyBorder="1" applyProtection="1"/>
    <xf numFmtId="167" fontId="0" fillId="11" borderId="0" xfId="0" applyNumberFormat="1" applyFill="1"/>
    <xf numFmtId="166" fontId="0" fillId="0" borderId="5" xfId="0" applyNumberFormat="1" applyBorder="1"/>
    <xf numFmtId="166" fontId="0" fillId="0" borderId="18" xfId="0" applyNumberFormat="1" applyBorder="1"/>
    <xf numFmtId="166" fontId="0" fillId="11" borderId="17" xfId="0" applyNumberFormat="1" applyFill="1" applyBorder="1"/>
    <xf numFmtId="166" fontId="0" fillId="11" borderId="18" xfId="0" applyNumberFormat="1" applyFill="1" applyBorder="1"/>
    <xf numFmtId="166" fontId="5" fillId="11" borderId="52" xfId="0" applyNumberFormat="1" applyFont="1" applyFill="1" applyBorder="1"/>
    <xf numFmtId="166" fontId="5" fillId="11" borderId="53" xfId="0" applyNumberFormat="1" applyFont="1" applyFill="1" applyBorder="1"/>
    <xf numFmtId="166" fontId="0" fillId="0" borderId="3" xfId="0" applyNumberFormat="1" applyBorder="1"/>
    <xf numFmtId="166" fontId="0" fillId="0" borderId="30" xfId="0" applyNumberFormat="1" applyBorder="1"/>
    <xf numFmtId="166" fontId="0" fillId="11" borderId="26" xfId="0" applyNumberFormat="1" applyFill="1" applyBorder="1"/>
    <xf numFmtId="166" fontId="0" fillId="11" borderId="76" xfId="0" applyNumberFormat="1" applyFill="1" applyBorder="1"/>
    <xf numFmtId="166" fontId="0" fillId="0" borderId="46" xfId="1" applyNumberFormat="1" applyFont="1" applyBorder="1" applyAlignment="1">
      <alignment wrapText="1"/>
    </xf>
    <xf numFmtId="167" fontId="0" fillId="0" borderId="13" xfId="2" applyNumberFormat="1" applyFont="1" applyBorder="1" applyAlignment="1">
      <alignment wrapText="1"/>
    </xf>
    <xf numFmtId="166" fontId="5" fillId="11" borderId="40" xfId="0" applyNumberFormat="1" applyFont="1" applyFill="1" applyBorder="1"/>
    <xf numFmtId="167" fontId="0" fillId="0" borderId="0" xfId="2" applyNumberFormat="1" applyFont="1" applyFill="1" applyBorder="1" applyAlignment="1">
      <alignment wrapText="1"/>
    </xf>
    <xf numFmtId="168" fontId="0" fillId="11" borderId="38" xfId="0" applyNumberFormat="1" applyFill="1" applyBorder="1" applyAlignment="1">
      <alignment wrapText="1"/>
    </xf>
    <xf numFmtId="166" fontId="0" fillId="11" borderId="40" xfId="0" applyNumberFormat="1" applyFill="1" applyBorder="1"/>
    <xf numFmtId="168" fontId="0" fillId="11" borderId="0" xfId="2" applyNumberFormat="1" applyFont="1" applyFill="1" applyBorder="1"/>
    <xf numFmtId="168" fontId="5" fillId="11" borderId="65" xfId="2" applyNumberFormat="1" applyFont="1" applyFill="1" applyBorder="1"/>
    <xf numFmtId="168" fontId="5" fillId="11" borderId="0" xfId="2" applyNumberFormat="1" applyFont="1" applyFill="1" applyBorder="1"/>
    <xf numFmtId="168" fontId="0" fillId="11" borderId="65" xfId="2" applyNumberFormat="1" applyFont="1" applyFill="1" applyBorder="1"/>
    <xf numFmtId="168" fontId="0" fillId="11" borderId="11" xfId="2" applyNumberFormat="1" applyFont="1" applyFill="1" applyBorder="1"/>
    <xf numFmtId="168" fontId="0" fillId="11" borderId="0" xfId="2" applyNumberFormat="1" applyFont="1" applyFill="1" applyProtection="1"/>
    <xf numFmtId="166" fontId="0" fillId="0" borderId="0" xfId="0" applyNumberFormat="1" applyAlignment="1">
      <alignment horizontal="right"/>
    </xf>
    <xf numFmtId="168" fontId="0" fillId="11" borderId="0" xfId="2" applyNumberFormat="1" applyFont="1" applyFill="1" applyBorder="1" applyProtection="1"/>
    <xf numFmtId="0" fontId="0" fillId="10" borderId="0" xfId="0" applyFill="1" applyAlignment="1">
      <alignment horizontal="center"/>
    </xf>
    <xf numFmtId="0" fontId="5" fillId="10" borderId="0" xfId="0" applyFont="1" applyFill="1" applyAlignment="1">
      <alignment horizontal="center"/>
    </xf>
    <xf numFmtId="0" fontId="12" fillId="10" borderId="0" xfId="0" applyFont="1" applyFill="1" applyAlignment="1">
      <alignment horizontal="center"/>
    </xf>
    <xf numFmtId="168" fontId="0" fillId="11" borderId="0" xfId="0" applyNumberFormat="1" applyFill="1" applyAlignment="1">
      <alignment horizontal="center"/>
    </xf>
    <xf numFmtId="0" fontId="24" fillId="10" borderId="0" xfId="0" applyFont="1" applyFill="1" applyAlignment="1">
      <alignment horizontal="center"/>
    </xf>
    <xf numFmtId="0" fontId="14" fillId="10" borderId="0" xfId="0" applyFont="1" applyFill="1" applyAlignment="1">
      <alignment horizontal="center"/>
    </xf>
    <xf numFmtId="168" fontId="42" fillId="0" borderId="0" xfId="0" applyNumberFormat="1" applyFont="1"/>
    <xf numFmtId="0" fontId="43" fillId="0" borderId="0" xfId="0" applyFont="1"/>
    <xf numFmtId="0" fontId="43" fillId="0" borderId="0" xfId="0" applyFont="1" applyAlignment="1">
      <alignment horizontal="center"/>
    </xf>
    <xf numFmtId="168" fontId="43" fillId="0" borderId="0" xfId="2" applyNumberFormat="1" applyFont="1"/>
    <xf numFmtId="168" fontId="43" fillId="0" borderId="0" xfId="0" applyNumberFormat="1" applyFont="1"/>
    <xf numFmtId="168" fontId="42" fillId="0" borderId="4" xfId="0" applyNumberFormat="1" applyFont="1" applyBorder="1"/>
    <xf numFmtId="166" fontId="0" fillId="0" borderId="25" xfId="0" applyNumberFormat="1" applyBorder="1"/>
    <xf numFmtId="0" fontId="44" fillId="0" borderId="0" xfId="0" applyFont="1"/>
    <xf numFmtId="0" fontId="45" fillId="11" borderId="73" xfId="4" applyFont="1" applyFill="1" applyBorder="1" applyAlignment="1">
      <alignment horizontal="left" vertical="top" wrapText="1"/>
    </xf>
    <xf numFmtId="0" fontId="46" fillId="0" borderId="0" xfId="0" applyFont="1"/>
    <xf numFmtId="168" fontId="0" fillId="11" borderId="0" xfId="2" applyNumberFormat="1" applyFont="1" applyFill="1" applyBorder="1" applyAlignment="1">
      <alignment wrapText="1"/>
    </xf>
    <xf numFmtId="0" fontId="5" fillId="11" borderId="0" xfId="0" applyFont="1" applyFill="1"/>
    <xf numFmtId="0" fontId="5" fillId="11" borderId="0" xfId="0" applyFont="1" applyFill="1" applyAlignment="1">
      <alignment horizontal="right"/>
    </xf>
    <xf numFmtId="0" fontId="2" fillId="11" borderId="0" xfId="0" applyFont="1" applyFill="1" applyAlignment="1">
      <alignment horizontal="center"/>
    </xf>
    <xf numFmtId="0" fontId="7" fillId="11" borderId="0" xfId="0" applyFont="1" applyFill="1" applyAlignment="1">
      <alignment horizontal="center"/>
    </xf>
    <xf numFmtId="168" fontId="16" fillId="0" borderId="0" xfId="0" applyNumberFormat="1" applyFont="1"/>
    <xf numFmtId="167" fontId="13" fillId="0" borderId="0" xfId="2" applyNumberFormat="1" applyFont="1" applyBorder="1" applyProtection="1"/>
    <xf numFmtId="167" fontId="0" fillId="0" borderId="0" xfId="2" applyNumberFormat="1" applyFont="1" applyBorder="1" applyProtection="1"/>
    <xf numFmtId="167" fontId="13" fillId="0" borderId="0" xfId="0" applyNumberFormat="1" applyFont="1"/>
    <xf numFmtId="0" fontId="16" fillId="0" borderId="0" xfId="0" applyFont="1" applyAlignment="1">
      <alignment horizontal="center"/>
    </xf>
    <xf numFmtId="166" fontId="13" fillId="2" borderId="0" xfId="1" applyNumberFormat="1" applyFont="1" applyFill="1" applyProtection="1"/>
    <xf numFmtId="166" fontId="13" fillId="11" borderId="0" xfId="1" applyNumberFormat="1" applyFont="1" applyFill="1" applyProtection="1"/>
    <xf numFmtId="166" fontId="13" fillId="0" borderId="8" xfId="1" applyNumberFormat="1" applyFont="1" applyFill="1" applyBorder="1" applyProtection="1"/>
    <xf numFmtId="166" fontId="13" fillId="0" borderId="0" xfId="0" applyNumberFormat="1" applyFont="1"/>
    <xf numFmtId="0" fontId="13" fillId="0" borderId="0" xfId="0" applyFont="1" applyAlignment="1">
      <alignment horizontal="center" wrapText="1"/>
    </xf>
    <xf numFmtId="188" fontId="5" fillId="11" borderId="0" xfId="3" applyNumberFormat="1" applyFont="1" applyFill="1"/>
    <xf numFmtId="168" fontId="47" fillId="0" borderId="0" xfId="2" applyNumberFormat="1" applyFont="1" applyBorder="1" applyProtection="1"/>
    <xf numFmtId="166" fontId="16" fillId="0" borderId="0" xfId="1" applyNumberFormat="1" applyFont="1" applyBorder="1" applyAlignment="1" applyProtection="1">
      <alignment horizontal="center"/>
    </xf>
    <xf numFmtId="167" fontId="13" fillId="0" borderId="8" xfId="0" applyNumberFormat="1" applyFont="1" applyBorder="1"/>
    <xf numFmtId="166" fontId="13" fillId="0" borderId="8" xfId="1" applyNumberFormat="1" applyFont="1" applyBorder="1" applyProtection="1"/>
    <xf numFmtId="168" fontId="13" fillId="0" borderId="1" xfId="0" applyNumberFormat="1" applyFont="1" applyBorder="1"/>
    <xf numFmtId="167" fontId="5" fillId="11" borderId="0" xfId="0" applyNumberFormat="1" applyFont="1" applyFill="1"/>
    <xf numFmtId="166" fontId="5" fillId="11" borderId="0" xfId="1" applyNumberFormat="1" applyFont="1" applyFill="1" applyProtection="1"/>
    <xf numFmtId="181" fontId="5" fillId="11" borderId="0" xfId="2" applyNumberFormat="1" applyFont="1" applyFill="1" applyProtection="1"/>
    <xf numFmtId="168" fontId="5" fillId="11" borderId="0" xfId="2" applyNumberFormat="1" applyFont="1" applyFill="1" applyProtection="1"/>
    <xf numFmtId="167" fontId="0" fillId="11" borderId="4" xfId="2" applyNumberFormat="1" applyFont="1" applyFill="1" applyBorder="1"/>
    <xf numFmtId="167" fontId="5" fillId="11" borderId="4" xfId="2" applyNumberFormat="1" applyFont="1" applyFill="1" applyBorder="1"/>
    <xf numFmtId="167" fontId="0" fillId="11" borderId="0" xfId="2" applyNumberFormat="1" applyFont="1" applyFill="1" applyBorder="1"/>
    <xf numFmtId="167" fontId="0" fillId="11" borderId="7" xfId="2" applyNumberFormat="1" applyFont="1" applyFill="1" applyBorder="1"/>
    <xf numFmtId="166" fontId="0" fillId="11" borderId="0" xfId="3" applyNumberFormat="1" applyFont="1" applyFill="1"/>
    <xf numFmtId="166" fontId="5" fillId="11" borderId="0" xfId="3" applyNumberFormat="1" applyFont="1" applyFill="1"/>
    <xf numFmtId="166" fontId="13" fillId="0" borderId="1" xfId="0" applyNumberFormat="1" applyFont="1" applyBorder="1"/>
    <xf numFmtId="166" fontId="5" fillId="11" borderId="7" xfId="3" applyNumberFormat="1" applyFont="1" applyFill="1" applyBorder="1"/>
    <xf numFmtId="168" fontId="16" fillId="0" borderId="0" xfId="0" applyNumberFormat="1" applyFont="1" applyAlignment="1">
      <alignment wrapText="1"/>
    </xf>
    <xf numFmtId="168" fontId="5" fillId="11" borderId="11" xfId="2" applyNumberFormat="1" applyFont="1" applyFill="1" applyBorder="1"/>
    <xf numFmtId="167" fontId="5" fillId="11" borderId="2" xfId="0" applyNumberFormat="1" applyFont="1" applyFill="1" applyBorder="1"/>
    <xf numFmtId="167" fontId="5" fillId="11" borderId="31" xfId="0" applyNumberFormat="1" applyFont="1" applyFill="1" applyBorder="1"/>
    <xf numFmtId="167" fontId="5" fillId="11" borderId="0" xfId="2" applyNumberFormat="1" applyFont="1" applyFill="1" applyBorder="1"/>
    <xf numFmtId="167" fontId="5" fillId="11" borderId="7" xfId="2" applyNumberFormat="1" applyFont="1" applyFill="1" applyBorder="1"/>
    <xf numFmtId="166" fontId="13" fillId="0" borderId="0" xfId="0" applyNumberFormat="1" applyFont="1" applyAlignment="1">
      <alignment wrapText="1"/>
    </xf>
    <xf numFmtId="166" fontId="0" fillId="11" borderId="4" xfId="0" applyNumberFormat="1" applyFill="1" applyBorder="1"/>
    <xf numFmtId="165" fontId="13" fillId="0" borderId="0" xfId="0" applyNumberFormat="1" applyFont="1"/>
    <xf numFmtId="165" fontId="0" fillId="0" borderId="0" xfId="1" applyFont="1" applyAlignment="1">
      <alignment horizontal="center"/>
    </xf>
    <xf numFmtId="189" fontId="0" fillId="0" borderId="0" xfId="1" applyNumberFormat="1" applyFont="1"/>
    <xf numFmtId="168" fontId="0" fillId="12" borderId="0" xfId="0" applyNumberFormat="1" applyFill="1"/>
    <xf numFmtId="178" fontId="0" fillId="0" borderId="4" xfId="2" applyNumberFormat="1" applyFont="1" applyBorder="1"/>
    <xf numFmtId="178" fontId="13" fillId="0" borderId="0" xfId="2" applyNumberFormat="1" applyFont="1" applyBorder="1"/>
    <xf numFmtId="178" fontId="13" fillId="0" borderId="7" xfId="2" applyNumberFormat="1" applyFont="1" applyBorder="1"/>
    <xf numFmtId="10" fontId="5" fillId="11" borderId="0" xfId="3" applyNumberFormat="1" applyFont="1" applyFill="1"/>
    <xf numFmtId="178" fontId="0" fillId="0" borderId="0" xfId="2" applyNumberFormat="1" applyFont="1" applyFill="1" applyBorder="1" applyProtection="1"/>
    <xf numFmtId="168" fontId="5" fillId="12" borderId="0" xfId="2" applyNumberFormat="1" applyFont="1" applyFill="1"/>
    <xf numFmtId="168" fontId="0" fillId="12" borderId="0" xfId="2" applyNumberFormat="1" applyFont="1" applyFill="1" applyProtection="1"/>
    <xf numFmtId="0" fontId="0" fillId="12" borderId="0" xfId="0" applyFill="1"/>
    <xf numFmtId="0" fontId="45" fillId="12" borderId="73" xfId="4" applyFont="1" applyFill="1" applyBorder="1" applyAlignment="1">
      <alignment horizontal="left" vertical="top" wrapText="1"/>
    </xf>
    <xf numFmtId="166" fontId="0" fillId="12" borderId="0" xfId="1" applyNumberFormat="1" applyFont="1" applyFill="1" applyProtection="1"/>
    <xf numFmtId="10" fontId="0" fillId="12" borderId="0" xfId="3" applyNumberFormat="1" applyFont="1" applyFill="1" applyProtection="1"/>
    <xf numFmtId="10" fontId="24" fillId="12" borderId="0" xfId="3" applyNumberFormat="1" applyFont="1" applyFill="1" applyProtection="1"/>
    <xf numFmtId="170" fontId="0" fillId="12" borderId="0" xfId="2" applyNumberFormat="1" applyFont="1" applyFill="1" applyProtection="1"/>
    <xf numFmtId="170" fontId="5" fillId="12" borderId="0" xfId="2" applyNumberFormat="1" applyFont="1" applyFill="1" applyProtection="1"/>
    <xf numFmtId="170" fontId="24" fillId="12" borderId="0" xfId="2" applyNumberFormat="1" applyFont="1" applyFill="1" applyProtection="1"/>
    <xf numFmtId="178" fontId="0" fillId="12" borderId="0" xfId="2" applyNumberFormat="1" applyFont="1" applyFill="1"/>
    <xf numFmtId="0" fontId="13" fillId="12" borderId="0" xfId="0" applyFont="1" applyFill="1"/>
    <xf numFmtId="168" fontId="1" fillId="12" borderId="0" xfId="2" applyNumberFormat="1" applyFont="1" applyFill="1" applyBorder="1" applyAlignment="1" applyProtection="1">
      <alignment horizontal="center"/>
    </xf>
    <xf numFmtId="181" fontId="0" fillId="12" borderId="0" xfId="2" applyNumberFormat="1" applyFont="1" applyFill="1" applyProtection="1"/>
    <xf numFmtId="188" fontId="0" fillId="0" borderId="0" xfId="3" applyNumberFormat="1" applyFont="1"/>
    <xf numFmtId="0" fontId="2" fillId="12" borderId="0" xfId="0" applyFont="1" applyFill="1"/>
    <xf numFmtId="0" fontId="3" fillId="9" borderId="46" xfId="0" applyFont="1" applyFill="1" applyBorder="1" applyAlignment="1">
      <alignment horizontal="center"/>
    </xf>
    <xf numFmtId="0" fontId="3" fillId="9" borderId="38" xfId="0" applyFont="1" applyFill="1" applyBorder="1" applyAlignment="1">
      <alignment horizontal="center"/>
    </xf>
    <xf numFmtId="0" fontId="0" fillId="0" borderId="0" xfId="0" applyAlignment="1">
      <alignment horizontal="left" wrapText="1"/>
    </xf>
    <xf numFmtId="0" fontId="0" fillId="0" borderId="0" xfId="0" applyAlignment="1">
      <alignment horizontal="left" vertical="center" wrapText="1"/>
    </xf>
    <xf numFmtId="0" fontId="5"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center"/>
    </xf>
    <xf numFmtId="0" fontId="0" fillId="0" borderId="0" xfId="0" applyAlignment="1">
      <alignment horizontal="center"/>
    </xf>
    <xf numFmtId="0" fontId="20" fillId="0" borderId="0" xfId="0" applyFont="1" applyAlignment="1">
      <alignment horizontal="center"/>
    </xf>
    <xf numFmtId="0" fontId="11" fillId="3" borderId="35" xfId="0" applyFont="1" applyFill="1" applyBorder="1" applyAlignment="1">
      <alignment horizontal="center"/>
    </xf>
    <xf numFmtId="0" fontId="11" fillId="3" borderId="13" xfId="0" applyFont="1" applyFill="1" applyBorder="1" applyAlignment="1">
      <alignment horizontal="center"/>
    </xf>
    <xf numFmtId="0" fontId="11" fillId="3" borderId="38" xfId="0" applyFont="1" applyFill="1" applyBorder="1" applyAlignment="1">
      <alignment horizontal="center"/>
    </xf>
    <xf numFmtId="0" fontId="11" fillId="3" borderId="3" xfId="0" applyFont="1" applyFill="1" applyBorder="1" applyAlignment="1">
      <alignment horizontal="center"/>
    </xf>
    <xf numFmtId="0" fontId="11" fillId="3" borderId="30" xfId="0" applyFont="1" applyFill="1" applyBorder="1" applyAlignment="1">
      <alignment horizontal="center"/>
    </xf>
    <xf numFmtId="0" fontId="2" fillId="0" borderId="35" xfId="0" applyFont="1" applyBorder="1" applyAlignment="1">
      <alignment horizontal="center" wrapText="1"/>
    </xf>
    <xf numFmtId="0" fontId="2" fillId="0" borderId="37" xfId="0" applyFont="1" applyBorder="1" applyAlignment="1">
      <alignment horizontal="center" wrapText="1"/>
    </xf>
    <xf numFmtId="0" fontId="2" fillId="0" borderId="13" xfId="0" applyFont="1" applyBorder="1" applyAlignment="1">
      <alignment horizontal="center" wrapText="1"/>
    </xf>
    <xf numFmtId="0" fontId="11" fillId="3" borderId="16" xfId="0" applyFont="1" applyFill="1" applyBorder="1" applyAlignment="1">
      <alignment horizontal="center"/>
    </xf>
    <xf numFmtId="0" fontId="11" fillId="3" borderId="17" xfId="0" applyFont="1" applyFill="1" applyBorder="1" applyAlignment="1">
      <alignment horizontal="center"/>
    </xf>
    <xf numFmtId="0" fontId="11" fillId="3" borderId="16" xfId="0" applyFont="1" applyFill="1" applyBorder="1" applyAlignment="1">
      <alignment horizontal="center" wrapText="1"/>
    </xf>
    <xf numFmtId="0" fontId="11" fillId="3" borderId="17" xfId="0" applyFont="1" applyFill="1" applyBorder="1" applyAlignment="1">
      <alignment horizontal="center" wrapText="1"/>
    </xf>
    <xf numFmtId="0" fontId="2" fillId="3" borderId="23" xfId="0" applyFont="1" applyFill="1" applyBorder="1" applyAlignment="1">
      <alignment horizontal="center"/>
    </xf>
    <xf numFmtId="0" fontId="2" fillId="3" borderId="20" xfId="0" applyFont="1" applyFill="1" applyBorder="1" applyAlignment="1">
      <alignment horizontal="center"/>
    </xf>
    <xf numFmtId="0" fontId="2" fillId="3" borderId="21" xfId="0" applyFont="1" applyFill="1" applyBorder="1" applyAlignment="1">
      <alignment horizontal="center"/>
    </xf>
    <xf numFmtId="0" fontId="2" fillId="0" borderId="46" xfId="0" applyFont="1" applyBorder="1" applyAlignment="1">
      <alignment horizontal="center"/>
    </xf>
    <xf numFmtId="0" fontId="2" fillId="0" borderId="13" xfId="0" applyFont="1" applyBorder="1" applyAlignment="1">
      <alignment horizontal="center"/>
    </xf>
    <xf numFmtId="0" fontId="2" fillId="0" borderId="37" xfId="0" applyFont="1" applyBorder="1" applyAlignment="1">
      <alignment horizontal="center"/>
    </xf>
    <xf numFmtId="0" fontId="0" fillId="0" borderId="16" xfId="0" applyBorder="1" applyAlignment="1">
      <alignment horizontal="center"/>
    </xf>
    <xf numFmtId="0" fontId="0" fillId="0" borderId="8" xfId="0" applyBorder="1" applyAlignment="1">
      <alignment horizontal="center"/>
    </xf>
    <xf numFmtId="0" fontId="0" fillId="0" borderId="17" xfId="0" applyBorder="1" applyAlignment="1">
      <alignment horizontal="center"/>
    </xf>
    <xf numFmtId="0" fontId="2" fillId="0" borderId="5" xfId="0" applyFont="1" applyBorder="1" applyAlignment="1">
      <alignment horizontal="center" wrapText="1"/>
    </xf>
    <xf numFmtId="0" fontId="2" fillId="0" borderId="0" xfId="0" applyFont="1" applyAlignment="1">
      <alignment horizontal="center" wrapText="1"/>
    </xf>
    <xf numFmtId="0" fontId="11" fillId="3" borderId="46" xfId="0" applyFont="1" applyFill="1" applyBorder="1" applyAlignment="1">
      <alignment horizontal="center"/>
    </xf>
    <xf numFmtId="168" fontId="0" fillId="0" borderId="5" xfId="0" applyNumberFormat="1" applyBorder="1" applyAlignment="1">
      <alignment horizontal="center" wrapText="1"/>
    </xf>
    <xf numFmtId="168" fontId="0" fillId="0" borderId="0" xfId="0" applyNumberFormat="1" applyAlignment="1">
      <alignment horizontal="center" wrapText="1"/>
    </xf>
    <xf numFmtId="168" fontId="0" fillId="0" borderId="18" xfId="0" applyNumberFormat="1" applyBorder="1" applyAlignment="1">
      <alignment horizontal="center" wrapText="1"/>
    </xf>
    <xf numFmtId="0" fontId="0" fillId="0" borderId="16" xfId="0" applyBorder="1" applyAlignment="1">
      <alignment horizontal="left"/>
    </xf>
    <xf numFmtId="0" fontId="0" fillId="0" borderId="8" xfId="0" applyBorder="1" applyAlignment="1">
      <alignment horizontal="left"/>
    </xf>
    <xf numFmtId="0" fontId="0" fillId="0" borderId="17" xfId="0" applyBorder="1" applyAlignment="1">
      <alignment horizontal="left"/>
    </xf>
    <xf numFmtId="0" fontId="11" fillId="5" borderId="35" xfId="0" applyFont="1" applyFill="1" applyBorder="1" applyAlignment="1">
      <alignment horizontal="center"/>
    </xf>
    <xf numFmtId="0" fontId="11" fillId="5" borderId="13" xfId="0" applyFont="1" applyFill="1" applyBorder="1" applyAlignment="1">
      <alignment horizontal="center"/>
    </xf>
    <xf numFmtId="0" fontId="11" fillId="5" borderId="38" xfId="0" applyFont="1" applyFill="1" applyBorder="1" applyAlignment="1">
      <alignment horizontal="center"/>
    </xf>
    <xf numFmtId="164" fontId="0" fillId="0" borderId="7" xfId="0" applyNumberFormat="1" applyBorder="1" applyAlignment="1">
      <alignment horizontal="left"/>
    </xf>
    <xf numFmtId="164" fontId="0" fillId="0" borderId="19" xfId="0" applyNumberFormat="1" applyBorder="1" applyAlignment="1">
      <alignment horizontal="left"/>
    </xf>
    <xf numFmtId="0" fontId="0" fillId="0" borderId="8" xfId="0" applyBorder="1" applyAlignment="1">
      <alignment horizontal="left" wrapText="1"/>
    </xf>
    <xf numFmtId="0" fontId="0" fillId="0" borderId="17" xfId="0" applyBorder="1" applyAlignment="1">
      <alignment horizontal="left" wrapText="1"/>
    </xf>
    <xf numFmtId="0" fontId="0" fillId="0" borderId="3" xfId="0" applyBorder="1" applyAlignment="1">
      <alignment horizontal="center"/>
    </xf>
    <xf numFmtId="0" fontId="0" fillId="0" borderId="30" xfId="0" applyBorder="1" applyAlignment="1">
      <alignment horizontal="center"/>
    </xf>
    <xf numFmtId="0" fontId="0" fillId="0" borderId="5" xfId="0" applyBorder="1" applyAlignment="1">
      <alignment horizontal="center"/>
    </xf>
    <xf numFmtId="0" fontId="0" fillId="0" borderId="18"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164" fontId="0" fillId="0" borderId="8" xfId="0" applyNumberFormat="1" applyBorder="1" applyAlignment="1">
      <alignment horizontal="left"/>
    </xf>
    <xf numFmtId="164" fontId="0" fillId="0" borderId="17" xfId="0" applyNumberFormat="1" applyBorder="1" applyAlignment="1">
      <alignment horizontal="left"/>
    </xf>
    <xf numFmtId="164" fontId="0" fillId="0" borderId="3" xfId="0" applyNumberFormat="1" applyBorder="1" applyAlignment="1">
      <alignment horizontal="center" wrapText="1"/>
    </xf>
    <xf numFmtId="164" fontId="0" fillId="0" borderId="4" xfId="0" applyNumberFormat="1" applyBorder="1" applyAlignment="1">
      <alignment horizontal="center" wrapText="1"/>
    </xf>
    <xf numFmtId="164" fontId="0" fillId="0" borderId="30" xfId="0" applyNumberFormat="1" applyBorder="1" applyAlignment="1">
      <alignment horizontal="center" wrapText="1"/>
    </xf>
    <xf numFmtId="0" fontId="2" fillId="0" borderId="0" xfId="0" applyFont="1" applyAlignment="1">
      <alignment horizontal="left" wrapText="1"/>
    </xf>
    <xf numFmtId="0" fontId="5" fillId="0" borderId="67" xfId="0" applyFont="1" applyBorder="1" applyAlignment="1">
      <alignment horizontal="left" wrapText="1"/>
    </xf>
    <xf numFmtId="0" fontId="5" fillId="0" borderId="68" xfId="0" applyFont="1" applyBorder="1" applyAlignment="1">
      <alignment horizontal="left" wrapText="1"/>
    </xf>
    <xf numFmtId="0" fontId="5" fillId="0" borderId="69" xfId="0" applyFont="1" applyBorder="1" applyAlignment="1">
      <alignment horizontal="left" wrapText="1"/>
    </xf>
    <xf numFmtId="0" fontId="0" fillId="0" borderId="67" xfId="0" applyBorder="1" applyAlignment="1">
      <alignment horizontal="left" wrapText="1"/>
    </xf>
    <xf numFmtId="0" fontId="0" fillId="0" borderId="68" xfId="0" applyBorder="1" applyAlignment="1">
      <alignment horizontal="left" wrapText="1"/>
    </xf>
    <xf numFmtId="0" fontId="0" fillId="0" borderId="69" xfId="0" applyBorder="1" applyAlignment="1">
      <alignment horizontal="left" wrapText="1"/>
    </xf>
    <xf numFmtId="0" fontId="5" fillId="7" borderId="67" xfId="0" applyFont="1" applyFill="1" applyBorder="1" applyAlignment="1">
      <alignment horizontal="left" wrapText="1"/>
    </xf>
    <xf numFmtId="0" fontId="5" fillId="7" borderId="68" xfId="0" applyFont="1" applyFill="1" applyBorder="1" applyAlignment="1">
      <alignment horizontal="left" wrapText="1"/>
    </xf>
    <xf numFmtId="0" fontId="5" fillId="7" borderId="69" xfId="0" applyFont="1" applyFill="1" applyBorder="1" applyAlignment="1">
      <alignment horizontal="left" wrapText="1"/>
    </xf>
    <xf numFmtId="0" fontId="0" fillId="6" borderId="0" xfId="0" applyFill="1" applyAlignment="1">
      <alignment horizontal="left" wrapText="1"/>
    </xf>
    <xf numFmtId="0" fontId="0" fillId="0" borderId="64" xfId="0" applyBorder="1" applyAlignment="1">
      <alignment horizontal="left" wrapText="1"/>
    </xf>
    <xf numFmtId="0" fontId="0" fillId="0" borderId="65" xfId="0" applyBorder="1" applyAlignment="1">
      <alignment horizontal="left" wrapText="1"/>
    </xf>
    <xf numFmtId="0" fontId="5" fillId="6" borderId="0" xfId="0" applyFont="1" applyFill="1" applyAlignment="1">
      <alignment horizontal="left" wrapText="1"/>
    </xf>
    <xf numFmtId="0" fontId="2" fillId="0" borderId="0" xfId="0" applyFont="1" applyAlignment="1">
      <alignment horizontal="right"/>
    </xf>
    <xf numFmtId="49" fontId="5" fillId="0" borderId="0" xfId="2" applyNumberFormat="1" applyFont="1" applyAlignment="1">
      <alignment horizontal="left" vertical="center" wrapText="1"/>
    </xf>
    <xf numFmtId="49" fontId="0" fillId="0" borderId="0" xfId="2" applyNumberFormat="1" applyFont="1" applyAlignment="1">
      <alignment horizontal="left" vertical="center" wrapText="1"/>
    </xf>
    <xf numFmtId="0" fontId="2" fillId="0" borderId="12" xfId="0" applyFont="1" applyBorder="1" applyAlignment="1">
      <alignment horizontal="center"/>
    </xf>
  </cellXfs>
  <cellStyles count="5">
    <cellStyle name="Comma" xfId="1" builtinId="3"/>
    <cellStyle name="Currency" xfId="2" builtinId="4"/>
    <cellStyle name="Normal" xfId="0" builtinId="0"/>
    <cellStyle name="Normal 3 3" xfId="4" xr:uid="{1D7E172F-65D5-49DF-8408-0DE20742EDE5}"/>
    <cellStyle name="Percent" xfId="3" builtinId="5"/>
  </cellStyles>
  <dxfs count="0"/>
  <tableStyles count="0" defaultTableStyle="TableStyleMedium2" defaultPivotStyle="PivotStyleLight16"/>
  <colors>
    <mruColors>
      <color rgb="FFFF66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A4ED0-9883-4F9D-B677-11B60A9B6E9E}">
  <dimension ref="B1:C13"/>
  <sheetViews>
    <sheetView workbookViewId="0">
      <selection sqref="A1:C14"/>
    </sheetView>
  </sheetViews>
  <sheetFormatPr defaultRowHeight="15" x14ac:dyDescent="0.25"/>
  <cols>
    <col min="1" max="1" width="2.42578125" customWidth="1"/>
    <col min="2" max="2" width="7.28515625" customWidth="1"/>
    <col min="3" max="3" width="145.28515625" customWidth="1"/>
  </cols>
  <sheetData>
    <row r="1" spans="2:3" ht="15.75" thickBot="1" x14ac:dyDescent="0.3"/>
    <row r="2" spans="2:3" ht="19.5" thickBot="1" x14ac:dyDescent="0.35">
      <c r="B2" s="516" t="s">
        <v>322</v>
      </c>
      <c r="C2" s="517"/>
    </row>
    <row r="3" spans="2:3" ht="15.75" x14ac:dyDescent="0.25">
      <c r="B3" s="386">
        <v>1</v>
      </c>
      <c r="C3" s="391" t="s">
        <v>321</v>
      </c>
    </row>
    <row r="4" spans="2:3" ht="15.75" x14ac:dyDescent="0.25">
      <c r="B4" s="386"/>
      <c r="C4" s="392" t="s">
        <v>313</v>
      </c>
    </row>
    <row r="5" spans="2:3" ht="15.75" x14ac:dyDescent="0.25">
      <c r="B5" s="386"/>
      <c r="C5" s="393" t="s">
        <v>314</v>
      </c>
    </row>
    <row r="6" spans="2:3" ht="15.75" x14ac:dyDescent="0.25">
      <c r="B6" s="386"/>
      <c r="C6" s="394" t="s">
        <v>315</v>
      </c>
    </row>
    <row r="7" spans="2:3" ht="16.5" thickBot="1" x14ac:dyDescent="0.3">
      <c r="B7" s="387"/>
      <c r="C7" s="395" t="s">
        <v>316</v>
      </c>
    </row>
    <row r="8" spans="2:3" ht="38.450000000000003" customHeight="1" thickBot="1" x14ac:dyDescent="0.3">
      <c r="B8" s="388">
        <v>2</v>
      </c>
      <c r="C8" s="389" t="s">
        <v>320</v>
      </c>
    </row>
    <row r="9" spans="2:3" ht="52.5" customHeight="1" thickBot="1" x14ac:dyDescent="0.3">
      <c r="B9" s="387">
        <v>3</v>
      </c>
      <c r="C9" s="390" t="s">
        <v>317</v>
      </c>
    </row>
    <row r="10" spans="2:3" ht="52.5" customHeight="1" thickBot="1" x14ac:dyDescent="0.3">
      <c r="B10" s="387">
        <v>4</v>
      </c>
      <c r="C10" s="390" t="s">
        <v>318</v>
      </c>
    </row>
    <row r="11" spans="2:3" ht="41.65" customHeight="1" thickBot="1" x14ac:dyDescent="0.3">
      <c r="B11" s="388">
        <v>5</v>
      </c>
      <c r="C11" s="390" t="s">
        <v>319</v>
      </c>
    </row>
    <row r="12" spans="2:3" ht="32.25" thickBot="1" x14ac:dyDescent="0.3">
      <c r="B12" s="388">
        <v>6</v>
      </c>
      <c r="C12" s="448" t="s">
        <v>442</v>
      </c>
    </row>
    <row r="13" spans="2:3" ht="48" thickBot="1" x14ac:dyDescent="0.3">
      <c r="B13" s="388">
        <v>7</v>
      </c>
      <c r="C13" s="503" t="s">
        <v>443</v>
      </c>
    </row>
  </sheetData>
  <mergeCells count="1">
    <mergeCell ref="B2:C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123"/>
  <sheetViews>
    <sheetView tabSelected="1" zoomScale="85" zoomScaleNormal="85" workbookViewId="0">
      <selection sqref="A1:Q121"/>
    </sheetView>
  </sheetViews>
  <sheetFormatPr defaultRowHeight="15" x14ac:dyDescent="0.25"/>
  <cols>
    <col min="1" max="1" width="19.85546875" customWidth="1"/>
    <col min="2" max="2" width="9.28515625" style="13"/>
    <col min="3" max="3" width="5" customWidth="1"/>
    <col min="4" max="4" width="17.28515625" style="4" customWidth="1"/>
    <col min="5" max="5" width="3" customWidth="1"/>
    <col min="6" max="6" width="13.7109375" style="4" customWidth="1"/>
    <col min="7" max="7" width="13.42578125" customWidth="1"/>
    <col min="8" max="8" width="6" style="13" customWidth="1"/>
    <col min="9" max="9" width="6.5703125" customWidth="1"/>
    <col min="10" max="10" width="20.5703125" customWidth="1"/>
    <col min="11" max="11" width="9.28515625" style="13"/>
    <col min="12" max="12" width="2.7109375" customWidth="1"/>
    <col min="13" max="13" width="14.5703125" style="4" customWidth="1"/>
    <col min="14" max="14" width="3" customWidth="1"/>
    <col min="15" max="15" width="14.7109375" style="4" customWidth="1"/>
    <col min="16" max="16" width="13.7109375" customWidth="1"/>
    <col min="17" max="17" width="9.5703125" style="13" customWidth="1"/>
    <col min="19" max="19" width="13.42578125" bestFit="1" customWidth="1"/>
  </cols>
  <sheetData>
    <row r="1" spans="1:17" x14ac:dyDescent="0.25">
      <c r="A1" s="515" t="s">
        <v>441</v>
      </c>
      <c r="B1" s="515"/>
    </row>
    <row r="2" spans="1:17" x14ac:dyDescent="0.25">
      <c r="G2" s="5"/>
    </row>
    <row r="3" spans="1:17" s="10" customFormat="1" x14ac:dyDescent="0.25">
      <c r="B3" s="20"/>
      <c r="C3" s="522" t="s">
        <v>58</v>
      </c>
      <c r="D3" s="522"/>
      <c r="E3" s="522"/>
      <c r="F3" s="522"/>
      <c r="H3" s="20"/>
      <c r="K3" s="20"/>
      <c r="L3" s="522" t="s">
        <v>176</v>
      </c>
      <c r="M3" s="522"/>
      <c r="N3" s="522"/>
      <c r="O3" s="522"/>
      <c r="Q3" s="20"/>
    </row>
    <row r="4" spans="1:17" s="10" customFormat="1" ht="15.75" thickBot="1" x14ac:dyDescent="0.3">
      <c r="A4" s="10" t="s">
        <v>59</v>
      </c>
      <c r="B4" s="20" t="s">
        <v>175</v>
      </c>
      <c r="C4" s="590" t="s">
        <v>93</v>
      </c>
      <c r="D4" s="590"/>
      <c r="E4" s="590" t="s">
        <v>94</v>
      </c>
      <c r="F4" s="590"/>
      <c r="G4" s="101" t="s">
        <v>60</v>
      </c>
      <c r="H4" s="135" t="s">
        <v>181</v>
      </c>
      <c r="J4" s="10" t="s">
        <v>59</v>
      </c>
      <c r="K4" s="20" t="s">
        <v>175</v>
      </c>
      <c r="L4" s="590" t="s">
        <v>93</v>
      </c>
      <c r="M4" s="590"/>
      <c r="N4" s="590" t="s">
        <v>94</v>
      </c>
      <c r="O4" s="590"/>
      <c r="P4" s="101" t="s">
        <v>60</v>
      </c>
      <c r="Q4" s="135" t="s">
        <v>181</v>
      </c>
    </row>
    <row r="5" spans="1:17" ht="15.75" thickTop="1" x14ac:dyDescent="0.25">
      <c r="A5" s="380" t="str">
        <f>+JEs!B2</f>
        <v>August 31, 2023</v>
      </c>
      <c r="B5" s="434">
        <v>1</v>
      </c>
      <c r="C5" s="100"/>
      <c r="D5" s="102">
        <f>JEs!D5</f>
        <v>179265.95</v>
      </c>
      <c r="E5" s="100"/>
      <c r="F5" s="104"/>
      <c r="J5" s="380" t="str">
        <f>+JEs!B2</f>
        <v>August 31, 2023</v>
      </c>
      <c r="K5" s="434">
        <v>1</v>
      </c>
      <c r="L5" s="100"/>
      <c r="M5" s="102">
        <f>JEs!D9</f>
        <v>244539.94</v>
      </c>
      <c r="N5" s="100"/>
      <c r="O5" s="104"/>
    </row>
    <row r="6" spans="1:17" x14ac:dyDescent="0.25">
      <c r="A6" s="380" t="str">
        <f>+A5</f>
        <v>August 31, 2023</v>
      </c>
      <c r="B6" s="434">
        <v>1</v>
      </c>
      <c r="D6" s="103">
        <f>JEs!D6</f>
        <v>1049041.18</v>
      </c>
      <c r="F6" s="25"/>
      <c r="J6" s="380" t="str">
        <f>+J5</f>
        <v>August 31, 2023</v>
      </c>
      <c r="K6" s="434">
        <v>1</v>
      </c>
      <c r="M6" s="103">
        <f>JEs!D10</f>
        <v>465008.7539675291</v>
      </c>
    </row>
    <row r="7" spans="1:17" x14ac:dyDescent="0.25">
      <c r="A7" s="380" t="str">
        <f>+A6</f>
        <v>August 31, 2023</v>
      </c>
      <c r="B7" s="434">
        <v>1</v>
      </c>
      <c r="D7" s="430">
        <f>JEs!D7</f>
        <v>347189.35079786176</v>
      </c>
      <c r="F7" s="25"/>
      <c r="J7" s="380" t="str">
        <f>+J6</f>
        <v>August 31, 2023</v>
      </c>
      <c r="K7" s="13">
        <v>1</v>
      </c>
      <c r="M7" s="103"/>
    </row>
    <row r="8" spans="1:17" x14ac:dyDescent="0.25">
      <c r="A8" s="380" t="str">
        <f>+A6</f>
        <v>August 31, 2023</v>
      </c>
      <c r="B8" s="434">
        <v>1</v>
      </c>
      <c r="D8" s="103">
        <f>JEs!D8</f>
        <v>1221838.3912524711</v>
      </c>
      <c r="J8" s="380" t="s">
        <v>391</v>
      </c>
      <c r="M8" s="103">
        <f>SUM(M5:M7)</f>
        <v>709548.69396752911</v>
      </c>
      <c r="O8" s="103">
        <f>SUM(O5:O7)</f>
        <v>0</v>
      </c>
      <c r="P8" s="5">
        <f>M8+O8</f>
        <v>709548.69396752911</v>
      </c>
      <c r="Q8" s="121"/>
    </row>
    <row r="9" spans="1:17" x14ac:dyDescent="0.25">
      <c r="A9" s="380" t="str">
        <f>+A11</f>
        <v>August 31, 2023</v>
      </c>
      <c r="B9" s="434">
        <v>1</v>
      </c>
      <c r="D9" s="103"/>
      <c r="F9" s="407">
        <f>+-JEs!E11</f>
        <v>-269573.88086933416</v>
      </c>
      <c r="J9" s="380"/>
      <c r="M9" s="103"/>
      <c r="O9" s="25"/>
      <c r="P9" s="5"/>
      <c r="Q9" s="121"/>
    </row>
    <row r="10" spans="1:17" x14ac:dyDescent="0.25">
      <c r="A10" s="380" t="str">
        <f>+A12</f>
        <v>August 31, 2023</v>
      </c>
      <c r="B10" s="434">
        <v>1</v>
      </c>
      <c r="D10" s="103"/>
      <c r="F10" s="402">
        <f>+-JEs!E12</f>
        <v>-102594.75831066597</v>
      </c>
      <c r="J10" s="380"/>
      <c r="M10" s="103"/>
      <c r="O10" s="25"/>
      <c r="P10" s="5"/>
      <c r="Q10" s="121"/>
    </row>
    <row r="11" spans="1:17" x14ac:dyDescent="0.25">
      <c r="A11" s="380" t="str">
        <f>+A8</f>
        <v>August 31, 2023</v>
      </c>
      <c r="B11" s="434">
        <v>1</v>
      </c>
      <c r="D11" s="103">
        <f>-JEs!E13</f>
        <v>127735.98340613898</v>
      </c>
      <c r="F11" s="108"/>
      <c r="J11" s="380" t="str">
        <f>+J12</f>
        <v>September 1, 2023</v>
      </c>
      <c r="K11" s="13">
        <v>4</v>
      </c>
    </row>
    <row r="12" spans="1:17" x14ac:dyDescent="0.25">
      <c r="A12" s="380" t="str">
        <f>+A11</f>
        <v>August 31, 2023</v>
      </c>
      <c r="B12" s="435">
        <v>1</v>
      </c>
      <c r="C12" s="109"/>
      <c r="D12" s="110"/>
      <c r="E12" s="109"/>
      <c r="F12" s="111">
        <f>-JEs!E14</f>
        <v>-167395.91</v>
      </c>
      <c r="J12" s="380" t="str">
        <f>+JEs!B45</f>
        <v>September 1, 2023</v>
      </c>
      <c r="K12" s="434">
        <v>4</v>
      </c>
      <c r="M12" s="103"/>
      <c r="O12" s="4">
        <f>-JEs!E58</f>
        <v>-244539.94</v>
      </c>
    </row>
    <row r="13" spans="1:17" x14ac:dyDescent="0.25">
      <c r="A13" s="380" t="s">
        <v>390</v>
      </c>
      <c r="D13" s="103">
        <f>SUM(D5:D12)</f>
        <v>2925070.8554564719</v>
      </c>
      <c r="F13" s="108">
        <f>SUM(F5:F12)</f>
        <v>-539564.54918000009</v>
      </c>
      <c r="G13" s="360">
        <f>D13+F13</f>
        <v>2385506.3062764718</v>
      </c>
      <c r="H13" s="121"/>
      <c r="J13" s="380" t="str">
        <f>+J12</f>
        <v>September 1, 2023</v>
      </c>
      <c r="K13" s="434">
        <v>4</v>
      </c>
      <c r="M13" s="103"/>
      <c r="O13" s="4">
        <f>-JEs!E59</f>
        <v>-465008.7539675291</v>
      </c>
    </row>
    <row r="14" spans="1:17" x14ac:dyDescent="0.25">
      <c r="A14" s="379"/>
      <c r="D14" s="103"/>
      <c r="G14" s="5"/>
      <c r="H14" s="121"/>
      <c r="J14" s="380" t="str">
        <f>+JEs!B77</f>
        <v>September 15, 2023</v>
      </c>
      <c r="K14" s="434">
        <v>6</v>
      </c>
      <c r="M14" s="103">
        <f>JEs!D83</f>
        <v>244539.94</v>
      </c>
    </row>
    <row r="15" spans="1:17" x14ac:dyDescent="0.25">
      <c r="A15" s="380" t="s">
        <v>391</v>
      </c>
      <c r="D15" s="103">
        <f>+D13+D14</f>
        <v>2925070.8554564719</v>
      </c>
      <c r="F15" s="108">
        <f>+F13+F14</f>
        <v>-539564.54918000009</v>
      </c>
      <c r="G15" s="360">
        <f>+D15+F15</f>
        <v>2385506.3062764718</v>
      </c>
      <c r="H15" s="121"/>
      <c r="J15" s="380" t="str">
        <f>+J14</f>
        <v>September 15, 2023</v>
      </c>
      <c r="K15" s="434">
        <v>6</v>
      </c>
      <c r="M15" s="103">
        <f>JEs!D85</f>
        <v>666754.75934812601</v>
      </c>
    </row>
    <row r="16" spans="1:17" x14ac:dyDescent="0.25">
      <c r="A16" s="380"/>
      <c r="D16" s="103"/>
      <c r="F16" s="108"/>
      <c r="G16" s="360"/>
      <c r="H16" s="121"/>
      <c r="J16" s="380" t="str">
        <f>+J15</f>
        <v>September 15, 2023</v>
      </c>
      <c r="K16" s="434">
        <v>6</v>
      </c>
      <c r="M16" s="103"/>
      <c r="O16" s="4">
        <f>-JEs!E87</f>
        <v>-151403.90603626805</v>
      </c>
    </row>
    <row r="17" spans="1:17" x14ac:dyDescent="0.25">
      <c r="A17" s="380"/>
      <c r="D17" s="103"/>
      <c r="G17" s="5"/>
      <c r="J17" s="380" t="s">
        <v>398</v>
      </c>
      <c r="M17" s="366">
        <f>SUM(M11:M16)</f>
        <v>911294.69934812607</v>
      </c>
      <c r="O17" s="4">
        <f>SUM(O11:O16)</f>
        <v>-860952.6000037971</v>
      </c>
      <c r="P17" s="5">
        <f>M17+O17</f>
        <v>50342.099344328977</v>
      </c>
    </row>
    <row r="18" spans="1:17" ht="15.75" customHeight="1" x14ac:dyDescent="0.25">
      <c r="A18" s="380" t="str">
        <f>+JEs!B45</f>
        <v>September 1, 2023</v>
      </c>
      <c r="B18" s="434">
        <v>4</v>
      </c>
      <c r="C18" s="106"/>
      <c r="D18" s="361">
        <f>JEs!D48</f>
        <v>-127735.98340613898</v>
      </c>
      <c r="E18" s="106"/>
      <c r="F18" s="108"/>
      <c r="G18" s="106"/>
      <c r="H18" s="107"/>
      <c r="J18" s="381" t="str">
        <f>+JEs!B128</f>
        <v>September 30, 2023</v>
      </c>
      <c r="K18" s="439">
        <v>10</v>
      </c>
      <c r="L18" s="115"/>
      <c r="M18" s="117"/>
      <c r="N18" s="115"/>
      <c r="O18" s="118">
        <f>-P17-P60</f>
        <v>-50342.099344328977</v>
      </c>
      <c r="P18" s="119"/>
      <c r="Q18" s="116" t="s">
        <v>95</v>
      </c>
    </row>
    <row r="19" spans="1:17" x14ac:dyDescent="0.25">
      <c r="A19" s="380" t="str">
        <f>+A18</f>
        <v>September 1, 2023</v>
      </c>
      <c r="B19" s="434">
        <v>4</v>
      </c>
      <c r="D19" s="103">
        <f>JEs!D49</f>
        <v>167395.91</v>
      </c>
      <c r="J19" s="380" t="s">
        <v>399</v>
      </c>
      <c r="M19" s="366">
        <f>SUM(M17:M18)</f>
        <v>911294.69934812607</v>
      </c>
      <c r="O19" s="4">
        <f>SUM(O17:O18)</f>
        <v>-911294.69934812607</v>
      </c>
      <c r="P19" s="5">
        <f>M19+O19</f>
        <v>0</v>
      </c>
    </row>
    <row r="20" spans="1:17" x14ac:dyDescent="0.25">
      <c r="A20" s="380" t="str">
        <f>+A19</f>
        <v>September 1, 2023</v>
      </c>
      <c r="B20" s="434">
        <v>4</v>
      </c>
      <c r="D20" s="430">
        <f>+JEs!D52</f>
        <v>269573.88086933416</v>
      </c>
      <c r="J20" s="380"/>
      <c r="M20" s="366"/>
      <c r="P20" s="5"/>
    </row>
    <row r="21" spans="1:17" x14ac:dyDescent="0.25">
      <c r="A21" s="380" t="str">
        <f>+A20</f>
        <v>September 1, 2023</v>
      </c>
      <c r="B21" s="434">
        <v>4</v>
      </c>
      <c r="D21" s="430">
        <f>+JEs!D53</f>
        <v>102594.75831066597</v>
      </c>
      <c r="J21" s="380"/>
      <c r="M21" s="366"/>
      <c r="P21" s="5"/>
    </row>
    <row r="22" spans="1:17" x14ac:dyDescent="0.25">
      <c r="A22" s="380" t="str">
        <f>+A19</f>
        <v>September 1, 2023</v>
      </c>
      <c r="B22" s="434">
        <v>4</v>
      </c>
      <c r="D22" s="103"/>
      <c r="F22" s="4">
        <f>-JEs!E54</f>
        <v>-179265.95</v>
      </c>
      <c r="M22" s="103"/>
    </row>
    <row r="23" spans="1:17" x14ac:dyDescent="0.25">
      <c r="A23" s="380" t="str">
        <f t="shared" ref="A23:A24" si="0">+A22</f>
        <v>September 1, 2023</v>
      </c>
      <c r="B23" s="434">
        <v>4</v>
      </c>
      <c r="D23" s="103"/>
      <c r="F23" s="4">
        <f>-JEs!E55</f>
        <v>-1049041.18</v>
      </c>
      <c r="J23" s="380" t="str">
        <f>+JEs!B170</f>
        <v>October 31, 2023</v>
      </c>
      <c r="K23" s="434">
        <v>14</v>
      </c>
      <c r="M23" s="103">
        <f>JEs!D173</f>
        <v>0</v>
      </c>
    </row>
    <row r="24" spans="1:17" x14ac:dyDescent="0.25">
      <c r="A24" s="380" t="str">
        <f t="shared" si="0"/>
        <v>September 1, 2023</v>
      </c>
      <c r="B24" s="434">
        <v>4</v>
      </c>
      <c r="D24" s="103"/>
      <c r="F24" s="402">
        <f>-JEs!E56</f>
        <v>-347189.35079786176</v>
      </c>
      <c r="J24" s="380"/>
      <c r="M24" s="103"/>
    </row>
    <row r="25" spans="1:17" x14ac:dyDescent="0.25">
      <c r="A25" s="380" t="str">
        <f>+A23</f>
        <v>September 1, 2023</v>
      </c>
      <c r="B25" s="434">
        <v>4</v>
      </c>
      <c r="D25" s="103"/>
      <c r="F25" s="4">
        <f>-JEs!E57</f>
        <v>-1221838.3912524711</v>
      </c>
      <c r="J25" s="380" t="s">
        <v>400</v>
      </c>
      <c r="M25" s="103">
        <f>SUM(M23)</f>
        <v>0</v>
      </c>
      <c r="O25" s="4">
        <f>SUM(O23)</f>
        <v>0</v>
      </c>
      <c r="P25" s="5">
        <f>M25+O25</f>
        <v>0</v>
      </c>
      <c r="Q25" s="121"/>
    </row>
    <row r="26" spans="1:17" x14ac:dyDescent="0.25">
      <c r="A26" s="380" t="str">
        <f>+JEs!B77</f>
        <v>September 15, 2023</v>
      </c>
      <c r="B26" s="434">
        <v>6</v>
      </c>
      <c r="D26" s="103">
        <f>JEs!D80</f>
        <v>179265.95</v>
      </c>
      <c r="M26" s="103"/>
    </row>
    <row r="27" spans="1:17" x14ac:dyDescent="0.25">
      <c r="A27" s="380" t="str">
        <f>+A26</f>
        <v>September 15, 2023</v>
      </c>
      <c r="B27" s="434">
        <v>6</v>
      </c>
      <c r="D27" s="103">
        <f>JEs!D81</f>
        <v>1049041.18</v>
      </c>
      <c r="M27" s="103"/>
    </row>
    <row r="28" spans="1:17" x14ac:dyDescent="0.25">
      <c r="A28" s="380" t="str">
        <f>+A27</f>
        <v>September 15, 2023</v>
      </c>
      <c r="B28" s="434">
        <v>6</v>
      </c>
      <c r="D28" s="103">
        <f>+JEs!D82</f>
        <v>347189.35079786176</v>
      </c>
      <c r="M28" s="103"/>
    </row>
    <row r="29" spans="1:17" x14ac:dyDescent="0.25">
      <c r="A29" s="380" t="str">
        <f>+A27</f>
        <v>September 15, 2023</v>
      </c>
      <c r="B29" s="434">
        <v>6</v>
      </c>
      <c r="D29" s="103">
        <f>JEs!D84</f>
        <v>1751938.1206718744</v>
      </c>
      <c r="M29" s="103"/>
    </row>
    <row r="30" spans="1:17" x14ac:dyDescent="0.25">
      <c r="A30" s="380" t="str">
        <f>+A28</f>
        <v>September 15, 2023</v>
      </c>
      <c r="B30" s="434">
        <v>6</v>
      </c>
      <c r="D30" s="103"/>
      <c r="F30" s="402">
        <f>-JEs!E86</f>
        <v>-397822.84398373228</v>
      </c>
      <c r="M30" s="25"/>
    </row>
    <row r="31" spans="1:17" x14ac:dyDescent="0.25">
      <c r="A31" s="380" t="str">
        <f>+A29</f>
        <v>September 15, 2023</v>
      </c>
      <c r="B31" s="434">
        <v>6</v>
      </c>
      <c r="D31" s="103"/>
      <c r="F31" s="402"/>
      <c r="M31" s="25"/>
    </row>
    <row r="32" spans="1:17" x14ac:dyDescent="0.25">
      <c r="A32" s="380" t="str">
        <f>+A29</f>
        <v>September 15, 2023</v>
      </c>
      <c r="B32" s="438">
        <v>6</v>
      </c>
      <c r="D32" s="103">
        <f>-JEs!E88</f>
        <v>127735.98340613898</v>
      </c>
      <c r="F32" s="108"/>
    </row>
    <row r="33" spans="1:19" x14ac:dyDescent="0.25">
      <c r="A33" s="380" t="str">
        <f t="shared" ref="A33" si="1">+A32</f>
        <v>September 15, 2023</v>
      </c>
      <c r="B33" s="434">
        <v>6</v>
      </c>
      <c r="D33" s="103"/>
      <c r="F33" s="111">
        <f>-JEs!E89</f>
        <v>-167395.91</v>
      </c>
    </row>
    <row r="34" spans="1:19" x14ac:dyDescent="0.25">
      <c r="A34" s="380" t="str">
        <f>+JEs!B96</f>
        <v>September 30,  2023</v>
      </c>
      <c r="B34" s="434">
        <v>7</v>
      </c>
      <c r="D34" s="103"/>
      <c r="F34" s="108">
        <f>-JEs!E100</f>
        <v>-424664.4241043051</v>
      </c>
    </row>
    <row r="35" spans="1:19" x14ac:dyDescent="0.25">
      <c r="A35" s="380" t="s">
        <v>398</v>
      </c>
      <c r="D35" s="361">
        <f>SUM(D18:D34)</f>
        <v>3866999.1506497362</v>
      </c>
      <c r="E35" s="362"/>
      <c r="F35" s="314">
        <f>SUM(F18:F34)</f>
        <v>-3787218.0501383701</v>
      </c>
      <c r="G35" s="360">
        <f>+D35+F35</f>
        <v>79781.100511366036</v>
      </c>
    </row>
    <row r="36" spans="1:19" x14ac:dyDescent="0.25">
      <c r="A36" s="381" t="str">
        <f>+JEs!B128</f>
        <v>September 30, 2023</v>
      </c>
      <c r="B36" s="436">
        <v>10</v>
      </c>
      <c r="C36" s="120"/>
      <c r="D36" s="363"/>
      <c r="E36" s="120"/>
      <c r="F36" s="4">
        <f>-G35-G62</f>
        <v>-121591.40888750181</v>
      </c>
      <c r="G36" s="120"/>
      <c r="H36" s="121" t="s">
        <v>64</v>
      </c>
    </row>
    <row r="37" spans="1:19" x14ac:dyDescent="0.25">
      <c r="A37" s="380" t="s">
        <v>399</v>
      </c>
      <c r="D37" s="366">
        <f>SUM(D35:D36)</f>
        <v>3866999.1506497362</v>
      </c>
      <c r="F37" s="108">
        <f>SUM(F35:F36)</f>
        <v>-3908809.4590258719</v>
      </c>
      <c r="G37" s="5">
        <f>D37+F37</f>
        <v>-41810.30837613577</v>
      </c>
    </row>
    <row r="38" spans="1:19" x14ac:dyDescent="0.25">
      <c r="A38" s="380"/>
      <c r="D38" s="103"/>
      <c r="S38" s="5"/>
    </row>
    <row r="39" spans="1:19" x14ac:dyDescent="0.25">
      <c r="A39" s="380" t="str">
        <f>+JEs!B161</f>
        <v>October 31, 2023</v>
      </c>
      <c r="B39" s="434">
        <v>13</v>
      </c>
      <c r="D39" s="361">
        <f>'RPP 2nd TU'!K46</f>
        <v>0</v>
      </c>
      <c r="S39" s="5"/>
    </row>
    <row r="40" spans="1:19" x14ac:dyDescent="0.25">
      <c r="A40" s="380" t="str">
        <f>+JEs!B170</f>
        <v>October 31, 2023</v>
      </c>
      <c r="B40" s="434">
        <v>14</v>
      </c>
      <c r="D40" s="103"/>
      <c r="F40" s="4">
        <f>-JEs!E174</f>
        <v>0</v>
      </c>
      <c r="S40" s="5"/>
    </row>
    <row r="41" spans="1:19" x14ac:dyDescent="0.25">
      <c r="A41" s="380" t="s">
        <v>401</v>
      </c>
      <c r="D41" s="361">
        <f>SUM(D39:D40)</f>
        <v>0</v>
      </c>
      <c r="F41" s="332">
        <f>SUM(F39:F40)</f>
        <v>0</v>
      </c>
      <c r="G41" s="360">
        <f>D41+F41</f>
        <v>0</v>
      </c>
      <c r="S41" s="5"/>
    </row>
    <row r="42" spans="1:19" x14ac:dyDescent="0.25">
      <c r="A42" s="381" t="str">
        <f>+JEs!B179</f>
        <v>October 31, 2023</v>
      </c>
      <c r="B42" s="436">
        <v>15</v>
      </c>
      <c r="C42" s="120"/>
      <c r="D42" s="364">
        <f>-G41-G68</f>
        <v>0</v>
      </c>
      <c r="E42" s="120"/>
      <c r="F42" s="123"/>
      <c r="G42" s="120"/>
      <c r="H42" s="121" t="s">
        <v>190</v>
      </c>
      <c r="S42" s="5"/>
    </row>
    <row r="43" spans="1:19" x14ac:dyDescent="0.25">
      <c r="A43" s="380" t="s">
        <v>400</v>
      </c>
      <c r="D43" s="361">
        <f>SUM(D41:D42)</f>
        <v>0</v>
      </c>
      <c r="F43" s="332">
        <f>SUM(F41:F42)</f>
        <v>0</v>
      </c>
      <c r="G43" s="360">
        <f>SUM(D43:F43)</f>
        <v>0</v>
      </c>
      <c r="S43" s="5"/>
    </row>
    <row r="44" spans="1:19" x14ac:dyDescent="0.25">
      <c r="S44" s="5"/>
    </row>
    <row r="45" spans="1:19" x14ac:dyDescent="0.25">
      <c r="A45" s="441" t="s">
        <v>408</v>
      </c>
      <c r="B45" s="442"/>
      <c r="C45" s="441"/>
      <c r="D45" s="443"/>
      <c r="E45" s="441"/>
      <c r="F45" s="443"/>
      <c r="G45" s="444">
        <f>+G15+G37+G43</f>
        <v>2343695.997900336</v>
      </c>
      <c r="J45" s="441" t="s">
        <v>408</v>
      </c>
      <c r="P45" s="444">
        <f>+P8+P19+P25</f>
        <v>709548.69396752911</v>
      </c>
    </row>
    <row r="46" spans="1:19" x14ac:dyDescent="0.25">
      <c r="A46" s="441"/>
      <c r="B46" s="442"/>
      <c r="C46" s="441"/>
      <c r="D46" s="443"/>
      <c r="E46" s="441"/>
      <c r="F46" s="443"/>
      <c r="G46" s="444"/>
      <c r="P46" s="444"/>
    </row>
    <row r="47" spans="1:19" s="10" customFormat="1" ht="27.75" customHeight="1" x14ac:dyDescent="0.25">
      <c r="B47" s="20"/>
      <c r="C47" s="522" t="s">
        <v>177</v>
      </c>
      <c r="D47" s="522"/>
      <c r="E47" s="522"/>
      <c r="F47" s="522"/>
      <c r="H47" s="20"/>
      <c r="K47" s="20"/>
      <c r="L47" s="547" t="s">
        <v>178</v>
      </c>
      <c r="M47" s="547"/>
      <c r="N47" s="547"/>
      <c r="O47" s="547"/>
      <c r="Q47" s="20"/>
    </row>
    <row r="48" spans="1:19" s="10" customFormat="1" ht="15.75" thickBot="1" x14ac:dyDescent="0.3">
      <c r="A48" s="10" t="s">
        <v>59</v>
      </c>
      <c r="B48" s="20" t="s">
        <v>175</v>
      </c>
      <c r="C48" s="590" t="s">
        <v>93</v>
      </c>
      <c r="D48" s="590"/>
      <c r="E48" s="590" t="s">
        <v>94</v>
      </c>
      <c r="F48" s="590"/>
      <c r="G48" s="101" t="s">
        <v>60</v>
      </c>
      <c r="H48" s="135" t="s">
        <v>181</v>
      </c>
      <c r="J48" s="10" t="s">
        <v>59</v>
      </c>
      <c r="K48" s="20" t="s">
        <v>175</v>
      </c>
      <c r="L48" s="590" t="s">
        <v>93</v>
      </c>
      <c r="M48" s="590"/>
      <c r="N48" s="590" t="s">
        <v>94</v>
      </c>
      <c r="O48" s="590"/>
      <c r="P48" s="101" t="s">
        <v>60</v>
      </c>
      <c r="Q48" s="135" t="s">
        <v>181</v>
      </c>
    </row>
    <row r="49" spans="1:19" ht="15.75" thickTop="1" x14ac:dyDescent="0.25">
      <c r="A49" s="380" t="str">
        <f>+JEs!B21</f>
        <v>August 31, 2023</v>
      </c>
      <c r="B49" s="434">
        <v>2</v>
      </c>
      <c r="C49" s="100"/>
      <c r="D49" s="102"/>
      <c r="E49" s="100"/>
      <c r="F49" s="365">
        <f>-JEs!E25</f>
        <v>-2283045.7127079051</v>
      </c>
      <c r="J49" s="380" t="str">
        <f>+JEs!B21</f>
        <v>August 31, 2023</v>
      </c>
      <c r="K49" s="434">
        <v>2</v>
      </c>
      <c r="L49" s="100"/>
      <c r="M49" s="102"/>
      <c r="N49" s="100"/>
      <c r="O49" s="104">
        <f>-JEs!E27</f>
        <v>-244539.94</v>
      </c>
    </row>
    <row r="50" spans="1:19" x14ac:dyDescent="0.25">
      <c r="A50" s="380" t="str">
        <f>+A49</f>
        <v>August 31, 2023</v>
      </c>
      <c r="B50" s="434">
        <v>2</v>
      </c>
      <c r="D50" s="103"/>
      <c r="F50" s="4">
        <f>-JEs!E26</f>
        <v>-516821.05999999994</v>
      </c>
      <c r="J50" s="380" t="str">
        <f>+J49</f>
        <v>August 31, 2023</v>
      </c>
      <c r="K50" s="434">
        <v>2</v>
      </c>
      <c r="M50" s="103"/>
      <c r="O50" s="4">
        <f>-JEs!E28</f>
        <v>-493206.17874656379</v>
      </c>
    </row>
    <row r="51" spans="1:19" x14ac:dyDescent="0.25">
      <c r="A51" s="380" t="s">
        <v>390</v>
      </c>
      <c r="D51" s="366"/>
      <c r="F51" s="108">
        <f>SUM(F49:F50)</f>
        <v>-2799866.7727079052</v>
      </c>
      <c r="G51" s="360">
        <f>D51+F51</f>
        <v>-2799866.7727079052</v>
      </c>
      <c r="H51" s="121"/>
      <c r="J51" s="380" t="s">
        <v>390</v>
      </c>
      <c r="M51" s="366"/>
      <c r="O51" s="4">
        <f>SUM(O49:O50)</f>
        <v>-737746.11874656379</v>
      </c>
      <c r="P51" s="5">
        <f>M51+O51</f>
        <v>-737746.11874656379</v>
      </c>
      <c r="Q51" s="121"/>
      <c r="S51" s="5"/>
    </row>
    <row r="52" spans="1:19" x14ac:dyDescent="0.25">
      <c r="A52" s="380" t="str">
        <f>+JEs!B33</f>
        <v>August 31, 2023</v>
      </c>
      <c r="B52" s="434">
        <v>3</v>
      </c>
      <c r="D52" s="103">
        <f>-G13-G51</f>
        <v>414360.46643143333</v>
      </c>
      <c r="G52" s="5"/>
      <c r="H52" s="121" t="s">
        <v>62</v>
      </c>
      <c r="J52" s="381" t="str">
        <f>+JEs!B33</f>
        <v>August 31, 2023</v>
      </c>
      <c r="K52" s="436">
        <v>3</v>
      </c>
      <c r="L52" s="120"/>
      <c r="M52" s="122">
        <f>-P51-P8</f>
        <v>28197.424779034685</v>
      </c>
      <c r="N52" s="120"/>
      <c r="O52" s="123"/>
      <c r="P52" s="120"/>
      <c r="Q52" s="121" t="s">
        <v>63</v>
      </c>
      <c r="S52" s="5"/>
    </row>
    <row r="53" spans="1:19" x14ac:dyDescent="0.25">
      <c r="A53" s="380" t="s">
        <v>391</v>
      </c>
      <c r="D53" s="103">
        <f>+D51+D52</f>
        <v>414360.46643143333</v>
      </c>
      <c r="F53" s="108">
        <f>+F51+F52</f>
        <v>-2799866.7727079052</v>
      </c>
      <c r="G53" s="360">
        <f>+D53+F53</f>
        <v>-2385506.3062764718</v>
      </c>
      <c r="H53" s="121"/>
      <c r="J53" s="380" t="s">
        <v>391</v>
      </c>
      <c r="K53" s="121"/>
      <c r="L53" s="120"/>
      <c r="M53" s="366">
        <f>SUM(M51:M52)</f>
        <v>28197.424779034685</v>
      </c>
      <c r="N53" s="120"/>
      <c r="O53" s="332">
        <f>SUM(O51:O52)</f>
        <v>-737746.11874656379</v>
      </c>
      <c r="P53" s="5">
        <f>M53+O53</f>
        <v>-709548.69396752911</v>
      </c>
      <c r="Q53" s="121"/>
      <c r="S53" s="5"/>
    </row>
    <row r="54" spans="1:19" x14ac:dyDescent="0.25">
      <c r="A54" s="380"/>
      <c r="D54" s="103"/>
      <c r="J54" s="380"/>
      <c r="M54" s="103"/>
    </row>
    <row r="55" spans="1:19" x14ac:dyDescent="0.25">
      <c r="A55" s="380"/>
      <c r="D55" s="103"/>
      <c r="J55" s="380" t="str">
        <f>+JEs!B64</f>
        <v>September 1, 2023</v>
      </c>
      <c r="K55" s="434">
        <v>5</v>
      </c>
      <c r="M55" s="103">
        <f>JEs!D70</f>
        <v>244539.94</v>
      </c>
    </row>
    <row r="56" spans="1:19" x14ac:dyDescent="0.25">
      <c r="A56" s="380" t="str">
        <f>+JEs!B64</f>
        <v>September 1, 2023</v>
      </c>
      <c r="B56" s="434">
        <v>5</v>
      </c>
      <c r="D56" s="361">
        <f>JEs!D68</f>
        <v>2283045.7127079051</v>
      </c>
      <c r="J56" s="380" t="str">
        <f>+J55</f>
        <v>September 1, 2023</v>
      </c>
      <c r="K56" s="434">
        <v>5</v>
      </c>
      <c r="M56" s="103">
        <f>JEs!D71</f>
        <v>493206.17874656379</v>
      </c>
    </row>
    <row r="57" spans="1:19" x14ac:dyDescent="0.25">
      <c r="A57" s="380" t="str">
        <f>+A56</f>
        <v>September 1, 2023</v>
      </c>
      <c r="B57" s="434">
        <v>5</v>
      </c>
      <c r="D57" s="103">
        <f>JEs!D69</f>
        <v>516821.05999999994</v>
      </c>
      <c r="J57" s="380" t="str">
        <f>+JEs!B105</f>
        <v>September 30,  2023</v>
      </c>
      <c r="K57" s="434">
        <v>8</v>
      </c>
      <c r="M57" s="103"/>
      <c r="O57" s="4">
        <f>-JEs!E111</f>
        <v>-244539.94</v>
      </c>
    </row>
    <row r="58" spans="1:19" x14ac:dyDescent="0.25">
      <c r="A58" s="380" t="str">
        <f>+JEs!B105</f>
        <v>September 30,  2023</v>
      </c>
      <c r="B58" s="434">
        <v>8</v>
      </c>
      <c r="D58" s="103"/>
      <c r="F58" s="108">
        <f>-JEs!E109</f>
        <v>-1141522.8563539525</v>
      </c>
      <c r="G58" s="5"/>
      <c r="J58" s="380" t="str">
        <f>+J57</f>
        <v>September 30,  2023</v>
      </c>
      <c r="K58" s="434">
        <v>8</v>
      </c>
      <c r="M58" s="103"/>
      <c r="O58" s="4">
        <f>-JEs!E112</f>
        <v>-246603.08937328189</v>
      </c>
    </row>
    <row r="59" spans="1:19" x14ac:dyDescent="0.25">
      <c r="A59" s="380" t="str">
        <f>+A58</f>
        <v>September 30,  2023</v>
      </c>
      <c r="B59" s="434">
        <v>8</v>
      </c>
      <c r="D59" s="103"/>
      <c r="F59" s="111">
        <f>-JEs!E110</f>
        <v>-237505.37581193214</v>
      </c>
      <c r="J59" s="380" t="str">
        <f>+JEs!B117</f>
        <v>September 30, 2023</v>
      </c>
      <c r="K59" s="435">
        <v>9</v>
      </c>
      <c r="L59" s="109"/>
      <c r="M59" s="110"/>
      <c r="N59" s="109"/>
      <c r="O59" s="111">
        <f>-JEs!E123</f>
        <v>-246603.08937328189</v>
      </c>
    </row>
    <row r="60" spans="1:19" x14ac:dyDescent="0.25">
      <c r="A60" s="380" t="str">
        <f>+JEs!B117</f>
        <v>September 30, 2023</v>
      </c>
      <c r="B60" s="434">
        <v>9</v>
      </c>
      <c r="D60" s="103"/>
      <c r="F60" s="108">
        <f>-JEs!E121</f>
        <v>-1141522.8563539525</v>
      </c>
      <c r="J60" s="380" t="s">
        <v>399</v>
      </c>
      <c r="M60" s="103">
        <f>SUM(M55:M59)</f>
        <v>737746.11874656379</v>
      </c>
      <c r="O60" s="4">
        <f>SUM(O55:O59)</f>
        <v>-737746.11874656379</v>
      </c>
      <c r="P60" s="5">
        <f>M60+O60</f>
        <v>0</v>
      </c>
      <c r="Q60" s="121"/>
    </row>
    <row r="61" spans="1:19" x14ac:dyDescent="0.25">
      <c r="A61" s="380" t="str">
        <f>+A60</f>
        <v>September 30, 2023</v>
      </c>
      <c r="B61" s="434">
        <v>9</v>
      </c>
      <c r="D61" s="103"/>
      <c r="F61" s="111">
        <f>-JEs!E122</f>
        <v>-237505.37581193214</v>
      </c>
      <c r="M61" s="103"/>
      <c r="Q61" s="121"/>
    </row>
    <row r="62" spans="1:19" x14ac:dyDescent="0.25">
      <c r="A62" s="380" t="s">
        <v>399</v>
      </c>
      <c r="D62" s="366">
        <f>SUM(D56:D61)</f>
        <v>2799866.7727079052</v>
      </c>
      <c r="F62" s="332">
        <f>SUM(F56:F61)</f>
        <v>-2758056.4643317694</v>
      </c>
      <c r="G62" s="5">
        <f>D62+F62</f>
        <v>41810.30837613577</v>
      </c>
      <c r="J62" s="380" t="str">
        <f>+JEs!B139</f>
        <v>October 1, 2023</v>
      </c>
      <c r="K62" s="434">
        <v>11</v>
      </c>
      <c r="M62" s="103">
        <f>JEs!D144</f>
        <v>246603.08937328189</v>
      </c>
    </row>
    <row r="63" spans="1:19" x14ac:dyDescent="0.25">
      <c r="A63" s="380"/>
      <c r="D63" s="103"/>
      <c r="G63" s="5"/>
      <c r="J63" s="380" t="str">
        <f>+JEs!B150</f>
        <v>October 31, 2023</v>
      </c>
      <c r="K63" s="434">
        <v>12</v>
      </c>
      <c r="M63" s="103"/>
      <c r="O63" s="4">
        <f>-JEs!E156</f>
        <v>-246603.08937328189</v>
      </c>
    </row>
    <row r="64" spans="1:19" x14ac:dyDescent="0.25">
      <c r="A64" s="380" t="str">
        <f>+JEs!B139</f>
        <v>October 1, 2023</v>
      </c>
      <c r="B64" s="434">
        <v>11</v>
      </c>
      <c r="D64" s="361">
        <f>JEs!D142</f>
        <v>1141522.8563539525</v>
      </c>
      <c r="J64" s="380" t="s">
        <v>401</v>
      </c>
      <c r="M64" s="103">
        <f>SUM(M62:M63)</f>
        <v>246603.08937328189</v>
      </c>
      <c r="O64" s="332">
        <f>SUM(O62:O63)</f>
        <v>-246603.08937328189</v>
      </c>
      <c r="P64" s="5">
        <f>M64+O64</f>
        <v>0</v>
      </c>
      <c r="Q64" s="121"/>
    </row>
    <row r="65" spans="1:17" x14ac:dyDescent="0.25">
      <c r="A65" s="380" t="str">
        <f>+A64</f>
        <v>October 1, 2023</v>
      </c>
      <c r="B65" s="434">
        <v>11</v>
      </c>
      <c r="D65" s="103">
        <f>JEs!D143</f>
        <v>237505.37581193214</v>
      </c>
      <c r="J65" s="381" t="str">
        <f>+JEs!B179</f>
        <v>October 31, 2023</v>
      </c>
      <c r="K65" s="436">
        <v>15</v>
      </c>
      <c r="L65" s="120"/>
      <c r="M65" s="122">
        <f>-P25-P64</f>
        <v>0</v>
      </c>
      <c r="N65" s="120"/>
      <c r="O65" s="123"/>
      <c r="P65" s="120"/>
      <c r="Q65" s="121" t="s">
        <v>191</v>
      </c>
    </row>
    <row r="66" spans="1:17" x14ac:dyDescent="0.25">
      <c r="A66" s="380" t="str">
        <f>+JEs!B150</f>
        <v>October 31, 2023</v>
      </c>
      <c r="B66" s="434">
        <v>12</v>
      </c>
      <c r="D66" s="103"/>
      <c r="F66" s="108">
        <f>-JEs!E154</f>
        <v>-1141522.8563539525</v>
      </c>
      <c r="J66" s="380" t="s">
        <v>400</v>
      </c>
      <c r="M66" s="103">
        <f>SUM(M64:M65)</f>
        <v>246603.08937328189</v>
      </c>
      <c r="O66" s="332">
        <f>SUM(O64:O65)</f>
        <v>-246603.08937328189</v>
      </c>
      <c r="P66" s="5">
        <f>M66+O66</f>
        <v>0</v>
      </c>
    </row>
    <row r="67" spans="1:17" x14ac:dyDescent="0.25">
      <c r="A67" s="380" t="str">
        <f>+A66</f>
        <v>October 31, 2023</v>
      </c>
      <c r="B67" s="434">
        <v>12</v>
      </c>
      <c r="D67" s="103"/>
      <c r="F67" s="4">
        <f>-JEs!E155</f>
        <v>-237505.37581193214</v>
      </c>
      <c r="M67" s="103"/>
    </row>
    <row r="68" spans="1:17" x14ac:dyDescent="0.25">
      <c r="A68" s="380" t="s">
        <v>400</v>
      </c>
      <c r="D68" s="361">
        <f>SUM(D64:D67)</f>
        <v>1379028.2321658847</v>
      </c>
      <c r="F68" s="332">
        <f>SUM(F64:F67)</f>
        <v>-1379028.2321658847</v>
      </c>
      <c r="G68" s="360">
        <f>D68+F68</f>
        <v>0</v>
      </c>
      <c r="H68" s="121"/>
      <c r="M68" s="103"/>
      <c r="O68" s="25"/>
    </row>
    <row r="69" spans="1:17" x14ac:dyDescent="0.25">
      <c r="D69" s="103"/>
      <c r="M69" s="103"/>
    </row>
    <row r="70" spans="1:17" x14ac:dyDescent="0.25">
      <c r="D70" s="25"/>
    </row>
    <row r="71" spans="1:17" x14ac:dyDescent="0.25">
      <c r="A71" s="441" t="s">
        <v>408</v>
      </c>
      <c r="B71" s="442"/>
      <c r="C71" s="441"/>
      <c r="D71" s="443"/>
      <c r="E71" s="441"/>
      <c r="F71" s="443"/>
      <c r="G71" s="444">
        <f>+G53+G62+G68</f>
        <v>-2343695.997900336</v>
      </c>
      <c r="J71" s="441" t="s">
        <v>408</v>
      </c>
      <c r="P71" s="444">
        <f>+P53+P60+P66</f>
        <v>-709548.69396752911</v>
      </c>
    </row>
    <row r="72" spans="1:17" x14ac:dyDescent="0.25">
      <c r="A72" s="441" t="s">
        <v>409</v>
      </c>
      <c r="B72" s="442"/>
      <c r="C72" s="441"/>
      <c r="D72" s="443"/>
      <c r="E72" s="441"/>
      <c r="F72" s="443"/>
      <c r="G72" s="444">
        <f>+G71+G45</f>
        <v>0</v>
      </c>
      <c r="J72" s="441" t="s">
        <v>409</v>
      </c>
      <c r="P72" s="444">
        <f>+P71+P45</f>
        <v>0</v>
      </c>
    </row>
    <row r="74" spans="1:17" s="10" customFormat="1" x14ac:dyDescent="0.25">
      <c r="B74" s="20"/>
      <c r="C74" s="522" t="s">
        <v>179</v>
      </c>
      <c r="D74" s="522"/>
      <c r="E74" s="522"/>
      <c r="F74" s="522"/>
      <c r="H74" s="20"/>
      <c r="K74" s="20"/>
      <c r="L74" s="522" t="s">
        <v>180</v>
      </c>
      <c r="M74" s="522"/>
      <c r="N74" s="522"/>
      <c r="O74" s="522"/>
      <c r="Q74" s="20"/>
    </row>
    <row r="75" spans="1:17" s="10" customFormat="1" ht="15.75" thickBot="1" x14ac:dyDescent="0.3">
      <c r="A75" s="10" t="s">
        <v>59</v>
      </c>
      <c r="B75" s="20" t="s">
        <v>175</v>
      </c>
      <c r="C75" s="590" t="s">
        <v>93</v>
      </c>
      <c r="D75" s="590"/>
      <c r="E75" s="590" t="s">
        <v>94</v>
      </c>
      <c r="F75" s="590"/>
      <c r="G75" s="101" t="s">
        <v>60</v>
      </c>
      <c r="H75" s="135" t="s">
        <v>181</v>
      </c>
      <c r="J75" s="10" t="s">
        <v>59</v>
      </c>
      <c r="K75" s="20" t="s">
        <v>175</v>
      </c>
      <c r="L75" s="590" t="s">
        <v>93</v>
      </c>
      <c r="M75" s="590"/>
      <c r="N75" s="590" t="s">
        <v>94</v>
      </c>
      <c r="O75" s="590"/>
      <c r="P75" s="101" t="s">
        <v>60</v>
      </c>
      <c r="Q75" s="135" t="s">
        <v>181</v>
      </c>
    </row>
    <row r="76" spans="1:17" ht="15.75" thickTop="1" x14ac:dyDescent="0.25">
      <c r="A76" s="380" t="str">
        <f>+JEs!B33</f>
        <v>August 31, 2023</v>
      </c>
      <c r="B76" s="435">
        <v>3</v>
      </c>
      <c r="C76" s="112"/>
      <c r="D76" s="113">
        <v>0</v>
      </c>
      <c r="E76" s="112"/>
      <c r="F76" s="114">
        <f>-D52</f>
        <v>-414360.46643143333</v>
      </c>
      <c r="G76" s="109"/>
      <c r="H76" s="121" t="s">
        <v>62</v>
      </c>
      <c r="J76" s="380" t="str">
        <f>+JEs!B33</f>
        <v>August 31, 2023</v>
      </c>
      <c r="K76" s="434">
        <v>3</v>
      </c>
      <c r="L76" s="100"/>
      <c r="M76" s="102"/>
      <c r="N76" s="100"/>
      <c r="O76" s="114">
        <f>-M52</f>
        <v>-28197.424779034685</v>
      </c>
      <c r="Q76" s="121" t="s">
        <v>63</v>
      </c>
    </row>
    <row r="77" spans="1:17" x14ac:dyDescent="0.25">
      <c r="A77" s="380" t="str">
        <f>+JEs!B128</f>
        <v>September 30, 2023</v>
      </c>
      <c r="B77" s="434">
        <v>10</v>
      </c>
      <c r="D77" s="484">
        <f>-F36</f>
        <v>121591.40888750181</v>
      </c>
      <c r="F77" s="428"/>
      <c r="H77" s="121" t="s">
        <v>64</v>
      </c>
      <c r="J77" s="380" t="str">
        <f>+JEs!B128</f>
        <v>September 30, 2023</v>
      </c>
      <c r="K77" s="434">
        <v>10</v>
      </c>
      <c r="M77" s="103">
        <f>-O18</f>
        <v>50342.099344328977</v>
      </c>
      <c r="Q77" s="121" t="s">
        <v>95</v>
      </c>
    </row>
    <row r="78" spans="1:17" x14ac:dyDescent="0.25">
      <c r="A78" s="380" t="str">
        <f>+JEs!B179</f>
        <v>October 31, 2023</v>
      </c>
      <c r="B78" s="434">
        <v>15</v>
      </c>
      <c r="D78" s="103"/>
      <c r="F78" s="108">
        <f>-D42</f>
        <v>0</v>
      </c>
      <c r="H78" s="121" t="s">
        <v>190</v>
      </c>
      <c r="J78" s="380" t="str">
        <f>+JEs!B179</f>
        <v>October 31, 2023</v>
      </c>
      <c r="K78" s="434">
        <v>15</v>
      </c>
      <c r="M78" s="103"/>
      <c r="O78" s="4">
        <f>-M65</f>
        <v>0</v>
      </c>
      <c r="Q78" s="121" t="s">
        <v>191</v>
      </c>
    </row>
    <row r="79" spans="1:17" x14ac:dyDescent="0.25">
      <c r="A79" s="109" t="s">
        <v>194</v>
      </c>
      <c r="D79" s="361">
        <f>SUM(D76:D78)</f>
        <v>121591.40888750181</v>
      </c>
      <c r="F79" s="108">
        <f>SUM(F76:F78)</f>
        <v>-414360.46643143333</v>
      </c>
      <c r="G79" s="360">
        <f>D79+F79</f>
        <v>-292769.05754393153</v>
      </c>
      <c r="J79" s="109" t="s">
        <v>194</v>
      </c>
      <c r="M79" s="366">
        <f>SUM(M76:M78)</f>
        <v>50342.099344328977</v>
      </c>
      <c r="O79" s="4">
        <f>SUM(O76:O78)</f>
        <v>-28197.424779034685</v>
      </c>
      <c r="P79" s="5">
        <f>M79+O79</f>
        <v>22144.674565294292</v>
      </c>
    </row>
    <row r="80" spans="1:17" x14ac:dyDescent="0.25">
      <c r="D80" s="103"/>
      <c r="M80" s="103"/>
      <c r="P80" s="5"/>
    </row>
    <row r="81" spans="1:17" x14ac:dyDescent="0.25">
      <c r="D81" s="103"/>
      <c r="M81" s="103"/>
    </row>
    <row r="82" spans="1:17" x14ac:dyDescent="0.25">
      <c r="A82" s="441" t="s">
        <v>408</v>
      </c>
      <c r="D82" s="25"/>
      <c r="F82" s="25"/>
      <c r="G82" s="440">
        <f>+G79</f>
        <v>-292769.05754393153</v>
      </c>
      <c r="J82" s="441" t="s">
        <v>408</v>
      </c>
      <c r="M82" s="25"/>
      <c r="O82" s="25"/>
      <c r="P82" s="440">
        <f>+P79</f>
        <v>22144.674565294292</v>
      </c>
    </row>
    <row r="83" spans="1:17" x14ac:dyDescent="0.25">
      <c r="A83" s="587" t="s">
        <v>61</v>
      </c>
      <c r="B83" s="587"/>
      <c r="C83" s="4"/>
      <c r="D83"/>
      <c r="E83" s="4"/>
      <c r="F83"/>
      <c r="G83" s="492"/>
      <c r="H83"/>
      <c r="J83" s="13"/>
      <c r="K83"/>
      <c r="L83" s="4"/>
      <c r="M83"/>
      <c r="N83" s="4"/>
      <c r="O83"/>
      <c r="P83" s="492"/>
    </row>
    <row r="84" spans="1:17" x14ac:dyDescent="0.25">
      <c r="A84" s="13"/>
      <c r="B84" s="121" t="s">
        <v>62</v>
      </c>
      <c r="C84" s="589" t="s">
        <v>402</v>
      </c>
      <c r="D84" s="589"/>
      <c r="E84" s="589"/>
      <c r="F84" s="589"/>
      <c r="G84" s="589"/>
      <c r="H84" s="589"/>
      <c r="I84" s="589"/>
      <c r="J84" s="589"/>
      <c r="K84" s="589"/>
      <c r="L84" s="589"/>
      <c r="M84" s="589"/>
      <c r="N84" s="589"/>
      <c r="O84" s="589"/>
      <c r="P84" s="589"/>
    </row>
    <row r="85" spans="1:17" x14ac:dyDescent="0.25">
      <c r="A85" s="13"/>
      <c r="B85" s="121" t="s">
        <v>63</v>
      </c>
      <c r="C85" s="589" t="s">
        <v>403</v>
      </c>
      <c r="D85" s="589"/>
      <c r="E85" s="589"/>
      <c r="F85" s="589"/>
      <c r="G85" s="589"/>
      <c r="H85" s="589"/>
      <c r="I85" s="589"/>
      <c r="J85" s="589"/>
      <c r="K85" s="589"/>
      <c r="L85" s="589"/>
      <c r="M85" s="589"/>
      <c r="N85" s="589"/>
      <c r="O85" s="589"/>
      <c r="P85" s="589"/>
    </row>
    <row r="86" spans="1:17" x14ac:dyDescent="0.25">
      <c r="A86" s="13"/>
      <c r="B86" s="121" t="s">
        <v>64</v>
      </c>
      <c r="C86" s="588" t="s">
        <v>404</v>
      </c>
      <c r="D86" s="588"/>
      <c r="E86" s="588"/>
      <c r="F86" s="588"/>
      <c r="G86" s="588"/>
      <c r="H86" s="588"/>
      <c r="I86" s="588"/>
      <c r="J86" s="588"/>
      <c r="K86" s="588"/>
      <c r="L86" s="588"/>
      <c r="M86" s="588"/>
      <c r="N86" s="588"/>
      <c r="O86" s="588"/>
      <c r="P86" s="588"/>
    </row>
    <row r="87" spans="1:17" x14ac:dyDescent="0.25">
      <c r="A87" s="13"/>
      <c r="B87" s="121" t="s">
        <v>95</v>
      </c>
      <c r="C87" s="589" t="s">
        <v>405</v>
      </c>
      <c r="D87" s="589"/>
      <c r="E87" s="589"/>
      <c r="F87" s="589"/>
      <c r="G87" s="589"/>
      <c r="H87" s="589"/>
      <c r="I87" s="589"/>
      <c r="J87" s="589"/>
      <c r="K87" s="589"/>
      <c r="L87" s="589"/>
      <c r="M87" s="589"/>
      <c r="N87" s="589"/>
      <c r="O87" s="589"/>
      <c r="P87" s="589"/>
    </row>
    <row r="88" spans="1:17" x14ac:dyDescent="0.25">
      <c r="A88" s="13"/>
      <c r="B88" s="121" t="s">
        <v>190</v>
      </c>
      <c r="C88" s="588" t="s">
        <v>406</v>
      </c>
      <c r="D88" s="588"/>
      <c r="E88" s="588"/>
      <c r="F88" s="588"/>
      <c r="G88" s="588"/>
      <c r="H88" s="588"/>
      <c r="I88" s="588"/>
      <c r="J88" s="588"/>
      <c r="K88" s="588"/>
      <c r="L88" s="588"/>
      <c r="M88" s="588"/>
      <c r="N88" s="588"/>
      <c r="O88" s="588"/>
      <c r="P88" s="588"/>
    </row>
    <row r="89" spans="1:17" x14ac:dyDescent="0.25">
      <c r="A89" s="13"/>
      <c r="B89" s="121" t="s">
        <v>191</v>
      </c>
      <c r="C89" s="589" t="s">
        <v>407</v>
      </c>
      <c r="D89" s="589"/>
      <c r="E89" s="589"/>
      <c r="F89" s="589"/>
      <c r="G89" s="589"/>
      <c r="H89" s="589"/>
      <c r="I89" s="589"/>
      <c r="J89" s="589"/>
      <c r="K89" s="589"/>
      <c r="L89" s="589"/>
      <c r="M89" s="589"/>
      <c r="N89" s="589"/>
      <c r="O89" s="589"/>
      <c r="P89" s="589"/>
    </row>
    <row r="90" spans="1:17" x14ac:dyDescent="0.25">
      <c r="D90" s="25"/>
      <c r="F90" s="25"/>
      <c r="M90" s="25"/>
      <c r="O90" s="25"/>
    </row>
    <row r="92" spans="1:17" x14ac:dyDescent="0.25">
      <c r="A92" t="s">
        <v>392</v>
      </c>
    </row>
    <row r="93" spans="1:17" ht="30.75" customHeight="1" x14ac:dyDescent="0.25">
      <c r="A93" s="10"/>
      <c r="B93" s="20"/>
      <c r="C93" s="522" t="s">
        <v>388</v>
      </c>
      <c r="D93" s="522"/>
      <c r="E93" s="522"/>
      <c r="F93" s="522"/>
      <c r="G93" s="10"/>
      <c r="H93" s="20"/>
      <c r="I93" s="10"/>
      <c r="J93" s="10"/>
      <c r="K93" s="20"/>
      <c r="L93" s="547" t="s">
        <v>389</v>
      </c>
      <c r="M93" s="547"/>
      <c r="N93" s="547"/>
      <c r="O93" s="547"/>
      <c r="P93" s="10"/>
      <c r="Q93" s="20"/>
    </row>
    <row r="94" spans="1:17" ht="15.75" thickBot="1" x14ac:dyDescent="0.3">
      <c r="A94" s="10" t="s">
        <v>59</v>
      </c>
      <c r="B94" s="20" t="s">
        <v>175</v>
      </c>
      <c r="C94" s="590" t="s">
        <v>93</v>
      </c>
      <c r="D94" s="590"/>
      <c r="E94" s="590" t="s">
        <v>94</v>
      </c>
      <c r="F94" s="590"/>
      <c r="G94" s="101" t="s">
        <v>60</v>
      </c>
      <c r="H94" s="135" t="s">
        <v>181</v>
      </c>
      <c r="I94" s="10"/>
      <c r="J94" s="10" t="s">
        <v>59</v>
      </c>
      <c r="K94" s="20" t="s">
        <v>175</v>
      </c>
      <c r="L94" s="590" t="s">
        <v>93</v>
      </c>
      <c r="M94" s="590"/>
      <c r="N94" s="590" t="s">
        <v>94</v>
      </c>
      <c r="O94" s="590"/>
      <c r="P94" s="101" t="s">
        <v>60</v>
      </c>
      <c r="Q94" s="135" t="s">
        <v>181</v>
      </c>
    </row>
    <row r="95" spans="1:17" ht="15.75" thickTop="1" x14ac:dyDescent="0.25">
      <c r="A95" s="380" t="str">
        <f>+JEs!B2</f>
        <v>August 31, 2023</v>
      </c>
      <c r="B95" s="435">
        <v>1</v>
      </c>
      <c r="C95" s="112"/>
      <c r="D95" s="113"/>
      <c r="E95" s="112"/>
      <c r="F95" s="114">
        <f>-+JEs!E16</f>
        <v>-2747865.6494461391</v>
      </c>
      <c r="G95" s="109"/>
      <c r="H95" s="121"/>
      <c r="J95" s="380" t="str">
        <f>+JEs!B2</f>
        <v>August 31, 2023</v>
      </c>
      <c r="K95" s="434">
        <v>1</v>
      </c>
      <c r="L95" s="100"/>
      <c r="M95" s="102"/>
      <c r="N95" s="100"/>
      <c r="O95" s="114">
        <f>+-JEs!E15</f>
        <v>-347189.35079786176</v>
      </c>
      <c r="Q95" s="121"/>
    </row>
    <row r="96" spans="1:17" x14ac:dyDescent="0.25">
      <c r="A96" s="380" t="str">
        <f>+JEs!B45</f>
        <v>September 1, 2023</v>
      </c>
      <c r="B96" s="434">
        <v>4</v>
      </c>
      <c r="D96" s="361">
        <f>+JEs!D51</f>
        <v>2747865.6494461391</v>
      </c>
      <c r="F96" s="25"/>
      <c r="H96" s="121"/>
      <c r="J96" s="380" t="str">
        <f>+JEs!B45</f>
        <v>September 1, 2023</v>
      </c>
      <c r="K96" s="434">
        <v>4</v>
      </c>
      <c r="M96" s="103">
        <f>+JEs!D50</f>
        <v>347189.35079786176</v>
      </c>
      <c r="Q96" s="121"/>
    </row>
    <row r="97" spans="1:17" x14ac:dyDescent="0.25">
      <c r="A97" s="380" t="str">
        <f>+JEs!B77</f>
        <v>September 15, 2023</v>
      </c>
      <c r="B97" s="434">
        <v>6</v>
      </c>
      <c r="D97" s="361"/>
      <c r="F97" s="25">
        <f>-JEs!E91</f>
        <v>-3302653.2734061391</v>
      </c>
      <c r="H97" s="121"/>
      <c r="J97" s="380" t="str">
        <f>+JEs!B77</f>
        <v>September 15, 2023</v>
      </c>
      <c r="K97" s="434">
        <v>6</v>
      </c>
      <c r="M97" s="103"/>
      <c r="O97" s="4">
        <f>-JEs!E90</f>
        <v>-347189.35079786176</v>
      </c>
      <c r="Q97" s="121"/>
    </row>
    <row r="98" spans="1:17" x14ac:dyDescent="0.25">
      <c r="A98" s="380" t="str">
        <f>+JEs!B96</f>
        <v>September 30,  2023</v>
      </c>
      <c r="B98" s="434">
        <v>7</v>
      </c>
      <c r="D98" s="361">
        <f>+JEs!D99</f>
        <v>424664.4241043051</v>
      </c>
      <c r="F98" s="25"/>
      <c r="H98" s="121"/>
      <c r="J98" s="380"/>
      <c r="M98" s="103"/>
      <c r="Q98" s="121"/>
    </row>
    <row r="99" spans="1:17" x14ac:dyDescent="0.25">
      <c r="A99" s="380" t="str">
        <f>+JEs!B161</f>
        <v>October 31, 2023</v>
      </c>
      <c r="B99" s="434">
        <v>13</v>
      </c>
      <c r="D99" s="361"/>
      <c r="F99" s="25">
        <f>-JEs!E165</f>
        <v>0</v>
      </c>
      <c r="H99" s="121"/>
      <c r="J99" s="380"/>
      <c r="M99" s="103"/>
      <c r="Q99" s="121"/>
    </row>
    <row r="100" spans="1:17" x14ac:dyDescent="0.25">
      <c r="A100" s="380"/>
      <c r="D100" s="103"/>
      <c r="F100" s="108"/>
      <c r="H100" s="121"/>
      <c r="J100" s="380"/>
      <c r="M100" s="103"/>
      <c r="Q100" s="121"/>
    </row>
    <row r="101" spans="1:17" x14ac:dyDescent="0.25">
      <c r="A101" s="109" t="s">
        <v>194</v>
      </c>
      <c r="D101" s="361">
        <f>SUM(D95:D100)</f>
        <v>3172530.0735504441</v>
      </c>
      <c r="F101" s="108">
        <f>SUM(F95:F100)</f>
        <v>-6050518.9228522778</v>
      </c>
      <c r="G101" s="360">
        <f>D101+F101</f>
        <v>-2877988.8493018337</v>
      </c>
      <c r="J101" s="109" t="s">
        <v>194</v>
      </c>
      <c r="M101" s="366">
        <f>SUM(M95:M100)</f>
        <v>347189.35079786176</v>
      </c>
      <c r="O101" s="4">
        <f>SUM(O95:O100)</f>
        <v>-694378.70159572351</v>
      </c>
      <c r="P101" s="5">
        <f>M101+O101</f>
        <v>-347189.35079786176</v>
      </c>
    </row>
    <row r="103" spans="1:17" x14ac:dyDescent="0.25">
      <c r="A103" s="441" t="s">
        <v>408</v>
      </c>
      <c r="D103" s="25"/>
      <c r="F103" s="25"/>
      <c r="G103" s="440">
        <f>+G101</f>
        <v>-2877988.8493018337</v>
      </c>
      <c r="J103" s="441" t="s">
        <v>408</v>
      </c>
      <c r="P103" s="440">
        <f>+P101</f>
        <v>-347189.35079786176</v>
      </c>
    </row>
    <row r="104" spans="1:17" x14ac:dyDescent="0.25">
      <c r="A104" s="441" t="s">
        <v>411</v>
      </c>
      <c r="D104" s="25"/>
      <c r="F104" s="25"/>
      <c r="G104" s="440">
        <f>+'Data for 2nd TU'!I80+'RPP Settlement &amp; 1st TU'!K31</f>
        <v>2877988.8493018337</v>
      </c>
      <c r="J104" s="5"/>
      <c r="P104" s="440">
        <f>+'Data for 2nd TU'!I71</f>
        <v>347189.35079786176</v>
      </c>
    </row>
    <row r="105" spans="1:17" x14ac:dyDescent="0.25">
      <c r="A105" s="441"/>
      <c r="D105" s="25"/>
      <c r="F105" s="25"/>
      <c r="G105" s="440">
        <f>+G103+G104</f>
        <v>0</v>
      </c>
      <c r="J105" s="5"/>
      <c r="P105" s="440">
        <f>+P103+P104</f>
        <v>0</v>
      </c>
    </row>
    <row r="106" spans="1:17" x14ac:dyDescent="0.25">
      <c r="G106" s="5"/>
    </row>
    <row r="107" spans="1:17" ht="36" customHeight="1" x14ac:dyDescent="0.25">
      <c r="A107" s="10"/>
      <c r="B107" s="20"/>
      <c r="C107" s="522" t="s">
        <v>393</v>
      </c>
      <c r="D107" s="522"/>
      <c r="E107" s="522"/>
      <c r="F107" s="522"/>
      <c r="G107" s="10"/>
      <c r="H107" s="20"/>
      <c r="Q107" s="20"/>
    </row>
    <row r="108" spans="1:17" ht="15.75" thickBot="1" x14ac:dyDescent="0.3">
      <c r="A108" s="10" t="s">
        <v>59</v>
      </c>
      <c r="B108" s="20" t="s">
        <v>175</v>
      </c>
      <c r="C108" s="590" t="s">
        <v>93</v>
      </c>
      <c r="D108" s="590"/>
      <c r="E108" s="590" t="s">
        <v>94</v>
      </c>
      <c r="F108" s="590"/>
      <c r="G108" s="101" t="s">
        <v>60</v>
      </c>
      <c r="H108" s="135" t="s">
        <v>181</v>
      </c>
      <c r="Q108" s="20"/>
    </row>
    <row r="109" spans="1:17" ht="15.75" thickTop="1" x14ac:dyDescent="0.25">
      <c r="A109" s="380" t="str">
        <f>+JEs!B21</f>
        <v>August 31, 2023</v>
      </c>
      <c r="B109" s="435">
        <v>2</v>
      </c>
      <c r="C109" s="112"/>
      <c r="D109" s="113">
        <f>+JEs!D24</f>
        <v>3537612.8914544689</v>
      </c>
      <c r="E109" s="112"/>
      <c r="F109" s="114"/>
      <c r="G109" s="109"/>
      <c r="H109" s="121"/>
      <c r="Q109" s="20"/>
    </row>
    <row r="110" spans="1:17" x14ac:dyDescent="0.25">
      <c r="A110" s="380" t="str">
        <f>+JEs!B64</f>
        <v>September 1, 2023</v>
      </c>
      <c r="B110" s="435">
        <v>5</v>
      </c>
      <c r="D110" s="361"/>
      <c r="F110" s="25">
        <f>-JEs!E72</f>
        <v>-3537612.8914544689</v>
      </c>
      <c r="H110" s="121"/>
      <c r="Q110" s="121"/>
    </row>
    <row r="111" spans="1:17" x14ac:dyDescent="0.25">
      <c r="A111" s="380" t="str">
        <f>+JEs!B105</f>
        <v>September 30,  2023</v>
      </c>
      <c r="B111" s="435">
        <v>8</v>
      </c>
      <c r="D111" s="361">
        <f>+JEs!D108</f>
        <v>1870171.2615391666</v>
      </c>
      <c r="F111" s="25"/>
      <c r="H111" s="121"/>
      <c r="Q111" s="121"/>
    </row>
    <row r="112" spans="1:17" x14ac:dyDescent="0.25">
      <c r="A112" s="380" t="str">
        <f>+JEs!B117</f>
        <v>September 30, 2023</v>
      </c>
      <c r="B112" s="435">
        <v>9</v>
      </c>
      <c r="D112" s="361">
        <f>+JEs!D120</f>
        <v>1625631.3215391666</v>
      </c>
      <c r="F112" s="25"/>
      <c r="H112" s="121"/>
    </row>
    <row r="113" spans="1:16" x14ac:dyDescent="0.25">
      <c r="A113" s="380" t="str">
        <f>+JEs!B139</f>
        <v>October 1, 2023</v>
      </c>
      <c r="B113" s="435">
        <v>11</v>
      </c>
      <c r="D113" s="361"/>
      <c r="F113" s="25">
        <f>-JEs!E145</f>
        <v>-1625631.3215391666</v>
      </c>
      <c r="H113" s="121"/>
    </row>
    <row r="114" spans="1:16" x14ac:dyDescent="0.25">
      <c r="A114" s="380" t="str">
        <f>+JEs!B150</f>
        <v>October 31, 2023</v>
      </c>
      <c r="B114" s="435">
        <v>12</v>
      </c>
      <c r="D114" s="361">
        <f>+JEs!D153</f>
        <v>1625631.3215391666</v>
      </c>
      <c r="F114" s="25"/>
      <c r="H114" s="121"/>
    </row>
    <row r="115" spans="1:16" x14ac:dyDescent="0.25">
      <c r="A115" s="380"/>
      <c r="D115" s="103"/>
      <c r="F115" s="108"/>
      <c r="H115" s="121"/>
    </row>
    <row r="116" spans="1:16" x14ac:dyDescent="0.25">
      <c r="A116" s="109" t="s">
        <v>194</v>
      </c>
      <c r="D116" s="361">
        <f>SUM(D109:D115)</f>
        <v>8659046.796071969</v>
      </c>
      <c r="F116" s="108">
        <f>SUM(F109:F115)</f>
        <v>-5163244.2129936358</v>
      </c>
      <c r="G116" s="360">
        <f>D116+F116</f>
        <v>3495802.5830783332</v>
      </c>
    </row>
    <row r="118" spans="1:16" x14ac:dyDescent="0.25">
      <c r="A118" s="441" t="s">
        <v>408</v>
      </c>
      <c r="G118" s="440">
        <f>+G116</f>
        <v>3495802.5830783332</v>
      </c>
    </row>
    <row r="119" spans="1:16" x14ac:dyDescent="0.25">
      <c r="A119" s="441"/>
    </row>
    <row r="120" spans="1:16" x14ac:dyDescent="0.25">
      <c r="A120" s="441" t="s">
        <v>410</v>
      </c>
      <c r="G120" s="445">
        <f>+G82+P82+G103+P103+G118</f>
        <v>0</v>
      </c>
      <c r="J120" s="441" t="s">
        <v>416</v>
      </c>
      <c r="P120" s="445">
        <f>+G82+P82+P118</f>
        <v>-270624.38297863724</v>
      </c>
    </row>
    <row r="121" spans="1:16" x14ac:dyDescent="0.25">
      <c r="P121" s="493"/>
    </row>
    <row r="123" spans="1:16" x14ac:dyDescent="0.25">
      <c r="P123" s="5"/>
    </row>
  </sheetData>
  <mergeCells count="34">
    <mergeCell ref="C107:F107"/>
    <mergeCell ref="C108:D108"/>
    <mergeCell ref="E108:F108"/>
    <mergeCell ref="C93:F93"/>
    <mergeCell ref="L93:O93"/>
    <mergeCell ref="C94:D94"/>
    <mergeCell ref="E94:F94"/>
    <mergeCell ref="L94:M94"/>
    <mergeCell ref="N94:O94"/>
    <mergeCell ref="C47:F47"/>
    <mergeCell ref="L47:O47"/>
    <mergeCell ref="C48:D48"/>
    <mergeCell ref="E48:F48"/>
    <mergeCell ref="L48:M48"/>
    <mergeCell ref="N48:O48"/>
    <mergeCell ref="C3:F3"/>
    <mergeCell ref="C4:D4"/>
    <mergeCell ref="E4:F4"/>
    <mergeCell ref="L4:M4"/>
    <mergeCell ref="N4:O4"/>
    <mergeCell ref="L3:O3"/>
    <mergeCell ref="L74:O74"/>
    <mergeCell ref="C75:D75"/>
    <mergeCell ref="E75:F75"/>
    <mergeCell ref="L75:M75"/>
    <mergeCell ref="N75:O75"/>
    <mergeCell ref="C74:F74"/>
    <mergeCell ref="A83:B83"/>
    <mergeCell ref="C86:P86"/>
    <mergeCell ref="C87:P87"/>
    <mergeCell ref="C88:P88"/>
    <mergeCell ref="C89:P89"/>
    <mergeCell ref="C84:P84"/>
    <mergeCell ref="C85:P85"/>
  </mergeCells>
  <phoneticPr fontId="30" type="noConversion"/>
  <pageMargins left="0.7" right="0.7" top="0.75" bottom="0.75" header="0.3" footer="0.3"/>
  <pageSetup paperSize="17" scale="61" orientation="portrait" r:id="rId1"/>
  <ignoredErrors>
    <ignoredError sqref="A26 A60 A58 A66 J14 J57"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8"/>
  <sheetViews>
    <sheetView zoomScale="70" zoomScaleNormal="70" workbookViewId="0">
      <selection sqref="A1:P111"/>
    </sheetView>
  </sheetViews>
  <sheetFormatPr defaultColWidth="8.7109375" defaultRowHeight="15" x14ac:dyDescent="0.25"/>
  <cols>
    <col min="1" max="1" width="59.7109375" customWidth="1"/>
    <col min="2" max="2" width="16" customWidth="1"/>
    <col min="3" max="3" width="15.7109375" customWidth="1"/>
    <col min="4" max="4" width="15.7109375" bestFit="1" customWidth="1"/>
    <col min="5" max="5" width="16.5703125" customWidth="1"/>
    <col min="6" max="6" width="70.28515625" customWidth="1"/>
    <col min="7" max="7" width="12.5703125" customWidth="1"/>
    <col min="8" max="8" width="15" bestFit="1" customWidth="1"/>
    <col min="9" max="9" width="20.42578125" customWidth="1"/>
    <col min="10" max="10" width="15.85546875" customWidth="1"/>
    <col min="11" max="11" width="50.7109375" customWidth="1"/>
    <col min="12" max="12" width="19.7109375" customWidth="1"/>
    <col min="13" max="13" width="14.7109375" customWidth="1"/>
    <col min="14" max="14" width="16.28515625" customWidth="1"/>
    <col min="15" max="15" width="15.28515625" customWidth="1"/>
    <col min="16" max="16" width="17" customWidth="1"/>
    <col min="17" max="17" width="15.7109375" customWidth="1"/>
    <col min="18" max="22" width="14.7109375" customWidth="1"/>
    <col min="23" max="23" width="12.28515625" bestFit="1" customWidth="1"/>
  </cols>
  <sheetData>
    <row r="1" spans="1:11" ht="18.75" x14ac:dyDescent="0.3">
      <c r="A1" s="449" t="s">
        <v>412</v>
      </c>
      <c r="B1" s="451"/>
      <c r="C1" s="452"/>
      <c r="D1" s="452" t="s">
        <v>413</v>
      </c>
      <c r="E1" s="285" t="s">
        <v>295</v>
      </c>
      <c r="F1" s="502" t="s">
        <v>437</v>
      </c>
    </row>
    <row r="2" spans="1:11" s="10" customFormat="1" ht="18.75" x14ac:dyDescent="0.3">
      <c r="A2" s="22" t="s">
        <v>337</v>
      </c>
      <c r="E2"/>
      <c r="F2" s="22" t="s">
        <v>338</v>
      </c>
      <c r="J2" s="453" t="s">
        <v>417</v>
      </c>
      <c r="K2" s="22" t="s">
        <v>334</v>
      </c>
    </row>
    <row r="3" spans="1:11" x14ac:dyDescent="0.25">
      <c r="A3" s="515" t="s">
        <v>441</v>
      </c>
      <c r="B3" s="515"/>
      <c r="J3" s="453" t="s">
        <v>418</v>
      </c>
    </row>
    <row r="4" spans="1:11" x14ac:dyDescent="0.25">
      <c r="A4" s="10" t="s">
        <v>22</v>
      </c>
      <c r="F4" s="10" t="s">
        <v>112</v>
      </c>
      <c r="J4" s="454" t="s">
        <v>435</v>
      </c>
    </row>
    <row r="5" spans="1:11" ht="30" x14ac:dyDescent="0.25">
      <c r="A5" s="10"/>
      <c r="B5" s="27" t="s">
        <v>104</v>
      </c>
      <c r="C5" s="20" t="s">
        <v>96</v>
      </c>
      <c r="D5" s="20" t="s">
        <v>97</v>
      </c>
      <c r="F5" s="10"/>
      <c r="G5" s="27" t="s">
        <v>104</v>
      </c>
      <c r="H5" s="20" t="s">
        <v>96</v>
      </c>
      <c r="I5" s="20" t="s">
        <v>97</v>
      </c>
      <c r="J5" s="459" t="s">
        <v>96</v>
      </c>
    </row>
    <row r="6" spans="1:11" ht="17.25" x14ac:dyDescent="0.25">
      <c r="A6" t="s">
        <v>196</v>
      </c>
      <c r="C6" s="504">
        <v>32434190</v>
      </c>
      <c r="D6" s="201">
        <f>C6</f>
        <v>32434190</v>
      </c>
      <c r="F6" t="s">
        <v>211</v>
      </c>
      <c r="H6" s="200">
        <f>+C6</f>
        <v>32434190</v>
      </c>
      <c r="I6" s="201">
        <f>+H6</f>
        <v>32434190</v>
      </c>
      <c r="J6" s="460">
        <f>+H6</f>
        <v>32434190</v>
      </c>
      <c r="K6" s="106" t="s">
        <v>436</v>
      </c>
    </row>
    <row r="7" spans="1:11" x14ac:dyDescent="0.25">
      <c r="A7" t="s">
        <v>323</v>
      </c>
      <c r="C7" s="504">
        <v>7220967</v>
      </c>
      <c r="D7" s="201">
        <f>+C7</f>
        <v>7220967</v>
      </c>
      <c r="F7" t="s">
        <v>323</v>
      </c>
      <c r="H7" s="397">
        <f>+C7</f>
        <v>7220967</v>
      </c>
      <c r="I7" s="201">
        <f>+H7</f>
        <v>7220967</v>
      </c>
      <c r="J7" s="461"/>
    </row>
    <row r="8" spans="1:11" ht="17.25" x14ac:dyDescent="0.25">
      <c r="A8" t="s">
        <v>197</v>
      </c>
      <c r="C8" s="504">
        <v>347712.63</v>
      </c>
      <c r="D8" s="201">
        <f>+C8</f>
        <v>347712.63</v>
      </c>
      <c r="F8" t="s">
        <v>210</v>
      </c>
      <c r="H8" s="200">
        <f>+C8</f>
        <v>347712.63</v>
      </c>
      <c r="I8" s="201">
        <f>+H8</f>
        <v>347712.63</v>
      </c>
      <c r="J8" s="460">
        <f>+H8</f>
        <v>347712.63</v>
      </c>
      <c r="K8" s="106" t="s">
        <v>436</v>
      </c>
    </row>
    <row r="9" spans="1:11" x14ac:dyDescent="0.25">
      <c r="A9" t="s">
        <v>99</v>
      </c>
      <c r="C9" s="504">
        <v>-7273976.6299999999</v>
      </c>
      <c r="D9" s="201"/>
      <c r="F9" t="s">
        <v>212</v>
      </c>
      <c r="H9" s="200">
        <f>+C9</f>
        <v>-7273976.6299999999</v>
      </c>
      <c r="I9" s="201"/>
      <c r="J9" s="460">
        <f>+H9</f>
        <v>-7273976.6299999999</v>
      </c>
    </row>
    <row r="10" spans="1:11" x14ac:dyDescent="0.25">
      <c r="C10" s="202">
        <f>SUM(C6:C9)</f>
        <v>32728893.000000004</v>
      </c>
      <c r="D10" s="202">
        <f>SUM(D6:D9)</f>
        <v>40002869.630000003</v>
      </c>
      <c r="H10" s="202">
        <f>SUM(H6:H9)</f>
        <v>32728893.000000004</v>
      </c>
      <c r="I10" s="202">
        <f>SUM(I6:I9)</f>
        <v>40002869.630000003</v>
      </c>
      <c r="J10" s="462">
        <f>SUM(J6:J9)</f>
        <v>25507926</v>
      </c>
    </row>
    <row r="11" spans="1:11" x14ac:dyDescent="0.25">
      <c r="B11" s="74" t="s">
        <v>324</v>
      </c>
      <c r="C11" s="396">
        <f>+C6+C8+C9</f>
        <v>25507926</v>
      </c>
      <c r="G11" s="74" t="s">
        <v>324</v>
      </c>
      <c r="H11" s="396">
        <f>+H6+H8+H9</f>
        <v>25507926</v>
      </c>
      <c r="J11" s="463">
        <f>+J10-J9</f>
        <v>32781902.629999999</v>
      </c>
    </row>
    <row r="12" spans="1:11" x14ac:dyDescent="0.25">
      <c r="A12" t="s">
        <v>32</v>
      </c>
      <c r="B12" s="203">
        <f>+B33</f>
        <v>0.72433260756007489</v>
      </c>
      <c r="C12" s="204">
        <f>+C10*B12</f>
        <v>23706604.409244686</v>
      </c>
      <c r="D12" s="6">
        <f>C12</f>
        <v>23706604.409244686</v>
      </c>
      <c r="F12" t="s">
        <v>32</v>
      </c>
      <c r="G12" s="205">
        <f>+G33</f>
        <v>0.72433260756007489</v>
      </c>
      <c r="H12" s="204">
        <f>+H10*G12</f>
        <v>23706604.409244686</v>
      </c>
      <c r="I12" s="6">
        <f>H12</f>
        <v>23706604.409244686</v>
      </c>
      <c r="J12" s="465">
        <f>+(J11+J9)/(I10+J9)</f>
        <v>0.77937026467714621</v>
      </c>
    </row>
    <row r="13" spans="1:11" ht="33" customHeight="1" x14ac:dyDescent="0.25">
      <c r="A13" t="s">
        <v>33</v>
      </c>
      <c r="B13" s="203">
        <f>+B34</f>
        <v>0.27566739243992505</v>
      </c>
      <c r="C13" s="204">
        <f>+C10*B13</f>
        <v>9022288.5907553174</v>
      </c>
      <c r="D13" s="6">
        <f>C13-C9</f>
        <v>16296265.220755316</v>
      </c>
      <c r="F13" t="s">
        <v>33</v>
      </c>
      <c r="G13" s="205">
        <f>+G34</f>
        <v>0.27566739243992505</v>
      </c>
      <c r="H13" s="204">
        <f>+H10*G13</f>
        <v>9022288.5907553174</v>
      </c>
      <c r="I13" s="6">
        <f>H13-H9</f>
        <v>16296265.220755316</v>
      </c>
      <c r="J13" s="464" t="s">
        <v>426</v>
      </c>
    </row>
    <row r="14" spans="1:11" ht="15.75" thickBot="1" x14ac:dyDescent="0.3">
      <c r="A14" t="s">
        <v>13</v>
      </c>
      <c r="B14" s="16">
        <f>+B12+B13</f>
        <v>1</v>
      </c>
      <c r="C14" s="15">
        <f>+C12+C13</f>
        <v>32728893.000000004</v>
      </c>
      <c r="D14" s="15">
        <f>+D12+D13</f>
        <v>40002869.630000003</v>
      </c>
      <c r="F14" t="s">
        <v>13</v>
      </c>
      <c r="G14" s="16">
        <f>+G12+G13</f>
        <v>1</v>
      </c>
      <c r="H14" s="15">
        <f>+H12+H13</f>
        <v>32728893.000000004</v>
      </c>
      <c r="I14" s="15">
        <f>+I12+I13</f>
        <v>40002869.630000003</v>
      </c>
      <c r="J14" s="106"/>
    </row>
    <row r="15" spans="1:11" ht="15.75" thickTop="1" x14ac:dyDescent="0.25">
      <c r="J15" s="106"/>
    </row>
    <row r="16" spans="1:11" x14ac:dyDescent="0.25">
      <c r="A16" s="206" t="s">
        <v>217</v>
      </c>
      <c r="F16" s="23" t="s">
        <v>218</v>
      </c>
    </row>
    <row r="17" spans="1:14" x14ac:dyDescent="0.25">
      <c r="A17" s="23"/>
      <c r="B17" s="20" t="s">
        <v>8</v>
      </c>
      <c r="C17" s="20" t="s">
        <v>14</v>
      </c>
      <c r="D17" s="27"/>
      <c r="F17" s="23"/>
      <c r="G17" s="272" t="s">
        <v>8</v>
      </c>
      <c r="H17" s="20" t="s">
        <v>14</v>
      </c>
      <c r="J17" s="20" t="s">
        <v>14</v>
      </c>
    </row>
    <row r="18" spans="1:14" x14ac:dyDescent="0.25">
      <c r="A18" t="s">
        <v>2</v>
      </c>
      <c r="B18" s="205">
        <f>B39</f>
        <v>2.9553690764403354E-2</v>
      </c>
      <c r="C18" s="239">
        <f>+B18*$C$12</f>
        <v>700617.65578485851</v>
      </c>
      <c r="D18" s="207"/>
      <c r="F18" t="s">
        <v>2</v>
      </c>
      <c r="G18" s="205">
        <f t="shared" ref="G18:G25" si="0">G39</f>
        <v>2.9553690764403354E-2</v>
      </c>
      <c r="H18" s="239">
        <f>+G18*$H$12</f>
        <v>700617.65578485851</v>
      </c>
      <c r="J18" s="284">
        <f>+H18*J$12</f>
        <v>546040.56782652694</v>
      </c>
    </row>
    <row r="19" spans="1:14" x14ac:dyDescent="0.25">
      <c r="A19" t="s">
        <v>3</v>
      </c>
      <c r="B19" s="205">
        <f t="shared" ref="B19:B26" si="1">B40</f>
        <v>1.4664001390179069E-2</v>
      </c>
      <c r="C19" s="239">
        <f t="shared" ref="C19:C26" si="2">+B19*$C$12</f>
        <v>347633.68001358933</v>
      </c>
      <c r="D19" s="207"/>
      <c r="F19" t="s">
        <v>3</v>
      </c>
      <c r="G19" s="205">
        <f t="shared" si="0"/>
        <v>1.4664001390179069E-2</v>
      </c>
      <c r="H19" s="239">
        <f t="shared" ref="H19:H26" si="3">+G19*$H$12</f>
        <v>347633.68001358933</v>
      </c>
      <c r="J19" s="284">
        <f t="shared" ref="J19:J26" si="4">+H19*J$12</f>
        <v>270935.35320288147</v>
      </c>
    </row>
    <row r="20" spans="1:14" x14ac:dyDescent="0.25">
      <c r="A20" s="319" t="s">
        <v>296</v>
      </c>
      <c r="B20" s="286">
        <f t="shared" si="1"/>
        <v>0.58670160745156419</v>
      </c>
      <c r="C20" s="284">
        <f t="shared" si="2"/>
        <v>13908702.914122196</v>
      </c>
      <c r="D20" s="207"/>
      <c r="F20" s="319" t="s">
        <v>296</v>
      </c>
      <c r="G20" s="286">
        <f t="shared" si="0"/>
        <v>0.58670160745156419</v>
      </c>
      <c r="H20" s="284">
        <f t="shared" si="3"/>
        <v>13908702.914122196</v>
      </c>
      <c r="J20" s="284">
        <f t="shared" si="4"/>
        <v>10840029.471495211</v>
      </c>
    </row>
    <row r="21" spans="1:14" x14ac:dyDescent="0.25">
      <c r="A21" s="319" t="s">
        <v>297</v>
      </c>
      <c r="B21" s="286">
        <f t="shared" si="1"/>
        <v>0.17350470296051076</v>
      </c>
      <c r="C21" s="284">
        <f t="shared" si="2"/>
        <v>4113207.3562283339</v>
      </c>
      <c r="D21" s="207"/>
      <c r="F21" s="319" t="s">
        <v>297</v>
      </c>
      <c r="G21" s="286">
        <f t="shared" si="0"/>
        <v>0.17350470296051076</v>
      </c>
      <c r="H21" s="284">
        <f t="shared" si="3"/>
        <v>4113207.3562283339</v>
      </c>
      <c r="J21" s="284">
        <f t="shared" si="4"/>
        <v>3205711.5058956612</v>
      </c>
    </row>
    <row r="22" spans="1:14" x14ac:dyDescent="0.25">
      <c r="A22" s="319" t="s">
        <v>298</v>
      </c>
      <c r="B22" s="286">
        <f t="shared" si="1"/>
        <v>0.19557599743334256</v>
      </c>
      <c r="C22" s="284">
        <f t="shared" si="2"/>
        <v>4636442.8030957058</v>
      </c>
      <c r="D22" s="207"/>
      <c r="F22" s="319" t="s">
        <v>298</v>
      </c>
      <c r="G22" s="286">
        <f t="shared" si="0"/>
        <v>0.19557599743334256</v>
      </c>
      <c r="H22" s="284">
        <f t="shared" si="3"/>
        <v>4636442.8030957058</v>
      </c>
      <c r="J22" s="284">
        <f t="shared" si="4"/>
        <v>3613505.6546091498</v>
      </c>
    </row>
    <row r="23" spans="1:14" x14ac:dyDescent="0.25">
      <c r="A23" s="320" t="s">
        <v>299</v>
      </c>
      <c r="B23" s="286">
        <f t="shared" si="1"/>
        <v>0</v>
      </c>
      <c r="C23" s="284">
        <f>+B23*$C$12</f>
        <v>0</v>
      </c>
      <c r="D23" s="207"/>
      <c r="F23" s="320" t="s">
        <v>299</v>
      </c>
      <c r="G23" s="286">
        <f t="shared" si="0"/>
        <v>0</v>
      </c>
      <c r="H23" s="284">
        <f>+G23*$H$12</f>
        <v>0</v>
      </c>
      <c r="J23" s="284">
        <f t="shared" si="4"/>
        <v>0</v>
      </c>
    </row>
    <row r="24" spans="1:14" x14ac:dyDescent="0.25">
      <c r="A24" s="320" t="s">
        <v>300</v>
      </c>
      <c r="B24" s="286">
        <f t="shared" si="1"/>
        <v>0</v>
      </c>
      <c r="C24" s="284">
        <f t="shared" si="2"/>
        <v>0</v>
      </c>
      <c r="D24" s="207"/>
      <c r="F24" s="320" t="s">
        <v>300</v>
      </c>
      <c r="G24" s="286">
        <f t="shared" si="0"/>
        <v>0</v>
      </c>
      <c r="H24" s="284">
        <f t="shared" si="3"/>
        <v>0</v>
      </c>
      <c r="J24" s="284">
        <f t="shared" si="4"/>
        <v>0</v>
      </c>
    </row>
    <row r="25" spans="1:14" x14ac:dyDescent="0.25">
      <c r="A25" s="320" t="s">
        <v>301</v>
      </c>
      <c r="B25" s="286">
        <f t="shared" si="1"/>
        <v>0</v>
      </c>
      <c r="C25" s="284">
        <f>+B25*$C$12</f>
        <v>0</v>
      </c>
      <c r="D25" s="207"/>
      <c r="F25" s="320" t="s">
        <v>301</v>
      </c>
      <c r="G25" s="286">
        <f t="shared" si="0"/>
        <v>0</v>
      </c>
      <c r="H25" s="284">
        <f>+G25*$H$12</f>
        <v>0</v>
      </c>
      <c r="J25" s="284">
        <f t="shared" si="4"/>
        <v>0</v>
      </c>
    </row>
    <row r="26" spans="1:14" x14ac:dyDescent="0.25">
      <c r="A26" s="320" t="s">
        <v>302</v>
      </c>
      <c r="B26" s="286">
        <f t="shared" si="1"/>
        <v>0</v>
      </c>
      <c r="C26" s="284">
        <f t="shared" si="2"/>
        <v>0</v>
      </c>
      <c r="D26" s="207"/>
      <c r="F26" s="320" t="s">
        <v>302</v>
      </c>
      <c r="G26" s="286">
        <f t="shared" ref="G26" si="5">G47</f>
        <v>0</v>
      </c>
      <c r="H26" s="284">
        <f t="shared" si="3"/>
        <v>0</v>
      </c>
      <c r="J26" s="284">
        <f t="shared" si="4"/>
        <v>0</v>
      </c>
    </row>
    <row r="27" spans="1:14" ht="15.75" thickBot="1" x14ac:dyDescent="0.3">
      <c r="B27" s="16">
        <f>SUM(B18:B26)</f>
        <v>0.99999999999999989</v>
      </c>
      <c r="C27" s="15">
        <f>SUM(C18:C26)</f>
        <v>23706604.409244683</v>
      </c>
      <c r="D27" s="290"/>
      <c r="G27" s="323">
        <f>SUM(G18:G26)</f>
        <v>0.99999999999999989</v>
      </c>
      <c r="H27" s="322">
        <f>SUM(H18:H26)</f>
        <v>23706604.409244683</v>
      </c>
      <c r="J27" s="481">
        <f>SUM(J18:J26)</f>
        <v>18476222.553029429</v>
      </c>
    </row>
    <row r="28" spans="1:14" ht="15.75" thickTop="1" x14ac:dyDescent="0.25"/>
    <row r="29" spans="1:14" ht="15.75" x14ac:dyDescent="0.25">
      <c r="A29" s="23" t="s">
        <v>198</v>
      </c>
      <c r="F29" s="23" t="s">
        <v>113</v>
      </c>
      <c r="K29" s="23" t="s">
        <v>185</v>
      </c>
    </row>
    <row r="30" spans="1:14" ht="30" x14ac:dyDescent="0.25">
      <c r="A30" s="23"/>
      <c r="B30" s="27" t="s">
        <v>98</v>
      </c>
      <c r="C30" s="20" t="s">
        <v>96</v>
      </c>
      <c r="D30" s="20" t="s">
        <v>97</v>
      </c>
      <c r="F30" s="23"/>
      <c r="G30" s="27" t="s">
        <v>98</v>
      </c>
      <c r="H30" s="20" t="s">
        <v>96</v>
      </c>
      <c r="I30" s="20" t="s">
        <v>97</v>
      </c>
      <c r="K30" s="23"/>
      <c r="L30" s="27" t="s">
        <v>98</v>
      </c>
      <c r="M30" s="20" t="s">
        <v>96</v>
      </c>
      <c r="N30" s="20" t="s">
        <v>97</v>
      </c>
    </row>
    <row r="31" spans="1:14" x14ac:dyDescent="0.25">
      <c r="A31" t="s">
        <v>105</v>
      </c>
      <c r="C31" s="204">
        <f>+C35</f>
        <v>33273851.493872002</v>
      </c>
      <c r="D31" s="204">
        <f>+D10</f>
        <v>40002869.630000003</v>
      </c>
      <c r="F31" t="s">
        <v>105</v>
      </c>
      <c r="H31" s="201">
        <f>+H35</f>
        <v>33273851.493872002</v>
      </c>
      <c r="I31" s="6">
        <f>+I35</f>
        <v>40547828.123871997</v>
      </c>
      <c r="K31" t="s">
        <v>105</v>
      </c>
      <c r="M31" s="201">
        <f>+M35</f>
        <v>33273851.493872002</v>
      </c>
      <c r="N31" s="6">
        <f>+N35</f>
        <v>40547828.123871997</v>
      </c>
    </row>
    <row r="33" spans="1:14" x14ac:dyDescent="0.25">
      <c r="A33" t="s">
        <v>11</v>
      </c>
      <c r="B33" s="203">
        <f>+C33/C35</f>
        <v>0.72433260756007489</v>
      </c>
      <c r="C33" s="504">
        <v>24101335.616123002</v>
      </c>
      <c r="D33" s="201">
        <f>+C33</f>
        <v>24101335.616123002</v>
      </c>
      <c r="F33" t="s">
        <v>65</v>
      </c>
      <c r="G33" s="205">
        <f>+H33/H35</f>
        <v>0.72433260756007489</v>
      </c>
      <c r="H33" s="201">
        <f>+C33</f>
        <v>24101335.616123002</v>
      </c>
      <c r="I33" s="201">
        <f>+D33</f>
        <v>24101335.616123002</v>
      </c>
      <c r="K33" t="s">
        <v>65</v>
      </c>
      <c r="L33" s="205">
        <f>+M33/M35</f>
        <v>0.72433260756007489</v>
      </c>
      <c r="M33" s="201">
        <f>+H33</f>
        <v>24101335.616123002</v>
      </c>
      <c r="N33" s="201">
        <f>+I33</f>
        <v>24101335.616123002</v>
      </c>
    </row>
    <row r="34" spans="1:14" x14ac:dyDescent="0.25">
      <c r="A34" t="s">
        <v>12</v>
      </c>
      <c r="B34" s="203">
        <f>+C34/C35</f>
        <v>0.27566739243992505</v>
      </c>
      <c r="C34" s="504">
        <v>9172515.8777489997</v>
      </c>
      <c r="D34" s="201">
        <f>+C34-C9</f>
        <v>16446492.507748999</v>
      </c>
      <c r="F34" t="s">
        <v>66</v>
      </c>
      <c r="G34" s="205">
        <f>+H34/H35</f>
        <v>0.27566739243992505</v>
      </c>
      <c r="H34" s="201">
        <f>+C34</f>
        <v>9172515.8777489997</v>
      </c>
      <c r="I34" s="201">
        <f>+D34</f>
        <v>16446492.507748999</v>
      </c>
      <c r="K34" t="s">
        <v>66</v>
      </c>
      <c r="L34" s="205">
        <f>+M34/M35</f>
        <v>0.27566739243992505</v>
      </c>
      <c r="M34" s="201">
        <f>+H34</f>
        <v>9172515.8777489997</v>
      </c>
      <c r="N34" s="201">
        <f>+I34</f>
        <v>16446492.507748999</v>
      </c>
    </row>
    <row r="35" spans="1:14" ht="15.75" thickBot="1" x14ac:dyDescent="0.3">
      <c r="A35" t="s">
        <v>52</v>
      </c>
      <c r="B35" s="16">
        <f>+B33+B34</f>
        <v>1</v>
      </c>
      <c r="C35" s="15">
        <f>+C33+C34</f>
        <v>33273851.493872002</v>
      </c>
      <c r="D35" s="15">
        <f>+D33+D34</f>
        <v>40547828.123871997</v>
      </c>
      <c r="F35" t="s">
        <v>52</v>
      </c>
      <c r="G35" s="16">
        <f>+G33+G34</f>
        <v>1</v>
      </c>
      <c r="H35" s="15">
        <f>+H33+H34</f>
        <v>33273851.493872002</v>
      </c>
      <c r="I35" s="15">
        <f>+I33+I34</f>
        <v>40547828.123871997</v>
      </c>
      <c r="K35" t="s">
        <v>52</v>
      </c>
      <c r="L35" s="16">
        <f>+L33+L34</f>
        <v>1</v>
      </c>
      <c r="M35" s="15">
        <f>+M33+M34</f>
        <v>33273851.493872002</v>
      </c>
      <c r="N35" s="15">
        <f>+N33+N34</f>
        <v>40547828.123871997</v>
      </c>
    </row>
    <row r="36" spans="1:14" ht="15.75" thickTop="1" x14ac:dyDescent="0.25">
      <c r="I36" s="514"/>
    </row>
    <row r="37" spans="1:14" x14ac:dyDescent="0.25">
      <c r="A37" s="23" t="s">
        <v>108</v>
      </c>
      <c r="F37" s="23" t="s">
        <v>114</v>
      </c>
      <c r="K37" s="23" t="s">
        <v>303</v>
      </c>
    </row>
    <row r="38" spans="1:14" x14ac:dyDescent="0.25">
      <c r="A38" s="23"/>
      <c r="B38" s="20" t="s">
        <v>8</v>
      </c>
      <c r="C38" s="20" t="s">
        <v>14</v>
      </c>
      <c r="D38" s="27" t="s">
        <v>289</v>
      </c>
      <c r="F38" s="23"/>
      <c r="G38" s="20" t="s">
        <v>9</v>
      </c>
      <c r="H38" s="20" t="s">
        <v>14</v>
      </c>
      <c r="I38" s="27" t="s">
        <v>289</v>
      </c>
      <c r="J38" s="13"/>
      <c r="K38" s="23"/>
      <c r="L38" s="20" t="s">
        <v>9</v>
      </c>
      <c r="M38" s="20" t="s">
        <v>14</v>
      </c>
      <c r="N38" s="27" t="s">
        <v>17</v>
      </c>
    </row>
    <row r="39" spans="1:14" x14ac:dyDescent="0.25">
      <c r="A39" t="s">
        <v>2</v>
      </c>
      <c r="B39" s="505">
        <v>2.9553690764403354E-2</v>
      </c>
      <c r="C39" s="239">
        <f>+B39*$C$33</f>
        <v>712283.41980799998</v>
      </c>
      <c r="D39" s="507">
        <v>8.6999999999999994E-2</v>
      </c>
      <c r="E39" s="204"/>
      <c r="F39" t="s">
        <v>2</v>
      </c>
      <c r="G39" s="205">
        <f>+B39</f>
        <v>2.9553690764403354E-2</v>
      </c>
      <c r="H39" s="239">
        <f>+G39*$H$33</f>
        <v>712283.41980799998</v>
      </c>
      <c r="I39" s="208">
        <f t="shared" ref="I39:I47" si="6">+D39</f>
        <v>8.6999999999999994E-2</v>
      </c>
      <c r="J39" s="208"/>
      <c r="K39" t="s">
        <v>2</v>
      </c>
      <c r="L39" s="205">
        <f>+G39</f>
        <v>2.9553690764403354E-2</v>
      </c>
      <c r="M39" s="204">
        <f>+L39*$H$33</f>
        <v>712283.41980799998</v>
      </c>
      <c r="N39" s="208">
        <f t="shared" ref="N39:N43" si="7">+I39</f>
        <v>8.6999999999999994E-2</v>
      </c>
    </row>
    <row r="40" spans="1:14" x14ac:dyDescent="0.25">
      <c r="A40" t="s">
        <v>3</v>
      </c>
      <c r="B40" s="505">
        <v>1.4664001390179069E-2</v>
      </c>
      <c r="C40" s="239">
        <f t="shared" ref="C40:C47" si="8">+B40*$C$33</f>
        <v>353422.01897999999</v>
      </c>
      <c r="D40" s="507">
        <v>0.10299999999999999</v>
      </c>
      <c r="E40" s="204"/>
      <c r="F40" t="s">
        <v>3</v>
      </c>
      <c r="G40" s="205">
        <f t="shared" ref="G40:G47" si="9">+B40</f>
        <v>1.4664001390179069E-2</v>
      </c>
      <c r="H40" s="239">
        <f t="shared" ref="H40:H47" si="10">+G40*$H$33</f>
        <v>353422.01897999999</v>
      </c>
      <c r="I40" s="208">
        <f t="shared" si="6"/>
        <v>0.10299999999999999</v>
      </c>
      <c r="J40" s="208"/>
      <c r="K40" t="s">
        <v>3</v>
      </c>
      <c r="L40" s="205">
        <f t="shared" ref="L40:L43" si="11">+G40</f>
        <v>1.4664001390179069E-2</v>
      </c>
      <c r="M40" s="204">
        <f t="shared" ref="M40:M43" si="12">+L40*$H$33</f>
        <v>353422.01897999999</v>
      </c>
      <c r="N40" s="208">
        <f t="shared" si="7"/>
        <v>0.10299999999999999</v>
      </c>
    </row>
    <row r="41" spans="1:14" x14ac:dyDescent="0.25">
      <c r="A41" s="319" t="s">
        <v>296</v>
      </c>
      <c r="B41" s="506">
        <v>0.58670160745156419</v>
      </c>
      <c r="C41" s="284">
        <f>+B41*$C$33</f>
        <v>14140292.347709</v>
      </c>
      <c r="D41" s="508">
        <v>7.3999999999999996E-2</v>
      </c>
      <c r="E41" s="204"/>
      <c r="F41" s="319" t="s">
        <v>296</v>
      </c>
      <c r="G41" s="286">
        <f t="shared" si="9"/>
        <v>0.58670160745156419</v>
      </c>
      <c r="H41" s="284">
        <f t="shared" si="10"/>
        <v>14140292.347709</v>
      </c>
      <c r="I41" s="321">
        <f t="shared" si="6"/>
        <v>7.3999999999999996E-2</v>
      </c>
      <c r="J41" s="208"/>
      <c r="K41" s="319" t="s">
        <v>296</v>
      </c>
      <c r="L41" s="286">
        <f t="shared" si="11"/>
        <v>0.58670160745156419</v>
      </c>
      <c r="M41" s="292">
        <f t="shared" si="12"/>
        <v>14140292.347709</v>
      </c>
      <c r="N41" s="321">
        <f t="shared" si="7"/>
        <v>7.3999999999999996E-2</v>
      </c>
    </row>
    <row r="42" spans="1:14" x14ac:dyDescent="0.25">
      <c r="A42" s="319" t="s">
        <v>297</v>
      </c>
      <c r="B42" s="506">
        <v>0.17350470296051076</v>
      </c>
      <c r="C42" s="284">
        <f t="shared" si="8"/>
        <v>4181695.077027</v>
      </c>
      <c r="D42" s="508">
        <v>0.10199999999999999</v>
      </c>
      <c r="E42" s="204"/>
      <c r="F42" s="319" t="s">
        <v>297</v>
      </c>
      <c r="G42" s="286">
        <f t="shared" si="9"/>
        <v>0.17350470296051076</v>
      </c>
      <c r="H42" s="284">
        <f>+G42*$H$33</f>
        <v>4181695.077027</v>
      </c>
      <c r="I42" s="321">
        <f t="shared" si="6"/>
        <v>0.10199999999999999</v>
      </c>
      <c r="J42" s="208"/>
      <c r="K42" s="319" t="s">
        <v>297</v>
      </c>
      <c r="L42" s="286">
        <f t="shared" si="11"/>
        <v>0.17350470296051076</v>
      </c>
      <c r="M42" s="292">
        <f t="shared" si="12"/>
        <v>4181695.077027</v>
      </c>
      <c r="N42" s="321">
        <f t="shared" si="7"/>
        <v>0.10199999999999999</v>
      </c>
    </row>
    <row r="43" spans="1:14" x14ac:dyDescent="0.25">
      <c r="A43" s="319" t="s">
        <v>298</v>
      </c>
      <c r="B43" s="506">
        <v>0.19557599743334256</v>
      </c>
      <c r="C43" s="284">
        <f t="shared" si="8"/>
        <v>4713642.752599</v>
      </c>
      <c r="D43" s="508">
        <v>0.151</v>
      </c>
      <c r="E43" s="204"/>
      <c r="F43" s="319" t="s">
        <v>298</v>
      </c>
      <c r="G43" s="286">
        <f t="shared" si="9"/>
        <v>0.19557599743334256</v>
      </c>
      <c r="H43" s="284">
        <f t="shared" si="10"/>
        <v>4713642.752599</v>
      </c>
      <c r="I43" s="321">
        <f t="shared" si="6"/>
        <v>0.151</v>
      </c>
      <c r="J43" s="208"/>
      <c r="K43" s="319" t="s">
        <v>298</v>
      </c>
      <c r="L43" s="286">
        <f t="shared" si="11"/>
        <v>0.19557599743334256</v>
      </c>
      <c r="M43" s="292">
        <f t="shared" si="12"/>
        <v>4713642.752599</v>
      </c>
      <c r="N43" s="321">
        <f t="shared" si="7"/>
        <v>0.151</v>
      </c>
    </row>
    <row r="44" spans="1:14" x14ac:dyDescent="0.25">
      <c r="A44" s="320" t="s">
        <v>299</v>
      </c>
      <c r="B44" s="506"/>
      <c r="C44" s="284">
        <f>+B44*$C$33</f>
        <v>0</v>
      </c>
      <c r="D44" s="509"/>
      <c r="E44" s="204"/>
      <c r="F44" s="320" t="s">
        <v>299</v>
      </c>
      <c r="G44" s="286">
        <f>+B44</f>
        <v>0</v>
      </c>
      <c r="H44" s="284">
        <f>+G44*$H$33</f>
        <v>0</v>
      </c>
      <c r="I44" s="287">
        <f>+D44</f>
        <v>0</v>
      </c>
      <c r="J44" s="208"/>
      <c r="K44" s="320" t="s">
        <v>299</v>
      </c>
      <c r="L44" s="286">
        <f>+G44</f>
        <v>0</v>
      </c>
      <c r="M44" s="292">
        <f>+L44*$H$33</f>
        <v>0</v>
      </c>
      <c r="N44" s="287">
        <f>+I44</f>
        <v>0</v>
      </c>
    </row>
    <row r="45" spans="1:14" x14ac:dyDescent="0.25">
      <c r="A45" s="320" t="s">
        <v>300</v>
      </c>
      <c r="B45" s="506"/>
      <c r="C45" s="284">
        <f t="shared" si="8"/>
        <v>0</v>
      </c>
      <c r="D45" s="509"/>
      <c r="E45" s="204"/>
      <c r="F45" s="320" t="s">
        <v>300</v>
      </c>
      <c r="G45" s="286">
        <f t="shared" si="9"/>
        <v>0</v>
      </c>
      <c r="H45" s="284">
        <f t="shared" si="10"/>
        <v>0</v>
      </c>
      <c r="I45" s="287">
        <f t="shared" si="6"/>
        <v>0</v>
      </c>
      <c r="J45" s="208"/>
      <c r="K45" s="320" t="s">
        <v>300</v>
      </c>
      <c r="L45" s="286">
        <f t="shared" ref="L45:L47" si="13">+G45</f>
        <v>0</v>
      </c>
      <c r="M45" s="292">
        <f t="shared" ref="M45:M47" si="14">+L45*$H$33</f>
        <v>0</v>
      </c>
      <c r="N45" s="287">
        <f t="shared" ref="N45:N47" si="15">+I45</f>
        <v>0</v>
      </c>
    </row>
    <row r="46" spans="1:14" x14ac:dyDescent="0.25">
      <c r="A46" s="320" t="s">
        <v>301</v>
      </c>
      <c r="B46" s="506"/>
      <c r="C46" s="284">
        <f>+B46*$C$33</f>
        <v>0</v>
      </c>
      <c r="D46" s="509"/>
      <c r="E46" s="204"/>
      <c r="F46" s="320" t="s">
        <v>301</v>
      </c>
      <c r="G46" s="286">
        <f>+B46</f>
        <v>0</v>
      </c>
      <c r="H46" s="284">
        <f>+G46*$H$33</f>
        <v>0</v>
      </c>
      <c r="I46" s="287">
        <f>+D46</f>
        <v>0</v>
      </c>
      <c r="J46" s="208"/>
      <c r="K46" s="320" t="s">
        <v>301</v>
      </c>
      <c r="L46" s="286">
        <f>+G46</f>
        <v>0</v>
      </c>
      <c r="M46" s="292">
        <f>+L46*$H$33</f>
        <v>0</v>
      </c>
      <c r="N46" s="287">
        <f>+I46</f>
        <v>0</v>
      </c>
    </row>
    <row r="47" spans="1:14" x14ac:dyDescent="0.25">
      <c r="A47" s="320" t="s">
        <v>302</v>
      </c>
      <c r="B47" s="506"/>
      <c r="C47" s="284">
        <f t="shared" si="8"/>
        <v>0</v>
      </c>
      <c r="D47" s="509"/>
      <c r="E47" s="204"/>
      <c r="F47" s="320" t="s">
        <v>302</v>
      </c>
      <c r="G47" s="286">
        <f t="shared" si="9"/>
        <v>0</v>
      </c>
      <c r="H47" s="284">
        <f t="shared" si="10"/>
        <v>0</v>
      </c>
      <c r="I47" s="287">
        <f t="shared" si="6"/>
        <v>0</v>
      </c>
      <c r="J47" s="208"/>
      <c r="K47" s="320" t="s">
        <v>302</v>
      </c>
      <c r="L47" s="286">
        <f t="shared" si="13"/>
        <v>0</v>
      </c>
      <c r="M47" s="292">
        <f t="shared" si="14"/>
        <v>0</v>
      </c>
      <c r="N47" s="287">
        <f t="shared" si="15"/>
        <v>0</v>
      </c>
    </row>
    <row r="48" spans="1:14" ht="15.75" thickBot="1" x14ac:dyDescent="0.3">
      <c r="B48" s="16">
        <f>SUM(B39:B47)</f>
        <v>0.99999999999999989</v>
      </c>
      <c r="C48" s="15">
        <f>SUM(C39:C47)</f>
        <v>24101335.616123002</v>
      </c>
      <c r="D48" s="70"/>
      <c r="E48" s="6"/>
      <c r="G48" s="16">
        <f>SUM(G39:G47)</f>
        <v>0.99999999999999989</v>
      </c>
      <c r="H48" s="322">
        <f>SUM(H39:H47)</f>
        <v>24101335.616123002</v>
      </c>
      <c r="L48" s="323">
        <f>SUM(L39:L47)</f>
        <v>0.99999999999999989</v>
      </c>
      <c r="M48" s="322">
        <f>SUM(M39:M47)</f>
        <v>24101335.616123002</v>
      </c>
    </row>
    <row r="49" spans="1:14" ht="15.75" thickTop="1" x14ac:dyDescent="0.25"/>
    <row r="50" spans="1:14" x14ac:dyDescent="0.25">
      <c r="A50" s="23" t="s">
        <v>109</v>
      </c>
      <c r="F50" s="23" t="s">
        <v>115</v>
      </c>
      <c r="K50" s="23"/>
    </row>
    <row r="51" spans="1:14" x14ac:dyDescent="0.25">
      <c r="A51" s="10"/>
      <c r="B51" s="20" t="s">
        <v>53</v>
      </c>
      <c r="D51" s="20"/>
      <c r="F51" s="10"/>
      <c r="G51" s="20" t="s">
        <v>53</v>
      </c>
      <c r="K51" s="10"/>
      <c r="L51" s="20"/>
    </row>
    <row r="52" spans="1:14" x14ac:dyDescent="0.25">
      <c r="A52" s="10" t="s">
        <v>107</v>
      </c>
      <c r="B52" s="20" t="s">
        <v>10</v>
      </c>
      <c r="D52" s="20"/>
      <c r="F52" s="10" t="s">
        <v>107</v>
      </c>
      <c r="G52" s="20" t="s">
        <v>10</v>
      </c>
      <c r="K52" s="10"/>
      <c r="L52" s="20"/>
    </row>
    <row r="53" spans="1:14" x14ac:dyDescent="0.25">
      <c r="A53" t="s">
        <v>69</v>
      </c>
      <c r="B53" s="9">
        <f>+B107</f>
        <v>3.7798735078838158E-2</v>
      </c>
      <c r="D53" s="9"/>
      <c r="E53" s="5"/>
      <c r="F53" t="s">
        <v>69</v>
      </c>
      <c r="G53" s="9">
        <f>+G107</f>
        <v>3.779538801854293E-2</v>
      </c>
      <c r="I53" s="209"/>
      <c r="L53" s="9"/>
      <c r="N53" s="210"/>
    </row>
    <row r="54" spans="1:14" ht="17.25" x14ac:dyDescent="0.25">
      <c r="A54" t="s">
        <v>70</v>
      </c>
      <c r="B54" s="9">
        <f>+B108</f>
        <v>3.1424393970720041E-2</v>
      </c>
      <c r="D54" s="9"/>
      <c r="F54" t="s">
        <v>206</v>
      </c>
      <c r="G54" s="9">
        <f>+G108</f>
        <v>3.1424393970720041E-2</v>
      </c>
      <c r="I54" s="53"/>
      <c r="L54" s="9"/>
      <c r="N54" s="53"/>
    </row>
    <row r="55" spans="1:14" x14ac:dyDescent="0.25">
      <c r="A55" t="s">
        <v>19</v>
      </c>
      <c r="B55" s="510">
        <v>5.3770000000000005E-2</v>
      </c>
      <c r="D55" s="212"/>
      <c r="F55" t="s">
        <v>19</v>
      </c>
      <c r="G55" s="213">
        <f>+B55</f>
        <v>5.3770000000000005E-2</v>
      </c>
      <c r="I55" s="204"/>
      <c r="L55" s="212"/>
      <c r="N55" s="201"/>
    </row>
    <row r="56" spans="1:14" x14ac:dyDescent="0.25">
      <c r="A56" t="s">
        <v>20</v>
      </c>
      <c r="B56" s="510">
        <v>5.1540000000000002E-2</v>
      </c>
      <c r="D56" s="212"/>
      <c r="F56" t="s">
        <v>20</v>
      </c>
      <c r="G56" s="213">
        <f>+B56</f>
        <v>5.1540000000000002E-2</v>
      </c>
      <c r="J56" s="9"/>
      <c r="L56" s="212"/>
    </row>
    <row r="57" spans="1:14" ht="17.25" x14ac:dyDescent="0.25">
      <c r="A57" t="s">
        <v>207</v>
      </c>
      <c r="B57" s="510">
        <v>7.6060000000000003E-2</v>
      </c>
      <c r="F57" t="s">
        <v>207</v>
      </c>
      <c r="G57" s="211">
        <f>+B57</f>
        <v>7.6060000000000003E-2</v>
      </c>
      <c r="I57" t="s">
        <v>71</v>
      </c>
      <c r="L57" s="212"/>
    </row>
    <row r="58" spans="1:14" ht="17.25" x14ac:dyDescent="0.25">
      <c r="A58" t="s">
        <v>208</v>
      </c>
      <c r="B58" s="510">
        <f>+G58</f>
        <v>5.7119748290906137E-2</v>
      </c>
      <c r="C58" s="6"/>
      <c r="D58" s="204"/>
      <c r="F58" t="s">
        <v>208</v>
      </c>
      <c r="G58" s="499">
        <f>+H58/H14</f>
        <v>5.7119748290906137E-2</v>
      </c>
      <c r="H58" s="494">
        <f>1885185.61-15719.48</f>
        <v>1869466.1300000001</v>
      </c>
      <c r="I58" t="s">
        <v>83</v>
      </c>
      <c r="L58" s="214"/>
      <c r="M58" s="5"/>
    </row>
    <row r="59" spans="1:14" x14ac:dyDescent="0.25">
      <c r="B59" s="9"/>
      <c r="C59" s="53"/>
      <c r="D59" s="204"/>
      <c r="J59" s="60"/>
      <c r="K59" s="53"/>
    </row>
    <row r="60" spans="1:14" x14ac:dyDescent="0.25">
      <c r="A60" s="106" t="s">
        <v>438</v>
      </c>
      <c r="B60" s="398"/>
      <c r="J60" s="60"/>
      <c r="K60" s="53"/>
    </row>
    <row r="61" spans="1:14" x14ac:dyDescent="0.25">
      <c r="B61" s="10" t="s">
        <v>10</v>
      </c>
      <c r="C61" s="399" t="s">
        <v>14</v>
      </c>
      <c r="D61" s="43" t="s">
        <v>37</v>
      </c>
      <c r="G61" s="10" t="s">
        <v>10</v>
      </c>
      <c r="H61" s="399" t="s">
        <v>14</v>
      </c>
      <c r="I61" s="43" t="s">
        <v>37</v>
      </c>
      <c r="J61" s="60"/>
      <c r="K61" s="53"/>
    </row>
    <row r="62" spans="1:14" x14ac:dyDescent="0.25">
      <c r="A62" t="s">
        <v>325</v>
      </c>
      <c r="B62" s="400">
        <f>+D62/C62</f>
        <v>5.1540000000000002E-2</v>
      </c>
      <c r="C62" s="401">
        <f>+C11</f>
        <v>25507926</v>
      </c>
      <c r="D62" s="402">
        <f>+C62*B56</f>
        <v>1314678.5060400001</v>
      </c>
      <c r="F62" t="s">
        <v>325</v>
      </c>
      <c r="G62" s="400">
        <f>+I62/H62</f>
        <v>7.6060000000000003E-2</v>
      </c>
      <c r="H62" s="401">
        <f>+H11</f>
        <v>25507926</v>
      </c>
      <c r="I62" s="402">
        <f>+H62*G57</f>
        <v>1940132.8515600001</v>
      </c>
      <c r="J62" s="60"/>
      <c r="K62" s="53"/>
    </row>
    <row r="63" spans="1:14" x14ac:dyDescent="0.25">
      <c r="A63" t="s">
        <v>326</v>
      </c>
      <c r="B63" s="400">
        <f>+D63/C63</f>
        <v>5.1540000000000002E-2</v>
      </c>
      <c r="C63" s="401">
        <f>+C10</f>
        <v>32728893.000000004</v>
      </c>
      <c r="D63" s="402">
        <f>+C63*B56</f>
        <v>1686847.1452200003</v>
      </c>
      <c r="F63" t="s">
        <v>326</v>
      </c>
      <c r="G63" s="400">
        <f>+I63/H63</f>
        <v>7.6060000000000003E-2</v>
      </c>
      <c r="H63" s="401">
        <f>+H10</f>
        <v>32728893.000000004</v>
      </c>
      <c r="I63" s="402">
        <f>+H63*G57</f>
        <v>2489359.6015800005</v>
      </c>
      <c r="J63" s="60"/>
      <c r="K63" s="53"/>
    </row>
    <row r="64" spans="1:14" ht="30" x14ac:dyDescent="0.25">
      <c r="A64" s="66" t="s">
        <v>327</v>
      </c>
      <c r="B64" s="400">
        <f>+D64/C64</f>
        <v>5.1539999999999996E-2</v>
      </c>
      <c r="C64" s="403">
        <f>+C62-C63</f>
        <v>-7220967.0000000037</v>
      </c>
      <c r="D64" s="404">
        <f>+D62-D63</f>
        <v>-372168.63918000017</v>
      </c>
      <c r="F64" t="s">
        <v>327</v>
      </c>
      <c r="G64" s="400">
        <f>+I64/H64</f>
        <v>7.6060000000000016E-2</v>
      </c>
      <c r="H64" s="403">
        <f>+H62-H63</f>
        <v>-7220967.0000000037</v>
      </c>
      <c r="I64" s="404">
        <f>+I62-I63</f>
        <v>-549226.75002000039</v>
      </c>
      <c r="J64" s="401">
        <f>+I64*G33</f>
        <v>-397822.84398373228</v>
      </c>
      <c r="K64" s="491" t="s">
        <v>431</v>
      </c>
    </row>
    <row r="65" spans="1:13" x14ac:dyDescent="0.25">
      <c r="B65" s="9"/>
      <c r="C65" s="53"/>
      <c r="D65" s="204"/>
      <c r="I65" s="5"/>
      <c r="J65" s="401">
        <f>+I64*G34</f>
        <v>-151403.90603626805</v>
      </c>
      <c r="K65" s="491" t="s">
        <v>432</v>
      </c>
    </row>
    <row r="66" spans="1:13" ht="18.75" x14ac:dyDescent="0.3">
      <c r="A66" s="22" t="s">
        <v>21</v>
      </c>
      <c r="B66" s="9"/>
      <c r="C66" s="215"/>
      <c r="D66" s="204"/>
      <c r="E66" s="5"/>
      <c r="F66" s="22" t="s">
        <v>23</v>
      </c>
      <c r="G66" s="9"/>
      <c r="H66" s="30"/>
      <c r="J66" s="490">
        <f>SUM(J64:J65)</f>
        <v>-549226.75002000039</v>
      </c>
    </row>
    <row r="67" spans="1:13" x14ac:dyDescent="0.25">
      <c r="A67" s="204"/>
      <c r="B67" s="213"/>
      <c r="C67" s="60"/>
      <c r="D67" s="213"/>
      <c r="E67" s="5"/>
      <c r="F67" s="204"/>
      <c r="G67" s="213"/>
      <c r="H67" s="30"/>
      <c r="I67" s="216"/>
      <c r="J67" s="6"/>
    </row>
    <row r="68" spans="1:13" x14ac:dyDescent="0.25">
      <c r="A68" s="23" t="s">
        <v>110</v>
      </c>
      <c r="F68" s="23" t="s">
        <v>116</v>
      </c>
      <c r="I68" s="217"/>
    </row>
    <row r="69" spans="1:13" x14ac:dyDescent="0.25">
      <c r="A69" s="23"/>
      <c r="B69" s="27" t="s">
        <v>36</v>
      </c>
      <c r="C69" s="218" t="s">
        <v>14</v>
      </c>
      <c r="D69" s="219" t="s">
        <v>37</v>
      </c>
      <c r="F69" s="23"/>
      <c r="G69" s="20" t="s">
        <v>36</v>
      </c>
      <c r="H69" s="220" t="s">
        <v>14</v>
      </c>
      <c r="I69" s="219" t="s">
        <v>37</v>
      </c>
      <c r="J69" s="10"/>
    </row>
    <row r="70" spans="1:13" ht="17.25" x14ac:dyDescent="0.25">
      <c r="A70" t="s">
        <v>203</v>
      </c>
      <c r="B70" s="212">
        <f>+D70/C70</f>
        <v>0.51555777539630931</v>
      </c>
      <c r="C70" s="204">
        <f>+D8</f>
        <v>347712.63</v>
      </c>
      <c r="D70" s="512">
        <v>179265.95</v>
      </c>
      <c r="F70" t="s">
        <v>201</v>
      </c>
      <c r="G70" s="212">
        <f>+I70/H70</f>
        <v>0.51555777539630931</v>
      </c>
      <c r="H70" s="204">
        <f>+I8</f>
        <v>347712.63</v>
      </c>
      <c r="I70" s="221">
        <f>+D70</f>
        <v>179265.95</v>
      </c>
      <c r="J70" s="106" t="s">
        <v>420</v>
      </c>
      <c r="K70" s="360" t="s">
        <v>422</v>
      </c>
    </row>
    <row r="71" spans="1:13" x14ac:dyDescent="0.25">
      <c r="A71" t="s">
        <v>68</v>
      </c>
      <c r="B71" s="213">
        <f>+D71/C71</f>
        <v>3.234368362521154E-2</v>
      </c>
      <c r="C71" s="204">
        <f>+D6</f>
        <v>32434190</v>
      </c>
      <c r="D71" s="513">
        <v>1049041.18</v>
      </c>
      <c r="F71" t="s">
        <v>68</v>
      </c>
      <c r="G71" s="213">
        <f>+I71/H71</f>
        <v>3.234368362521154E-2</v>
      </c>
      <c r="H71" s="204">
        <f>+I6</f>
        <v>32434190</v>
      </c>
      <c r="I71" s="222">
        <f>+D71</f>
        <v>1049041.18</v>
      </c>
      <c r="J71" s="458">
        <f>(+I73+I70+I78)/(H73+H70)</f>
        <v>3.5199988996335953E-2</v>
      </c>
      <c r="K71" s="248"/>
      <c r="L71" s="223"/>
      <c r="M71" s="223"/>
    </row>
    <row r="72" spans="1:13" x14ac:dyDescent="0.25">
      <c r="A72" t="s">
        <v>328</v>
      </c>
      <c r="B72" s="405">
        <f>+D72/C72</f>
        <v>4.8080728079474916E-2</v>
      </c>
      <c r="C72" s="406">
        <f>+C7</f>
        <v>7220967</v>
      </c>
      <c r="D72" s="500">
        <v>347189.35079786176</v>
      </c>
      <c r="F72" t="s">
        <v>328</v>
      </c>
      <c r="G72" s="405">
        <f>+I72/H72</f>
        <v>4.8080728079474916E-2</v>
      </c>
      <c r="H72" s="406">
        <f>+H7</f>
        <v>7220967</v>
      </c>
      <c r="I72" s="407">
        <f>+D72</f>
        <v>347189.35079786176</v>
      </c>
      <c r="J72" s="106" t="s">
        <v>421</v>
      </c>
      <c r="K72" s="360" t="s">
        <v>423</v>
      </c>
      <c r="L72" s="223"/>
      <c r="M72" s="223"/>
    </row>
    <row r="73" spans="1:13" x14ac:dyDescent="0.25">
      <c r="A73" t="s">
        <v>329</v>
      </c>
      <c r="B73" s="405">
        <f>+D73/C73</f>
        <v>3.5209305331910849E-2</v>
      </c>
      <c r="C73" s="406">
        <f>+C71+C72</f>
        <v>39655157</v>
      </c>
      <c r="D73" s="407">
        <f>+D71+D72</f>
        <v>1396230.5307978617</v>
      </c>
      <c r="F73" t="s">
        <v>329</v>
      </c>
      <c r="G73" s="405">
        <f>+I73/H73</f>
        <v>3.5209305331910849E-2</v>
      </c>
      <c r="H73" s="406">
        <f>+H71+H72</f>
        <v>39655157</v>
      </c>
      <c r="I73" s="407">
        <f>+I71+I72</f>
        <v>1396230.5307978617</v>
      </c>
      <c r="J73" s="297">
        <f>(+I71+I70+I78)/(H71+H70)</f>
        <v>3.2362710364136058E-2</v>
      </c>
      <c r="K73" s="248"/>
      <c r="L73" s="223"/>
      <c r="M73" s="223"/>
    </row>
    <row r="74" spans="1:13" ht="17.25" x14ac:dyDescent="0.25">
      <c r="A74" t="s">
        <v>204</v>
      </c>
      <c r="B74" s="213"/>
      <c r="C74" s="204"/>
      <c r="D74" s="501">
        <v>244539.94</v>
      </c>
      <c r="F74" t="s">
        <v>209</v>
      </c>
      <c r="G74" s="213"/>
      <c r="H74" s="204"/>
      <c r="I74" s="222">
        <f>+D74</f>
        <v>244539.94</v>
      </c>
      <c r="J74" s="455"/>
      <c r="K74" s="223"/>
      <c r="L74" s="223"/>
      <c r="M74" s="223"/>
    </row>
    <row r="75" spans="1:13" x14ac:dyDescent="0.25">
      <c r="A75" t="s">
        <v>39</v>
      </c>
      <c r="B75" s="9">
        <f>+B56</f>
        <v>5.1540000000000002E-2</v>
      </c>
      <c r="C75" s="6">
        <f>+C12</f>
        <v>23706604.409244686</v>
      </c>
      <c r="D75" s="223">
        <f>+C75*B75</f>
        <v>1221838.3912524711</v>
      </c>
      <c r="F75" t="s">
        <v>39</v>
      </c>
      <c r="G75" s="9">
        <f>+G58</f>
        <v>5.7119748290906137E-2</v>
      </c>
      <c r="H75" s="6">
        <f>+H12</f>
        <v>23706604.409244686</v>
      </c>
      <c r="I75" s="223">
        <f>+H75*G75</f>
        <v>1354115.276688142</v>
      </c>
      <c r="J75" s="455" t="s">
        <v>434</v>
      </c>
      <c r="K75" s="223"/>
      <c r="L75" s="223"/>
      <c r="M75" s="223"/>
    </row>
    <row r="76" spans="1:13" x14ac:dyDescent="0.25">
      <c r="A76" t="s">
        <v>100</v>
      </c>
      <c r="B76" s="9">
        <f>+B56</f>
        <v>5.1540000000000002E-2</v>
      </c>
      <c r="C76" s="6">
        <f>+C13</f>
        <v>9022288.5907553174</v>
      </c>
      <c r="D76" s="223">
        <f>+C76*B76</f>
        <v>465008.7539675291</v>
      </c>
      <c r="F76" t="s">
        <v>38</v>
      </c>
      <c r="G76" s="9">
        <f>+G58</f>
        <v>5.7119748290906137E-2</v>
      </c>
      <c r="H76" s="6">
        <f>+H13</f>
        <v>9022288.5907553174</v>
      </c>
      <c r="I76" s="223">
        <f>+H76*G76</f>
        <v>515350.85331185797</v>
      </c>
      <c r="J76" s="455" t="s">
        <v>434</v>
      </c>
      <c r="K76" s="223"/>
      <c r="L76" s="223"/>
      <c r="M76" s="223"/>
    </row>
    <row r="77" spans="1:13" ht="17.25" x14ac:dyDescent="0.25">
      <c r="A77" t="s">
        <v>199</v>
      </c>
      <c r="B77" s="9"/>
      <c r="C77" s="6"/>
      <c r="D77" s="324">
        <f>+'RPP Settlement &amp; 1st TU'!K16</f>
        <v>127735.98340613898</v>
      </c>
      <c r="F77" t="s">
        <v>286</v>
      </c>
      <c r="G77" s="9"/>
      <c r="H77" s="6"/>
      <c r="I77" s="324">
        <f>+D77</f>
        <v>127735.98340613898</v>
      </c>
      <c r="J77" s="249"/>
      <c r="L77" s="223"/>
      <c r="M77" s="223"/>
    </row>
    <row r="78" spans="1:13" ht="17.25" x14ac:dyDescent="0.25">
      <c r="A78" t="s">
        <v>205</v>
      </c>
      <c r="B78" s="9">
        <f>+D78/C78</f>
        <v>-0.48142027512776858</v>
      </c>
      <c r="C78" s="6">
        <f>+D8</f>
        <v>347712.63</v>
      </c>
      <c r="D78" s="501">
        <v>-167395.91</v>
      </c>
      <c r="F78" t="s">
        <v>200</v>
      </c>
      <c r="G78" s="9">
        <f>+I78/H78</f>
        <v>-0.48142027512776858</v>
      </c>
      <c r="H78" s="6">
        <f>+I8</f>
        <v>347712.63</v>
      </c>
      <c r="I78" s="222">
        <f>+D78</f>
        <v>-167395.91</v>
      </c>
      <c r="J78" s="249"/>
      <c r="K78" s="223"/>
      <c r="L78" s="223"/>
      <c r="M78" s="223"/>
    </row>
    <row r="79" spans="1:13" ht="60" x14ac:dyDescent="0.25">
      <c r="A79" s="66" t="s">
        <v>347</v>
      </c>
      <c r="B79" s="9"/>
      <c r="C79" s="6"/>
      <c r="D79" s="431">
        <f>+D64</f>
        <v>-372168.63918000017</v>
      </c>
      <c r="F79" s="66" t="s">
        <v>347</v>
      </c>
      <c r="G79" s="9"/>
      <c r="H79" s="6"/>
      <c r="I79" s="431">
        <v>0</v>
      </c>
      <c r="J79" s="483" t="s">
        <v>433</v>
      </c>
      <c r="K79" s="223"/>
      <c r="L79" s="223"/>
      <c r="M79" s="223"/>
    </row>
    <row r="80" spans="1:13" ht="15.75" thickBot="1" x14ac:dyDescent="0.3">
      <c r="A80" t="s">
        <v>46</v>
      </c>
      <c r="B80" s="9"/>
      <c r="C80" s="6"/>
      <c r="D80" s="408">
        <f>SUM(D73:D79)+D70</f>
        <v>3095055.0002440009</v>
      </c>
      <c r="F80" t="s">
        <v>202</v>
      </c>
      <c r="G80" s="9"/>
      <c r="H80" s="6"/>
      <c r="I80" s="408">
        <f>SUM(I73:I79)+I70</f>
        <v>3649842.6242040009</v>
      </c>
      <c r="J80" s="225"/>
      <c r="K80" s="225"/>
      <c r="L80" s="225"/>
      <c r="M80" s="225"/>
    </row>
    <row r="81" spans="1:16" ht="15.75" thickTop="1" x14ac:dyDescent="0.25">
      <c r="B81" s="9"/>
      <c r="C81" s="432" t="s">
        <v>386</v>
      </c>
      <c r="D81" s="433">
        <f>+D80-D72</f>
        <v>2747865.6494461391</v>
      </c>
      <c r="G81" s="9"/>
      <c r="H81" s="432" t="s">
        <v>386</v>
      </c>
      <c r="I81" s="433">
        <f>+I80-I72</f>
        <v>3302653.2734061391</v>
      </c>
      <c r="J81" s="224"/>
      <c r="K81" s="225"/>
      <c r="L81" s="225"/>
      <c r="M81" s="225"/>
    </row>
    <row r="82" spans="1:16" ht="18.75" x14ac:dyDescent="0.3">
      <c r="A82" s="22" t="s">
        <v>120</v>
      </c>
      <c r="D82" s="5"/>
      <c r="E82" s="5"/>
      <c r="F82" s="22" t="s">
        <v>121</v>
      </c>
      <c r="I82" s="5"/>
      <c r="K82" s="22" t="s">
        <v>335</v>
      </c>
    </row>
    <row r="83" spans="1:16" ht="18.75" x14ac:dyDescent="0.3">
      <c r="A83" s="22"/>
      <c r="F83" s="22"/>
    </row>
    <row r="84" spans="1:16" x14ac:dyDescent="0.25">
      <c r="A84" s="23" t="s">
        <v>111</v>
      </c>
      <c r="F84" s="23" t="s">
        <v>117</v>
      </c>
      <c r="K84" s="23" t="s">
        <v>330</v>
      </c>
    </row>
    <row r="85" spans="1:16" ht="30" x14ac:dyDescent="0.25">
      <c r="A85" s="23"/>
      <c r="B85" s="27" t="s">
        <v>289</v>
      </c>
      <c r="C85" s="20" t="s">
        <v>14</v>
      </c>
      <c r="D85" s="20" t="s">
        <v>37</v>
      </c>
      <c r="F85" s="23"/>
      <c r="G85" s="27" t="s">
        <v>289</v>
      </c>
      <c r="H85" s="20" t="s">
        <v>14</v>
      </c>
      <c r="I85" s="20" t="s">
        <v>37</v>
      </c>
      <c r="K85" s="23"/>
      <c r="L85" s="27" t="s">
        <v>289</v>
      </c>
      <c r="M85" s="20" t="s">
        <v>14</v>
      </c>
      <c r="N85" s="20" t="s">
        <v>170</v>
      </c>
      <c r="O85" s="10" t="s">
        <v>187</v>
      </c>
      <c r="P85" s="10" t="s">
        <v>186</v>
      </c>
    </row>
    <row r="86" spans="1:16" x14ac:dyDescent="0.25">
      <c r="A86" t="s">
        <v>2</v>
      </c>
      <c r="B86" s="212">
        <f t="shared" ref="B86:B94" si="16">+D39</f>
        <v>8.6999999999999994E-2</v>
      </c>
      <c r="C86" s="201">
        <f t="shared" ref="C86:C94" si="17">+C39</f>
        <v>712283.41980799998</v>
      </c>
      <c r="D86" s="24">
        <f t="shared" ref="D86:D91" si="18">+C86*B86</f>
        <v>61968.657523295995</v>
      </c>
      <c r="F86" t="s">
        <v>2</v>
      </c>
      <c r="G86" s="213">
        <f>+I39</f>
        <v>8.6999999999999994E-2</v>
      </c>
      <c r="H86" s="204">
        <f t="shared" ref="H86:H94" si="19">+H39</f>
        <v>712283.41980799998</v>
      </c>
      <c r="I86" s="24">
        <f>+H86*G86</f>
        <v>61968.657523295995</v>
      </c>
      <c r="J86" s="24"/>
      <c r="K86" t="s">
        <v>2</v>
      </c>
      <c r="L86" s="213">
        <f t="shared" ref="L86:L94" si="20">+N39</f>
        <v>8.6999999999999994E-2</v>
      </c>
      <c r="M86" s="204">
        <f t="shared" ref="M86:M94" si="21">+M39</f>
        <v>712283.41980799998</v>
      </c>
      <c r="N86" s="24">
        <f>+M86*L86</f>
        <v>61968.657523295995</v>
      </c>
      <c r="O86" s="24">
        <f>N86/2</f>
        <v>30984.328761647997</v>
      </c>
      <c r="P86" s="24">
        <f>O86</f>
        <v>30984.328761647997</v>
      </c>
    </row>
    <row r="87" spans="1:16" x14ac:dyDescent="0.25">
      <c r="A87" t="s">
        <v>3</v>
      </c>
      <c r="B87" s="212">
        <f t="shared" si="16"/>
        <v>0.10299999999999999</v>
      </c>
      <c r="C87" s="201">
        <f t="shared" si="17"/>
        <v>353422.01897999999</v>
      </c>
      <c r="D87" s="24">
        <f t="shared" si="18"/>
        <v>36402.467954939995</v>
      </c>
      <c r="F87" t="s">
        <v>3</v>
      </c>
      <c r="G87" s="213">
        <f>+I40</f>
        <v>0.10299999999999999</v>
      </c>
      <c r="H87" s="204">
        <f t="shared" si="19"/>
        <v>353422.01897999999</v>
      </c>
      <c r="I87" s="24">
        <f t="shared" ref="I87:I94" si="22">+H87*G87</f>
        <v>36402.467954939995</v>
      </c>
      <c r="J87" s="24"/>
      <c r="K87" t="s">
        <v>3</v>
      </c>
      <c r="L87" s="213">
        <f t="shared" si="20"/>
        <v>0.10299999999999999</v>
      </c>
      <c r="M87" s="204">
        <f t="shared" si="21"/>
        <v>353422.01897999999</v>
      </c>
      <c r="N87" s="24">
        <f t="shared" ref="N87:N94" si="23">+M87*L87</f>
        <v>36402.467954939995</v>
      </c>
      <c r="O87" s="24">
        <f t="shared" ref="O87" si="24">N87/2</f>
        <v>18201.233977469998</v>
      </c>
      <c r="P87" s="24">
        <f t="shared" ref="P87:P94" si="25">O87</f>
        <v>18201.233977469998</v>
      </c>
    </row>
    <row r="88" spans="1:16" x14ac:dyDescent="0.25">
      <c r="A88" s="319" t="s">
        <v>296</v>
      </c>
      <c r="B88" s="367">
        <f t="shared" si="16"/>
        <v>7.3999999999999996E-2</v>
      </c>
      <c r="C88" s="288">
        <f t="shared" si="17"/>
        <v>14140292.347709</v>
      </c>
      <c r="D88" s="289">
        <f t="shared" si="18"/>
        <v>1046381.633730466</v>
      </c>
      <c r="F88" s="319" t="s">
        <v>296</v>
      </c>
      <c r="G88" s="368">
        <f>+I41</f>
        <v>7.3999999999999996E-2</v>
      </c>
      <c r="H88" s="292">
        <f t="shared" si="19"/>
        <v>14140292.347709</v>
      </c>
      <c r="I88" s="289">
        <f t="shared" si="22"/>
        <v>1046381.633730466</v>
      </c>
      <c r="J88" s="24"/>
      <c r="K88" s="319" t="s">
        <v>296</v>
      </c>
      <c r="L88" s="368">
        <f t="shared" si="20"/>
        <v>7.3999999999999996E-2</v>
      </c>
      <c r="M88" s="292">
        <f t="shared" si="21"/>
        <v>14140292.347709</v>
      </c>
      <c r="N88" s="289">
        <f t="shared" si="23"/>
        <v>1046381.633730466</v>
      </c>
      <c r="O88" s="289">
        <f t="shared" ref="O88" si="26">N88/2</f>
        <v>523190.81686523301</v>
      </c>
      <c r="P88" s="289">
        <f t="shared" si="25"/>
        <v>523190.81686523301</v>
      </c>
    </row>
    <row r="89" spans="1:16" x14ac:dyDescent="0.25">
      <c r="A89" s="319" t="s">
        <v>297</v>
      </c>
      <c r="B89" s="367">
        <f t="shared" si="16"/>
        <v>0.10199999999999999</v>
      </c>
      <c r="C89" s="288">
        <f t="shared" si="17"/>
        <v>4181695.077027</v>
      </c>
      <c r="D89" s="289">
        <f t="shared" si="18"/>
        <v>426532.89785675396</v>
      </c>
      <c r="F89" s="319" t="s">
        <v>297</v>
      </c>
      <c r="G89" s="368">
        <f>+I42</f>
        <v>0.10199999999999999</v>
      </c>
      <c r="H89" s="292">
        <f t="shared" si="19"/>
        <v>4181695.077027</v>
      </c>
      <c r="I89" s="289">
        <f t="shared" si="22"/>
        <v>426532.89785675396</v>
      </c>
      <c r="J89" s="24"/>
      <c r="K89" s="319" t="s">
        <v>297</v>
      </c>
      <c r="L89" s="368">
        <f t="shared" si="20"/>
        <v>0.10199999999999999</v>
      </c>
      <c r="M89" s="292">
        <f t="shared" si="21"/>
        <v>4181695.077027</v>
      </c>
      <c r="N89" s="289">
        <f t="shared" si="23"/>
        <v>426532.89785675396</v>
      </c>
      <c r="O89" s="289">
        <f t="shared" ref="O89" si="27">N89/2</f>
        <v>213266.44892837698</v>
      </c>
      <c r="P89" s="289">
        <f t="shared" si="25"/>
        <v>213266.44892837698</v>
      </c>
    </row>
    <row r="90" spans="1:16" x14ac:dyDescent="0.25">
      <c r="A90" s="319" t="s">
        <v>298</v>
      </c>
      <c r="B90" s="367">
        <f t="shared" si="16"/>
        <v>0.151</v>
      </c>
      <c r="C90" s="288">
        <f t="shared" si="17"/>
        <v>4713642.752599</v>
      </c>
      <c r="D90" s="289">
        <f t="shared" si="18"/>
        <v>711760.05564244895</v>
      </c>
      <c r="F90" s="319" t="s">
        <v>298</v>
      </c>
      <c r="G90" s="368">
        <f>+I43</f>
        <v>0.151</v>
      </c>
      <c r="H90" s="292">
        <f t="shared" si="19"/>
        <v>4713642.752599</v>
      </c>
      <c r="I90" s="289">
        <f t="shared" si="22"/>
        <v>711760.05564244895</v>
      </c>
      <c r="J90" s="24"/>
      <c r="K90" s="319" t="s">
        <v>298</v>
      </c>
      <c r="L90" s="368">
        <f t="shared" si="20"/>
        <v>0.151</v>
      </c>
      <c r="M90" s="292">
        <f t="shared" si="21"/>
        <v>4713642.752599</v>
      </c>
      <c r="N90" s="289">
        <f t="shared" si="23"/>
        <v>711760.05564244895</v>
      </c>
      <c r="O90" s="289">
        <f t="shared" ref="O90:O94" si="28">N90/2</f>
        <v>355880.02782122447</v>
      </c>
      <c r="P90" s="289">
        <f t="shared" si="25"/>
        <v>355880.02782122447</v>
      </c>
    </row>
    <row r="91" spans="1:16" x14ac:dyDescent="0.25">
      <c r="A91" s="320" t="s">
        <v>299</v>
      </c>
      <c r="B91" s="318">
        <f t="shared" si="16"/>
        <v>0</v>
      </c>
      <c r="C91" s="288">
        <f t="shared" si="17"/>
        <v>0</v>
      </c>
      <c r="D91" s="289">
        <f t="shared" si="18"/>
        <v>0</v>
      </c>
      <c r="F91" s="320" t="s">
        <v>299</v>
      </c>
      <c r="G91" s="318">
        <f>B91</f>
        <v>0</v>
      </c>
      <c r="H91" s="292">
        <f t="shared" si="19"/>
        <v>0</v>
      </c>
      <c r="I91" s="289">
        <f>+H91*G91</f>
        <v>0</v>
      </c>
      <c r="J91" s="24"/>
      <c r="K91" s="320" t="s">
        <v>299</v>
      </c>
      <c r="L91" s="291">
        <f t="shared" si="20"/>
        <v>0</v>
      </c>
      <c r="M91" s="292">
        <f t="shared" si="21"/>
        <v>0</v>
      </c>
      <c r="N91" s="289">
        <f>+M91*L91</f>
        <v>0</v>
      </c>
      <c r="O91" s="289">
        <f>N91/2</f>
        <v>0</v>
      </c>
      <c r="P91" s="289">
        <f>O91</f>
        <v>0</v>
      </c>
    </row>
    <row r="92" spans="1:16" x14ac:dyDescent="0.25">
      <c r="A92" s="320" t="s">
        <v>300</v>
      </c>
      <c r="B92" s="318">
        <f t="shared" si="16"/>
        <v>0</v>
      </c>
      <c r="C92" s="288">
        <f t="shared" si="17"/>
        <v>0</v>
      </c>
      <c r="D92" s="289">
        <f t="shared" ref="D92:D94" si="29">+C92*B92</f>
        <v>0</v>
      </c>
      <c r="F92" s="320" t="s">
        <v>300</v>
      </c>
      <c r="G92" s="318">
        <f t="shared" ref="G92:G94" si="30">B92</f>
        <v>0</v>
      </c>
      <c r="H92" s="292">
        <f t="shared" si="19"/>
        <v>0</v>
      </c>
      <c r="I92" s="289">
        <f t="shared" si="22"/>
        <v>0</v>
      </c>
      <c r="J92" s="24"/>
      <c r="K92" s="320" t="s">
        <v>300</v>
      </c>
      <c r="L92" s="291">
        <f t="shared" si="20"/>
        <v>0</v>
      </c>
      <c r="M92" s="292">
        <f t="shared" si="21"/>
        <v>0</v>
      </c>
      <c r="N92" s="289">
        <f t="shared" si="23"/>
        <v>0</v>
      </c>
      <c r="O92" s="289">
        <f t="shared" si="28"/>
        <v>0</v>
      </c>
      <c r="P92" s="289">
        <f t="shared" si="25"/>
        <v>0</v>
      </c>
    </row>
    <row r="93" spans="1:16" x14ac:dyDescent="0.25">
      <c r="A93" s="320" t="s">
        <v>301</v>
      </c>
      <c r="B93" s="318">
        <f t="shared" si="16"/>
        <v>0</v>
      </c>
      <c r="C93" s="288">
        <f t="shared" si="17"/>
        <v>0</v>
      </c>
      <c r="D93" s="289">
        <f>+C93*B93</f>
        <v>0</v>
      </c>
      <c r="F93" s="320" t="s">
        <v>301</v>
      </c>
      <c r="G93" s="318">
        <f>B93</f>
        <v>0</v>
      </c>
      <c r="H93" s="292">
        <f t="shared" si="19"/>
        <v>0</v>
      </c>
      <c r="I93" s="289">
        <f>+H93*G93</f>
        <v>0</v>
      </c>
      <c r="J93" s="24"/>
      <c r="K93" s="320" t="s">
        <v>301</v>
      </c>
      <c r="L93" s="291">
        <f t="shared" si="20"/>
        <v>0</v>
      </c>
      <c r="M93" s="292">
        <f t="shared" si="21"/>
        <v>0</v>
      </c>
      <c r="N93" s="289">
        <f>+M93*L93</f>
        <v>0</v>
      </c>
      <c r="O93" s="289">
        <f>N93/2</f>
        <v>0</v>
      </c>
      <c r="P93" s="289">
        <f>O93</f>
        <v>0</v>
      </c>
    </row>
    <row r="94" spans="1:16" x14ac:dyDescent="0.25">
      <c r="A94" s="320" t="s">
        <v>302</v>
      </c>
      <c r="B94" s="318">
        <f t="shared" si="16"/>
        <v>0</v>
      </c>
      <c r="C94" s="288">
        <f t="shared" si="17"/>
        <v>0</v>
      </c>
      <c r="D94" s="289">
        <f t="shared" si="29"/>
        <v>0</v>
      </c>
      <c r="F94" s="320" t="s">
        <v>302</v>
      </c>
      <c r="G94" s="318">
        <f t="shared" si="30"/>
        <v>0</v>
      </c>
      <c r="H94" s="292">
        <f t="shared" si="19"/>
        <v>0</v>
      </c>
      <c r="I94" s="289">
        <f t="shared" si="22"/>
        <v>0</v>
      </c>
      <c r="J94" s="24"/>
      <c r="K94" s="320" t="s">
        <v>302</v>
      </c>
      <c r="L94" s="291">
        <f t="shared" si="20"/>
        <v>0</v>
      </c>
      <c r="M94" s="292">
        <f t="shared" si="21"/>
        <v>0</v>
      </c>
      <c r="N94" s="289">
        <f t="shared" si="23"/>
        <v>0</v>
      </c>
      <c r="O94" s="289">
        <f t="shared" si="28"/>
        <v>0</v>
      </c>
      <c r="P94" s="289">
        <f t="shared" si="25"/>
        <v>0</v>
      </c>
    </row>
    <row r="95" spans="1:16" ht="15.75" thickBot="1" x14ac:dyDescent="0.3">
      <c r="A95" t="s">
        <v>18</v>
      </c>
      <c r="C95" s="227">
        <f>SUM(C86:C94)</f>
        <v>24101335.616123002</v>
      </c>
      <c r="D95" s="293">
        <f>SUM(D86:D94)</f>
        <v>2283045.7127079051</v>
      </c>
      <c r="F95" t="s">
        <v>26</v>
      </c>
      <c r="H95" s="325">
        <f>SUM(H86:H94)</f>
        <v>24101335.616123002</v>
      </c>
      <c r="I95" s="293">
        <f>SUM(I86:I94)</f>
        <v>2283045.7127079051</v>
      </c>
      <c r="J95" s="228"/>
      <c r="K95" t="s">
        <v>26</v>
      </c>
      <c r="M95" s="325">
        <f>SUM(M86:M94)</f>
        <v>24101335.616123002</v>
      </c>
      <c r="N95" s="293">
        <f>SUM(N86:N94)</f>
        <v>2283045.7127079051</v>
      </c>
      <c r="O95" s="294">
        <f t="shared" ref="O95" si="31">N95/2</f>
        <v>1141522.8563539525</v>
      </c>
      <c r="P95" s="293">
        <f>SUM(P86:P94)</f>
        <v>1141522.8563539525</v>
      </c>
    </row>
    <row r="96" spans="1:16" ht="15.75" thickTop="1" x14ac:dyDescent="0.25">
      <c r="C96" s="230"/>
      <c r="D96" s="228"/>
    </row>
    <row r="97" spans="1:17" x14ac:dyDescent="0.25">
      <c r="A97" s="23" t="s">
        <v>118</v>
      </c>
      <c r="F97" s="23" t="s">
        <v>290</v>
      </c>
      <c r="J97" s="228"/>
      <c r="K97" s="23" t="s">
        <v>331</v>
      </c>
    </row>
    <row r="98" spans="1:17" x14ac:dyDescent="0.25">
      <c r="A98" s="23"/>
      <c r="B98" s="20" t="s">
        <v>36</v>
      </c>
      <c r="C98" s="220" t="s">
        <v>14</v>
      </c>
      <c r="D98" s="219" t="s">
        <v>37</v>
      </c>
      <c r="F98" s="23"/>
      <c r="G98" s="20" t="s">
        <v>36</v>
      </c>
      <c r="H98" s="220" t="s">
        <v>14</v>
      </c>
      <c r="I98" s="231" t="s">
        <v>37</v>
      </c>
      <c r="J98" s="228"/>
      <c r="K98" s="23"/>
      <c r="L98" s="20" t="s">
        <v>36</v>
      </c>
      <c r="M98" s="220" t="s">
        <v>14</v>
      </c>
      <c r="N98" s="231" t="s">
        <v>37</v>
      </c>
      <c r="O98" s="10" t="s">
        <v>187</v>
      </c>
      <c r="P98" s="10" t="s">
        <v>186</v>
      </c>
    </row>
    <row r="99" spans="1:17" x14ac:dyDescent="0.25">
      <c r="A99" t="s">
        <v>128</v>
      </c>
      <c r="B99" s="9">
        <f>+B54</f>
        <v>3.1424393970720041E-2</v>
      </c>
      <c r="C99" s="230">
        <f>+D34</f>
        <v>16446492.507748999</v>
      </c>
      <c r="D99" s="226">
        <f>+B99*C99</f>
        <v>516821.05999999994</v>
      </c>
      <c r="E99" s="5"/>
      <c r="F99" t="s">
        <v>128</v>
      </c>
      <c r="G99" s="9">
        <f>+G54</f>
        <v>3.1424393970720041E-2</v>
      </c>
      <c r="H99" s="230">
        <f>+I34</f>
        <v>16446492.507748999</v>
      </c>
      <c r="I99" s="232">
        <f>+G99*H99</f>
        <v>516821.05999999994</v>
      </c>
      <c r="J99" s="233"/>
      <c r="K99" t="s">
        <v>128</v>
      </c>
      <c r="L99" s="409">
        <f>+K108</f>
        <v>2.8882191835131788E-2</v>
      </c>
      <c r="M99" s="230">
        <f>+N34</f>
        <v>16446492.507748999</v>
      </c>
      <c r="N99" s="232">
        <f>+L99*M99</f>
        <v>475010.75162386429</v>
      </c>
      <c r="O99" s="5">
        <f>N99/2</f>
        <v>237505.37581193214</v>
      </c>
      <c r="P99" s="5">
        <f>O99</f>
        <v>237505.37581193214</v>
      </c>
    </row>
    <row r="100" spans="1:17" x14ac:dyDescent="0.25">
      <c r="A100" t="s">
        <v>102</v>
      </c>
      <c r="B100" s="9"/>
      <c r="C100" s="230"/>
      <c r="D100" s="226">
        <f>D74</f>
        <v>244539.94</v>
      </c>
      <c r="F100" t="s">
        <v>119</v>
      </c>
      <c r="G100" s="9"/>
      <c r="H100" s="234"/>
      <c r="I100" s="232">
        <f>+I74</f>
        <v>244539.94</v>
      </c>
      <c r="J100" s="233"/>
      <c r="K100" t="s">
        <v>119</v>
      </c>
      <c r="L100" s="9"/>
      <c r="M100" s="234"/>
      <c r="N100" s="232">
        <f>I100</f>
        <v>244539.94</v>
      </c>
      <c r="O100" s="5">
        <f>N100</f>
        <v>244539.94</v>
      </c>
    </row>
    <row r="101" spans="1:17" x14ac:dyDescent="0.25">
      <c r="A101" t="s">
        <v>101</v>
      </c>
      <c r="B101" s="9">
        <f>+B55</f>
        <v>5.3770000000000005E-2</v>
      </c>
      <c r="C101" s="230">
        <f>+C34</f>
        <v>9172515.8777489997</v>
      </c>
      <c r="D101" s="226">
        <f>+B101*C101</f>
        <v>493206.17874656379</v>
      </c>
      <c r="F101" t="s">
        <v>101</v>
      </c>
      <c r="G101" s="9">
        <f>+G55</f>
        <v>5.3770000000000005E-2</v>
      </c>
      <c r="H101" s="230">
        <f>+H34</f>
        <v>9172515.8777489997</v>
      </c>
      <c r="I101" s="226">
        <f>+G101*H101</f>
        <v>493206.17874656379</v>
      </c>
      <c r="J101" s="228"/>
      <c r="K101" t="s">
        <v>101</v>
      </c>
      <c r="L101" s="9">
        <f>G101</f>
        <v>5.3770000000000005E-2</v>
      </c>
      <c r="M101" s="230">
        <f>+M34</f>
        <v>9172515.8777489997</v>
      </c>
      <c r="N101" s="226">
        <f>I101</f>
        <v>493206.17874656379</v>
      </c>
      <c r="O101" s="5">
        <f>N101/2</f>
        <v>246603.08937328189</v>
      </c>
      <c r="P101" s="5">
        <f>O101</f>
        <v>246603.08937328189</v>
      </c>
    </row>
    <row r="102" spans="1:17" ht="15.75" thickBot="1" x14ac:dyDescent="0.3">
      <c r="C102" s="230"/>
      <c r="D102" s="229">
        <f>SUM(D99:D101)</f>
        <v>1254567.1787465638</v>
      </c>
      <c r="E102" s="5"/>
      <c r="H102" s="230"/>
      <c r="I102" s="229">
        <f>SUM(I99:I101)</f>
        <v>1254567.1787465638</v>
      </c>
      <c r="J102" s="228"/>
      <c r="M102" s="230"/>
      <c r="N102" s="229">
        <f>SUM(N99:N101)</f>
        <v>1212756.8703704281</v>
      </c>
      <c r="O102" s="229">
        <f t="shared" ref="O102:P102" si="32">SUM(O99:O101)</f>
        <v>728648.40518521401</v>
      </c>
      <c r="P102" s="229">
        <f t="shared" si="32"/>
        <v>484108.46518521407</v>
      </c>
    </row>
    <row r="103" spans="1:17" ht="15.75" thickTop="1" x14ac:dyDescent="0.25">
      <c r="C103" s="230"/>
      <c r="D103" s="228"/>
      <c r="E103" s="247"/>
      <c r="H103" s="230"/>
      <c r="I103" s="228"/>
      <c r="J103" s="228"/>
      <c r="K103" s="228"/>
      <c r="L103" s="228"/>
      <c r="M103" s="228"/>
    </row>
    <row r="104" spans="1:17" ht="15.75" thickBot="1" x14ac:dyDescent="0.3">
      <c r="A104" s="23" t="s">
        <v>292</v>
      </c>
      <c r="D104" s="5"/>
      <c r="E104" s="52"/>
      <c r="F104" s="206" t="s">
        <v>288</v>
      </c>
      <c r="I104" s="5"/>
      <c r="J104" s="228"/>
      <c r="K104" s="228"/>
      <c r="L104" s="228"/>
      <c r="M104" s="228"/>
      <c r="N104" t="s">
        <v>336</v>
      </c>
      <c r="P104" s="369">
        <f>P102+P95</f>
        <v>1625631.3215391666</v>
      </c>
    </row>
    <row r="105" spans="1:17" ht="18" thickTop="1" x14ac:dyDescent="0.4">
      <c r="D105" s="5"/>
      <c r="E105" s="5"/>
      <c r="I105" s="5"/>
      <c r="J105" s="228"/>
      <c r="K105" s="466" t="s">
        <v>427</v>
      </c>
      <c r="L105" s="235"/>
      <c r="M105" s="228"/>
      <c r="Q105" s="59"/>
    </row>
    <row r="106" spans="1:17" ht="17.25" x14ac:dyDescent="0.25">
      <c r="A106" s="23"/>
      <c r="B106" s="20" t="s">
        <v>36</v>
      </c>
      <c r="C106" s="220" t="s">
        <v>14</v>
      </c>
      <c r="D106" s="219" t="s">
        <v>37</v>
      </c>
      <c r="F106" s="23"/>
      <c r="G106" s="20" t="s">
        <v>36</v>
      </c>
      <c r="H106" s="220" t="s">
        <v>14</v>
      </c>
      <c r="I106" s="20" t="s">
        <v>273</v>
      </c>
      <c r="J106" s="228"/>
      <c r="K106" s="459" t="s">
        <v>36</v>
      </c>
      <c r="L106" s="467" t="s">
        <v>14</v>
      </c>
      <c r="M106" s="459" t="s">
        <v>425</v>
      </c>
    </row>
    <row r="107" spans="1:17" x14ac:dyDescent="0.25">
      <c r="A107" t="s">
        <v>237</v>
      </c>
      <c r="B107" s="9">
        <f>+D107/C107</f>
        <v>3.7798735078838158E-2</v>
      </c>
      <c r="C107" s="204">
        <f>+D33</f>
        <v>24101335.616123002</v>
      </c>
      <c r="D107" s="501">
        <v>911000</v>
      </c>
      <c r="F107" t="s">
        <v>238</v>
      </c>
      <c r="G107" s="409">
        <f>((+I70+I73+I78)-(I108/(I34/I13)))/I12</f>
        <v>3.779538801854293E-2</v>
      </c>
      <c r="H107" s="204">
        <f>+I33</f>
        <v>24101335.616123002</v>
      </c>
      <c r="I107" s="236">
        <f>+H107*G107</f>
        <v>910919.33137649728</v>
      </c>
      <c r="J107" s="457"/>
      <c r="K107" s="471">
        <f>+G107/G109*J109</f>
        <v>3.4737778817689184E-2</v>
      </c>
      <c r="L107" s="472">
        <f>+H107*$J$12</f>
        <v>18783864.318210516</v>
      </c>
      <c r="M107" s="473">
        <f>+L107*K107</f>
        <v>652509.72402748093</v>
      </c>
      <c r="Q107" s="53"/>
    </row>
    <row r="108" spans="1:17" x14ac:dyDescent="0.25">
      <c r="A108" t="s">
        <v>236</v>
      </c>
      <c r="B108" s="9">
        <f>+D108/C108</f>
        <v>3.1424393970720041E-2</v>
      </c>
      <c r="C108" s="204">
        <f>+D34</f>
        <v>16446492.507748999</v>
      </c>
      <c r="D108" s="501">
        <v>516821.06</v>
      </c>
      <c r="F108" t="s">
        <v>239</v>
      </c>
      <c r="G108" s="9">
        <f>+I108/H108</f>
        <v>3.1424393970720041E-2</v>
      </c>
      <c r="H108" s="204">
        <f>+I34</f>
        <v>16446492.507748999</v>
      </c>
      <c r="I108" s="223">
        <f>+D108</f>
        <v>516821.06</v>
      </c>
      <c r="J108" s="106" t="s">
        <v>421</v>
      </c>
      <c r="K108" s="471">
        <f>+G108/G109*J109</f>
        <v>2.8882191835131788E-2</v>
      </c>
      <c r="L108" s="472">
        <f>+H108*$J$12</f>
        <v>12817907.21877504</v>
      </c>
      <c r="M108" s="474">
        <f>+L108*K108</f>
        <v>370209.25521758123</v>
      </c>
    </row>
    <row r="109" spans="1:17" ht="15.75" thickBot="1" x14ac:dyDescent="0.3">
      <c r="B109" s="63">
        <f>+D109/C109</f>
        <v>3.5213256198040097E-2</v>
      </c>
      <c r="C109" s="237">
        <f>SUM(C107:C108)</f>
        <v>40547828.123871997</v>
      </c>
      <c r="D109" s="62">
        <f>+D107+D108</f>
        <v>1427821.06</v>
      </c>
      <c r="G109" s="63">
        <f>+I109/H109</f>
        <v>3.5211266729621306E-2</v>
      </c>
      <c r="H109" s="237">
        <f>SUM(H107:H108)</f>
        <v>40547828.123871997</v>
      </c>
      <c r="I109" s="62">
        <f>+I107+I108</f>
        <v>1427740.3913764972</v>
      </c>
      <c r="J109" s="456">
        <f>+J73</f>
        <v>3.2362710364136058E-2</v>
      </c>
      <c r="K109" s="468">
        <f>+M109/L109</f>
        <v>3.2362710364136058E-2</v>
      </c>
      <c r="L109" s="469">
        <f>SUM(L107:L108)</f>
        <v>31601771.536985554</v>
      </c>
      <c r="M109" s="470">
        <f>+M107+M108</f>
        <v>1022718.9792450622</v>
      </c>
    </row>
    <row r="110" spans="1:17" ht="15.75" thickTop="1" x14ac:dyDescent="0.25">
      <c r="D110" s="5"/>
      <c r="J110" s="245"/>
    </row>
    <row r="111" spans="1:17" ht="378.75" customHeight="1" x14ac:dyDescent="0.25">
      <c r="A111" s="521" t="s">
        <v>305</v>
      </c>
      <c r="B111" s="521"/>
      <c r="C111" s="521"/>
      <c r="D111" s="521"/>
      <c r="F111" s="520" t="s">
        <v>304</v>
      </c>
      <c r="G111" s="520"/>
      <c r="H111" s="520"/>
      <c r="I111" s="520"/>
    </row>
    <row r="112" spans="1:17" x14ac:dyDescent="0.25">
      <c r="A112" s="519"/>
      <c r="B112" s="519"/>
      <c r="C112" s="519"/>
      <c r="D112" s="519"/>
      <c r="F112" s="519"/>
      <c r="G112" s="519"/>
      <c r="H112" s="519"/>
      <c r="I112" s="519"/>
    </row>
    <row r="113" spans="1:10" x14ac:dyDescent="0.25">
      <c r="A113" s="519"/>
      <c r="B113" s="519"/>
      <c r="C113" s="519"/>
      <c r="D113" s="519"/>
      <c r="E113" s="66"/>
      <c r="F113" s="519"/>
      <c r="G113" s="519"/>
      <c r="H113" s="519"/>
      <c r="I113" s="519"/>
    </row>
    <row r="114" spans="1:10" x14ac:dyDescent="0.25">
      <c r="A114" s="521"/>
      <c r="B114" s="521"/>
      <c r="C114" s="521"/>
      <c r="D114" s="521"/>
      <c r="F114" s="519"/>
      <c r="G114" s="519"/>
      <c r="H114" s="519"/>
      <c r="I114" s="519"/>
    </row>
    <row r="115" spans="1:10" x14ac:dyDescent="0.25">
      <c r="A115" s="518"/>
      <c r="B115" s="518"/>
      <c r="C115" s="518"/>
      <c r="D115" s="518"/>
      <c r="E115" s="66"/>
      <c r="F115" s="519"/>
      <c r="G115" s="519"/>
      <c r="H115" s="519"/>
      <c r="I115" s="519"/>
    </row>
    <row r="116" spans="1:10" x14ac:dyDescent="0.25">
      <c r="A116" s="518"/>
      <c r="B116" s="518"/>
      <c r="C116" s="518"/>
      <c r="D116" s="518"/>
      <c r="E116" s="204"/>
      <c r="J116" s="5"/>
    </row>
    <row r="117" spans="1:10" x14ac:dyDescent="0.25">
      <c r="E117" s="204"/>
      <c r="G117" s="9"/>
      <c r="H117" s="238"/>
      <c r="I117" s="226"/>
      <c r="J117" s="5"/>
    </row>
    <row r="118" spans="1:10" x14ac:dyDescent="0.25">
      <c r="G118" s="9"/>
      <c r="H118" s="238"/>
      <c r="I118" s="5"/>
    </row>
  </sheetData>
  <mergeCells count="11">
    <mergeCell ref="A115:D115"/>
    <mergeCell ref="A116:D116"/>
    <mergeCell ref="A112:D112"/>
    <mergeCell ref="F111:I111"/>
    <mergeCell ref="F115:I115"/>
    <mergeCell ref="F112:I112"/>
    <mergeCell ref="A111:D111"/>
    <mergeCell ref="A113:D113"/>
    <mergeCell ref="F113:I113"/>
    <mergeCell ref="F114:I114"/>
    <mergeCell ref="A114:D114"/>
  </mergeCells>
  <pageMargins left="0.7" right="0.7" top="0.75" bottom="0.75" header="0.3" footer="0.3"/>
  <pageSetup paperSize="17" scale="31" orientation="portrait" horizontalDpi="4294967293"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9"/>
  <sheetViews>
    <sheetView workbookViewId="0">
      <selection sqref="A1:M48"/>
    </sheetView>
  </sheetViews>
  <sheetFormatPr defaultRowHeight="15" x14ac:dyDescent="0.25"/>
  <cols>
    <col min="1" max="1" width="43.5703125" customWidth="1"/>
    <col min="2" max="2" width="11.28515625" customWidth="1"/>
    <col min="3" max="3" width="15.7109375" customWidth="1"/>
    <col min="4" max="4" width="16.7109375" bestFit="1" customWidth="1"/>
    <col min="5" max="5" width="15" customWidth="1"/>
    <col min="6" max="6" width="12.7109375" customWidth="1"/>
    <col min="7" max="7" width="15.7109375" bestFit="1" customWidth="1"/>
    <col min="8" max="8" width="13.7109375" bestFit="1" customWidth="1"/>
    <col min="9" max="9" width="13.28515625" customWidth="1"/>
    <col min="10" max="10" width="13.7109375" bestFit="1" customWidth="1"/>
    <col min="11" max="11" width="13.28515625" customWidth="1"/>
    <col min="12" max="12" width="6.28515625" customWidth="1"/>
    <col min="13" max="13" width="43.5703125" customWidth="1"/>
    <col min="14" max="14" width="11.28515625" customWidth="1"/>
    <col min="15" max="15" width="15.7109375" customWidth="1"/>
    <col min="16" max="20" width="14.7109375" customWidth="1"/>
    <col min="22" max="22" width="43.5703125" customWidth="1"/>
    <col min="23" max="23" width="11.28515625" customWidth="1"/>
    <col min="24" max="24" width="15.7109375" customWidth="1"/>
    <col min="25" max="29" width="14.7109375" customWidth="1"/>
    <col min="30" max="30" width="12.28515625" bestFit="1" customWidth="1"/>
  </cols>
  <sheetData>
    <row r="1" spans="1:30" ht="26.25" x14ac:dyDescent="0.4">
      <c r="A1" s="57" t="s">
        <v>72</v>
      </c>
    </row>
    <row r="2" spans="1:30" x14ac:dyDescent="0.25">
      <c r="A2" s="515" t="s">
        <v>441</v>
      </c>
      <c r="B2" s="515"/>
    </row>
    <row r="3" spans="1:30" ht="18.75" x14ac:dyDescent="0.3">
      <c r="A3" s="22" t="s">
        <v>332</v>
      </c>
      <c r="M3" s="22"/>
      <c r="V3" s="22"/>
    </row>
    <row r="4" spans="1:30" x14ac:dyDescent="0.25">
      <c r="A4" s="10"/>
      <c r="M4" s="10"/>
      <c r="V4" s="10"/>
    </row>
    <row r="5" spans="1:30" x14ac:dyDescent="0.25">
      <c r="A5" s="10" t="s">
        <v>131</v>
      </c>
      <c r="M5" s="10"/>
      <c r="V5" s="10"/>
    </row>
    <row r="6" spans="1:30" ht="45" x14ac:dyDescent="0.25">
      <c r="A6" s="34" t="s">
        <v>35</v>
      </c>
      <c r="B6" s="35" t="s">
        <v>16</v>
      </c>
      <c r="C6" s="36" t="s">
        <v>67</v>
      </c>
      <c r="D6" s="35" t="s">
        <v>28</v>
      </c>
      <c r="E6" s="36" t="s">
        <v>27</v>
      </c>
      <c r="F6" s="35" t="s">
        <v>7</v>
      </c>
      <c r="G6" s="35" t="s">
        <v>14</v>
      </c>
      <c r="H6" s="36" t="s">
        <v>78</v>
      </c>
      <c r="I6" s="36" t="s">
        <v>74</v>
      </c>
      <c r="J6" s="36" t="s">
        <v>77</v>
      </c>
      <c r="K6" s="36" t="s">
        <v>172</v>
      </c>
      <c r="M6" s="10"/>
      <c r="N6" s="20"/>
      <c r="O6" s="20"/>
      <c r="P6" s="20"/>
      <c r="Q6" s="31"/>
      <c r="R6" s="10"/>
      <c r="S6" s="20"/>
      <c r="T6" s="27"/>
      <c r="V6" s="10"/>
      <c r="W6" s="20"/>
      <c r="X6" s="20"/>
      <c r="Y6" s="20"/>
      <c r="Z6" s="31"/>
      <c r="AA6" s="10"/>
      <c r="AB6" s="20"/>
      <c r="AC6" s="27"/>
    </row>
    <row r="7" spans="1:30" x14ac:dyDescent="0.25">
      <c r="A7" t="s">
        <v>2</v>
      </c>
      <c r="B7" s="32">
        <f>+'Data for Settlement &amp; 1st TU'!D39</f>
        <v>8.6999999999999994E-2</v>
      </c>
      <c r="C7" s="32">
        <f>+'Data for Settlement &amp; 1st TU'!$B$53</f>
        <v>3.7798735078838158E-2</v>
      </c>
      <c r="D7" s="32">
        <f>+'Data for Settlement &amp; 1st TU'!$B$56</f>
        <v>5.1540000000000002E-2</v>
      </c>
      <c r="E7" s="32">
        <f>+C7+D7</f>
        <v>8.9338735078838161E-2</v>
      </c>
      <c r="F7" s="33">
        <f>+B7-E7</f>
        <v>-2.3387350788381667E-3</v>
      </c>
      <c r="G7" s="29">
        <f>'Data for Settlement &amp; 1st TU'!C18</f>
        <v>700617.65578485851</v>
      </c>
      <c r="H7" s="25">
        <f>+G7*B7</f>
        <v>60953.736053282686</v>
      </c>
      <c r="I7" s="25">
        <f>+G7*C7</f>
        <v>26482.461162568488</v>
      </c>
      <c r="J7" s="25">
        <f>+G7*D7</f>
        <v>36109.833979151612</v>
      </c>
      <c r="K7" s="25">
        <f>+H7-I7-J7</f>
        <v>-1638.5590884374178</v>
      </c>
      <c r="N7" s="28"/>
      <c r="O7" s="32"/>
      <c r="P7" s="32"/>
      <c r="Q7" s="32"/>
      <c r="R7" s="33"/>
      <c r="S7" s="29"/>
      <c r="T7" s="25"/>
      <c r="W7" s="32"/>
      <c r="X7" s="32"/>
      <c r="Y7" s="32"/>
      <c r="Z7" s="32"/>
      <c r="AA7" s="33"/>
      <c r="AB7" s="29"/>
      <c r="AC7" s="25"/>
      <c r="AD7" s="5"/>
    </row>
    <row r="8" spans="1:30" x14ac:dyDescent="0.25">
      <c r="A8" t="s">
        <v>3</v>
      </c>
      <c r="B8" s="32">
        <f>+'Data for Settlement &amp; 1st TU'!D40</f>
        <v>0.10299999999999999</v>
      </c>
      <c r="C8" s="32">
        <f>+'Data for Settlement &amp; 1st TU'!$B$53</f>
        <v>3.7798735078838158E-2</v>
      </c>
      <c r="D8" s="32">
        <f>+'Data for Settlement &amp; 1st TU'!$B$56</f>
        <v>5.1540000000000002E-2</v>
      </c>
      <c r="E8" s="32">
        <f t="shared" ref="E8:E11" si="0">+C8+D8</f>
        <v>8.9338735078838161E-2</v>
      </c>
      <c r="F8" s="33">
        <f t="shared" ref="F8:F11" si="1">+B8-E8</f>
        <v>1.3661264921161834E-2</v>
      </c>
      <c r="G8" s="29">
        <f>'Data for Settlement &amp; 1st TU'!C19</f>
        <v>347633.68001358933</v>
      </c>
      <c r="H8" s="25">
        <f t="shared" ref="H8:H11" si="2">+G8*B8</f>
        <v>35806.269041399697</v>
      </c>
      <c r="I8" s="25">
        <f t="shared" ref="I8:I11" si="3">+G8*C8</f>
        <v>13140.113375315259</v>
      </c>
      <c r="J8" s="25">
        <f t="shared" ref="J8:J11" si="4">+G8*D8</f>
        <v>17917.039867900396</v>
      </c>
      <c r="K8" s="25">
        <f t="shared" ref="K8:K11" si="5">+H8-I8-J8</f>
        <v>4749.1157981840406</v>
      </c>
      <c r="N8" s="28"/>
      <c r="O8" s="32"/>
      <c r="P8" s="32"/>
      <c r="Q8" s="32"/>
      <c r="R8" s="33"/>
      <c r="S8" s="29"/>
      <c r="T8" s="25"/>
      <c r="W8" s="32"/>
      <c r="X8" s="32"/>
      <c r="Y8" s="32"/>
      <c r="Z8" s="32"/>
      <c r="AA8" s="33"/>
      <c r="AB8" s="29"/>
      <c r="AC8" s="25"/>
      <c r="AD8" s="5"/>
    </row>
    <row r="9" spans="1:30" x14ac:dyDescent="0.25">
      <c r="A9" s="319" t="s">
        <v>296</v>
      </c>
      <c r="B9" s="328">
        <f>+'Data for Settlement &amp; 1st TU'!D41</f>
        <v>7.3999999999999996E-2</v>
      </c>
      <c r="C9" s="32">
        <f>+'Data for Settlement &amp; 1st TU'!$B$53</f>
        <v>3.7798735078838158E-2</v>
      </c>
      <c r="D9" s="32">
        <f>+'Data for Settlement &amp; 1st TU'!$B$56</f>
        <v>5.1540000000000002E-2</v>
      </c>
      <c r="E9" s="32">
        <f t="shared" si="0"/>
        <v>8.9338735078838161E-2</v>
      </c>
      <c r="F9" s="329">
        <f t="shared" si="1"/>
        <v>-1.5338735078838164E-2</v>
      </c>
      <c r="G9" s="310">
        <f>'Data for Settlement &amp; 1st TU'!C20</f>
        <v>13908702.914122196</v>
      </c>
      <c r="H9" s="314">
        <f t="shared" si="2"/>
        <v>1029244.0156450424</v>
      </c>
      <c r="I9" s="314">
        <f t="shared" si="3"/>
        <v>525731.37674116914</v>
      </c>
      <c r="J9" s="314">
        <f t="shared" si="4"/>
        <v>716854.54819385801</v>
      </c>
      <c r="K9" s="314">
        <f t="shared" si="5"/>
        <v>-213341.90928998473</v>
      </c>
      <c r="N9" s="28"/>
      <c r="O9" s="32"/>
      <c r="P9" s="32"/>
      <c r="Q9" s="32"/>
      <c r="R9" s="33"/>
      <c r="S9" s="29"/>
      <c r="T9" s="25"/>
      <c r="W9" s="32"/>
      <c r="X9" s="32"/>
      <c r="Y9" s="32"/>
      <c r="Z9" s="32"/>
      <c r="AA9" s="33"/>
      <c r="AB9" s="29"/>
      <c r="AC9" s="25"/>
      <c r="AD9" s="5"/>
    </row>
    <row r="10" spans="1:30" x14ac:dyDescent="0.25">
      <c r="A10" s="319" t="s">
        <v>297</v>
      </c>
      <c r="B10" s="328">
        <f>+'Data for Settlement &amp; 1st TU'!D42</f>
        <v>0.10199999999999999</v>
      </c>
      <c r="C10" s="32">
        <f>+'Data for Settlement &amp; 1st TU'!$B$53</f>
        <v>3.7798735078838158E-2</v>
      </c>
      <c r="D10" s="32">
        <f>+'Data for Settlement &amp; 1st TU'!$B$56</f>
        <v>5.1540000000000002E-2</v>
      </c>
      <c r="E10" s="32">
        <f t="shared" si="0"/>
        <v>8.9338735078838161E-2</v>
      </c>
      <c r="F10" s="329">
        <f t="shared" si="1"/>
        <v>1.2661264921161833E-2</v>
      </c>
      <c r="G10" s="310">
        <f>'Data for Settlement &amp; 1st TU'!C21</f>
        <v>4113207.3562283339</v>
      </c>
      <c r="H10" s="314">
        <f t="shared" si="2"/>
        <v>419547.15033529</v>
      </c>
      <c r="I10" s="314">
        <f t="shared" si="3"/>
        <v>155474.03518240308</v>
      </c>
      <c r="J10" s="314">
        <f t="shared" si="4"/>
        <v>211994.70714000834</v>
      </c>
      <c r="K10" s="314">
        <f t="shared" si="5"/>
        <v>52078.408012878615</v>
      </c>
      <c r="N10" s="28"/>
      <c r="O10" s="32"/>
      <c r="P10" s="32"/>
      <c r="Q10" s="32"/>
      <c r="R10" s="33"/>
      <c r="S10" s="29"/>
      <c r="T10" s="25"/>
      <c r="W10" s="32"/>
      <c r="X10" s="32"/>
      <c r="Y10" s="32"/>
      <c r="Z10" s="32"/>
      <c r="AA10" s="33"/>
      <c r="AB10" s="29"/>
      <c r="AC10" s="25"/>
      <c r="AD10" s="5"/>
    </row>
    <row r="11" spans="1:30" x14ac:dyDescent="0.25">
      <c r="A11" s="319" t="s">
        <v>298</v>
      </c>
      <c r="B11" s="328">
        <f>+'Data for Settlement &amp; 1st TU'!D43</f>
        <v>0.151</v>
      </c>
      <c r="C11" s="32">
        <f>+'Data for Settlement &amp; 1st TU'!$B$53</f>
        <v>3.7798735078838158E-2</v>
      </c>
      <c r="D11" s="32">
        <f>+'Data for Settlement &amp; 1st TU'!$B$56</f>
        <v>5.1540000000000002E-2</v>
      </c>
      <c r="E11" s="32">
        <f t="shared" si="0"/>
        <v>8.9338735078838161E-2</v>
      </c>
      <c r="F11" s="329">
        <f t="shared" si="1"/>
        <v>6.1661264921161835E-2</v>
      </c>
      <c r="G11" s="310">
        <f>'Data for Settlement &amp; 1st TU'!C22</f>
        <v>4636442.8030957058</v>
      </c>
      <c r="H11" s="314">
        <f t="shared" si="2"/>
        <v>700102.86326745152</v>
      </c>
      <c r="I11" s="314">
        <f t="shared" si="3"/>
        <v>175251.67322240036</v>
      </c>
      <c r="J11" s="314">
        <f t="shared" si="4"/>
        <v>238962.26207155269</v>
      </c>
      <c r="K11" s="314">
        <f t="shared" si="5"/>
        <v>285888.92797349847</v>
      </c>
      <c r="N11" s="28"/>
      <c r="O11" s="32"/>
      <c r="P11" s="32"/>
      <c r="Q11" s="32"/>
      <c r="R11" s="33"/>
      <c r="S11" s="29"/>
      <c r="T11" s="25"/>
      <c r="W11" s="32"/>
      <c r="X11" s="32"/>
      <c r="Y11" s="32"/>
      <c r="Z11" s="32"/>
      <c r="AA11" s="33"/>
      <c r="AB11" s="29"/>
      <c r="AC11" s="25"/>
      <c r="AD11" s="5"/>
    </row>
    <row r="12" spans="1:30" x14ac:dyDescent="0.25">
      <c r="A12" s="320" t="s">
        <v>299</v>
      </c>
      <c r="B12" s="304">
        <f>+'Data for Settlement &amp; 1st TU'!D44</f>
        <v>0</v>
      </c>
      <c r="C12" s="304">
        <f>+'Data for Settlement &amp; 1st TU'!$B$53</f>
        <v>3.7798735078838158E-2</v>
      </c>
      <c r="D12" s="304">
        <f>+'Data for Settlement &amp; 1st TU'!$B$56</f>
        <v>5.1540000000000002E-2</v>
      </c>
      <c r="E12" s="304">
        <f>+C12+D12</f>
        <v>8.9338735078838161E-2</v>
      </c>
      <c r="F12" s="305">
        <f>+B12-E12</f>
        <v>-8.9338735078838161E-2</v>
      </c>
      <c r="G12" s="310">
        <f>'Data for Settlement &amp; 1st TU'!C23</f>
        <v>0</v>
      </c>
      <c r="H12" s="314">
        <f>+G12*B12</f>
        <v>0</v>
      </c>
      <c r="I12" s="314">
        <f>+G12*C12</f>
        <v>0</v>
      </c>
      <c r="J12" s="314">
        <f>+G12*D12</f>
        <v>0</v>
      </c>
      <c r="K12" s="314">
        <f>+H12-I12-J12</f>
        <v>0</v>
      </c>
      <c r="N12" s="28"/>
      <c r="O12" s="32"/>
      <c r="P12" s="32"/>
      <c r="Q12" s="32"/>
      <c r="R12" s="33"/>
      <c r="S12" s="29"/>
      <c r="T12" s="25"/>
      <c r="W12" s="32"/>
      <c r="X12" s="32"/>
      <c r="Y12" s="32"/>
      <c r="Z12" s="32"/>
      <c r="AA12" s="33"/>
      <c r="AB12" s="29"/>
      <c r="AC12" s="25"/>
      <c r="AD12" s="5"/>
    </row>
    <row r="13" spans="1:30" x14ac:dyDescent="0.25">
      <c r="A13" s="320" t="s">
        <v>300</v>
      </c>
      <c r="B13" s="304">
        <f>+'Data for Settlement &amp; 1st TU'!D45</f>
        <v>0</v>
      </c>
      <c r="C13" s="304">
        <f>+'Data for Settlement &amp; 1st TU'!$B$53</f>
        <v>3.7798735078838158E-2</v>
      </c>
      <c r="D13" s="304">
        <f>+'Data for Settlement &amp; 1st TU'!$B$56</f>
        <v>5.1540000000000002E-2</v>
      </c>
      <c r="E13" s="304">
        <f t="shared" ref="E13:E15" si="6">+C13+D13</f>
        <v>8.9338735078838161E-2</v>
      </c>
      <c r="F13" s="305">
        <f t="shared" ref="F13:F15" si="7">+B13-E13</f>
        <v>-8.9338735078838161E-2</v>
      </c>
      <c r="G13" s="310">
        <f>'Data for Settlement &amp; 1st TU'!C24</f>
        <v>0</v>
      </c>
      <c r="H13" s="314">
        <f t="shared" ref="H13:H15" si="8">+G13*B13</f>
        <v>0</v>
      </c>
      <c r="I13" s="314">
        <f t="shared" ref="I13:I15" si="9">+G13*C13</f>
        <v>0</v>
      </c>
      <c r="J13" s="314">
        <f t="shared" ref="J13:J15" si="10">+G13*D13</f>
        <v>0</v>
      </c>
      <c r="K13" s="314">
        <f t="shared" ref="K13:K15" si="11">+H13-I13-J13</f>
        <v>0</v>
      </c>
      <c r="N13" s="28"/>
      <c r="O13" s="32"/>
      <c r="P13" s="32"/>
      <c r="Q13" s="32"/>
      <c r="R13" s="33"/>
      <c r="S13" s="29"/>
      <c r="T13" s="25"/>
      <c r="W13" s="32"/>
      <c r="X13" s="32"/>
      <c r="Y13" s="32"/>
      <c r="Z13" s="32"/>
      <c r="AA13" s="33"/>
      <c r="AB13" s="29"/>
      <c r="AC13" s="25"/>
      <c r="AD13" s="5"/>
    </row>
    <row r="14" spans="1:30" x14ac:dyDescent="0.25">
      <c r="A14" s="320" t="s">
        <v>301</v>
      </c>
      <c r="B14" s="304">
        <f>+'Data for Settlement &amp; 1st TU'!D46</f>
        <v>0</v>
      </c>
      <c r="C14" s="304">
        <f>+'Data for Settlement &amp; 1st TU'!$B$53</f>
        <v>3.7798735078838158E-2</v>
      </c>
      <c r="D14" s="304">
        <f>+'Data for Settlement &amp; 1st TU'!$B$56</f>
        <v>5.1540000000000002E-2</v>
      </c>
      <c r="E14" s="304">
        <f>+C14+D14</f>
        <v>8.9338735078838161E-2</v>
      </c>
      <c r="F14" s="305">
        <f>+B14-E14</f>
        <v>-8.9338735078838161E-2</v>
      </c>
      <c r="G14" s="310">
        <f>'Data for Settlement &amp; 1st TU'!C25</f>
        <v>0</v>
      </c>
      <c r="H14" s="314">
        <f>+G14*B14</f>
        <v>0</v>
      </c>
      <c r="I14" s="314">
        <f>+G14*C14</f>
        <v>0</v>
      </c>
      <c r="J14" s="314">
        <f>+G14*D14</f>
        <v>0</v>
      </c>
      <c r="K14" s="314">
        <f>+H14-I14-J14</f>
        <v>0</v>
      </c>
      <c r="N14" s="28"/>
      <c r="O14" s="32"/>
      <c r="P14" s="32"/>
      <c r="Q14" s="32"/>
      <c r="R14" s="33"/>
      <c r="S14" s="29"/>
      <c r="T14" s="25"/>
      <c r="W14" s="32"/>
      <c r="X14" s="32"/>
      <c r="Y14" s="32"/>
      <c r="Z14" s="32"/>
      <c r="AA14" s="33"/>
      <c r="AB14" s="29"/>
      <c r="AC14" s="25"/>
      <c r="AD14" s="5"/>
    </row>
    <row r="15" spans="1:30" x14ac:dyDescent="0.25">
      <c r="A15" s="326" t="s">
        <v>302</v>
      </c>
      <c r="B15" s="304">
        <f>+'Data for Settlement &amp; 1st TU'!D47</f>
        <v>0</v>
      </c>
      <c r="C15" s="304">
        <f>+'Data for Settlement &amp; 1st TU'!$B$53</f>
        <v>3.7798735078838158E-2</v>
      </c>
      <c r="D15" s="304">
        <f>+'Data for Settlement &amp; 1st TU'!$B$56</f>
        <v>5.1540000000000002E-2</v>
      </c>
      <c r="E15" s="304">
        <f t="shared" si="6"/>
        <v>8.9338735078838161E-2</v>
      </c>
      <c r="F15" s="305">
        <f t="shared" si="7"/>
        <v>-8.9338735078838161E-2</v>
      </c>
      <c r="G15" s="310">
        <f>'Data for Settlement &amp; 1st TU'!C26</f>
        <v>0</v>
      </c>
      <c r="H15" s="314">
        <f t="shared" si="8"/>
        <v>0</v>
      </c>
      <c r="I15" s="314">
        <f t="shared" si="9"/>
        <v>0</v>
      </c>
      <c r="J15" s="314">
        <f t="shared" si="10"/>
        <v>0</v>
      </c>
      <c r="K15" s="314">
        <f t="shared" si="11"/>
        <v>0</v>
      </c>
      <c r="N15" s="28"/>
      <c r="O15" s="32"/>
      <c r="P15" s="32"/>
      <c r="Q15" s="32"/>
      <c r="R15" s="33"/>
      <c r="S15" s="29"/>
      <c r="T15" s="25"/>
      <c r="W15" s="32"/>
      <c r="X15" s="32"/>
      <c r="Y15" s="32"/>
      <c r="Z15" s="32"/>
      <c r="AA15" s="33"/>
      <c r="AB15" s="29"/>
      <c r="AC15" s="25"/>
      <c r="AD15" s="5"/>
    </row>
    <row r="16" spans="1:30" ht="15.75" thickBot="1" x14ac:dyDescent="0.3">
      <c r="B16" s="327">
        <f>+H16/G16</f>
        <v>9.4726937505514114E-2</v>
      </c>
      <c r="C16" s="133"/>
      <c r="D16" s="133"/>
      <c r="E16" s="133"/>
      <c r="F16" s="133"/>
      <c r="G16" s="322">
        <f>SUM(G7:G15)</f>
        <v>23706604.409244683</v>
      </c>
      <c r="H16" s="313">
        <f>SUM(H7:H15)</f>
        <v>2245654.0343424664</v>
      </c>
      <c r="I16" s="373">
        <f>SUM(I7:I15)</f>
        <v>896079.6596838563</v>
      </c>
      <c r="J16" s="373">
        <f>SUM(J7:J15)</f>
        <v>1221838.3912524711</v>
      </c>
      <c r="K16" s="313">
        <f>SUM(K7:K15)</f>
        <v>127735.98340613898</v>
      </c>
      <c r="L16" s="106" t="str">
        <f>IF(K16&gt;0,"payable to IESO","receivable from IESO")</f>
        <v>payable to IESO</v>
      </c>
      <c r="Q16" s="25"/>
      <c r="R16" s="25"/>
      <c r="S16" s="6"/>
      <c r="T16" s="25"/>
      <c r="Z16" s="25"/>
      <c r="AA16" s="25"/>
      <c r="AB16" s="6"/>
      <c r="AC16" s="25"/>
      <c r="AD16" s="5"/>
    </row>
    <row r="17" spans="1:27" x14ac:dyDescent="0.25">
      <c r="I17" s="5"/>
    </row>
    <row r="18" spans="1:27" ht="18.75" x14ac:dyDescent="0.3">
      <c r="A18" s="22" t="s">
        <v>333</v>
      </c>
      <c r="M18" s="10"/>
      <c r="V18" s="10"/>
      <c r="AA18" s="26"/>
    </row>
    <row r="19" spans="1:27" x14ac:dyDescent="0.25">
      <c r="A19" s="10"/>
      <c r="M19" s="10"/>
      <c r="N19" s="13"/>
      <c r="O19" s="13"/>
      <c r="P19" s="13"/>
      <c r="Q19" s="13"/>
      <c r="R19" s="13"/>
      <c r="S19" s="13"/>
      <c r="T19" s="13"/>
      <c r="V19" s="10"/>
      <c r="W19" s="13"/>
      <c r="X19" s="13"/>
      <c r="Y19" s="13"/>
      <c r="AA19" s="26"/>
    </row>
    <row r="20" spans="1:27" x14ac:dyDescent="0.25">
      <c r="A20" s="10" t="s">
        <v>132</v>
      </c>
      <c r="M20" s="10"/>
      <c r="N20" s="13"/>
      <c r="O20" s="13"/>
      <c r="P20" s="13"/>
      <c r="Q20" s="13"/>
      <c r="R20" s="25"/>
      <c r="S20" s="4"/>
      <c r="T20" s="4"/>
      <c r="W20" s="9"/>
      <c r="X20" s="6"/>
      <c r="Y20" s="25"/>
      <c r="AA20" s="26"/>
    </row>
    <row r="21" spans="1:27" ht="45" x14ac:dyDescent="0.25">
      <c r="A21" s="34" t="s">
        <v>35</v>
      </c>
      <c r="B21" s="35" t="s">
        <v>16</v>
      </c>
      <c r="C21" s="36" t="s">
        <v>67</v>
      </c>
      <c r="D21" s="35" t="s">
        <v>274</v>
      </c>
      <c r="E21" s="36" t="s">
        <v>27</v>
      </c>
      <c r="F21" s="35" t="s">
        <v>7</v>
      </c>
      <c r="G21" s="35" t="s">
        <v>14</v>
      </c>
      <c r="H21" s="36" t="s">
        <v>78</v>
      </c>
      <c r="I21" s="36" t="s">
        <v>74</v>
      </c>
      <c r="J21" s="36" t="s">
        <v>76</v>
      </c>
      <c r="K21" s="36" t="s">
        <v>172</v>
      </c>
      <c r="M21" s="10"/>
      <c r="N21" s="13"/>
      <c r="O21" s="13"/>
      <c r="P21" s="13"/>
      <c r="Q21" s="13"/>
      <c r="R21" s="25"/>
      <c r="S21" s="4"/>
      <c r="T21" s="4"/>
      <c r="W21" s="9"/>
      <c r="X21" s="6"/>
      <c r="Y21" s="25"/>
      <c r="AA21" s="26"/>
    </row>
    <row r="22" spans="1:27" x14ac:dyDescent="0.25">
      <c r="A22" s="37" t="s">
        <v>2</v>
      </c>
      <c r="B22" s="39">
        <f>+'Data for Settlement &amp; 1st TU'!I39</f>
        <v>8.6999999999999994E-2</v>
      </c>
      <c r="C22" s="476">
        <f>+'Data for Settlement &amp; 1st TU'!$K$107</f>
        <v>3.4737778817689184E-2</v>
      </c>
      <c r="D22" s="476">
        <f>+'Data for Settlement &amp; 1st TU'!$G$57</f>
        <v>7.6060000000000003E-2</v>
      </c>
      <c r="E22" s="39">
        <f>+C22+D22</f>
        <v>0.11079777881768918</v>
      </c>
      <c r="F22" s="40">
        <f>+B22-E22</f>
        <v>-2.3797778817689186E-2</v>
      </c>
      <c r="G22" s="480">
        <f>'Data for Settlement &amp; 1st TU'!J18</f>
        <v>546040.56782652694</v>
      </c>
      <c r="H22" s="4">
        <f>+G22*B22</f>
        <v>47505.529400907843</v>
      </c>
      <c r="I22" s="4">
        <f>+G22*C22</f>
        <v>18968.2364706433</v>
      </c>
      <c r="J22" s="4">
        <f>+G22*D22</f>
        <v>41531.845588885641</v>
      </c>
      <c r="K22" s="4">
        <f>+H22-I22-J22</f>
        <v>-12994.552658621098</v>
      </c>
      <c r="M22" s="10"/>
      <c r="N22" s="13"/>
      <c r="O22" s="13"/>
      <c r="P22" s="13"/>
      <c r="Q22" s="13"/>
      <c r="R22" s="25"/>
      <c r="S22" s="25"/>
      <c r="T22" s="25"/>
      <c r="Y22" s="25"/>
      <c r="AA22" s="26"/>
    </row>
    <row r="23" spans="1:27" x14ac:dyDescent="0.25">
      <c r="A23" s="41" t="s">
        <v>3</v>
      </c>
      <c r="B23" s="32">
        <f>+'Data for Settlement &amp; 1st TU'!I40</f>
        <v>0.10299999999999999</v>
      </c>
      <c r="C23" s="477">
        <f>+$C$22</f>
        <v>3.4737778817689184E-2</v>
      </c>
      <c r="D23" s="487">
        <f>+'Data for Settlement &amp; 1st TU'!$G$57</f>
        <v>7.6060000000000003E-2</v>
      </c>
      <c r="E23" s="32">
        <f t="shared" ref="E23:E30" si="12">+C23+D23</f>
        <v>0.11079777881768918</v>
      </c>
      <c r="F23" s="33">
        <f t="shared" ref="F23:F30" si="13">+B23-E23</f>
        <v>-7.7977788176891855E-3</v>
      </c>
      <c r="G23" s="480">
        <f>'Data for Settlement &amp; 1st TU'!J19</f>
        <v>270935.35320288147</v>
      </c>
      <c r="H23" s="4">
        <f t="shared" ref="H23:H26" si="14">+G23*B23</f>
        <v>27906.341379896789</v>
      </c>
      <c r="I23" s="4">
        <f t="shared" ref="I23:I26" si="15">+G23*C23</f>
        <v>9411.6923734541924</v>
      </c>
      <c r="J23" s="4">
        <f t="shared" ref="J23:J26" si="16">+G23*D23</f>
        <v>20607.342964611165</v>
      </c>
      <c r="K23" s="4">
        <f t="shared" ref="K23:K26" si="17">+H23-I23-J23</f>
        <v>-2112.6939581685692</v>
      </c>
      <c r="M23" s="10"/>
      <c r="N23" s="13"/>
      <c r="O23" s="13"/>
      <c r="P23" s="13"/>
      <c r="Q23" s="13"/>
      <c r="AA23" s="26"/>
    </row>
    <row r="24" spans="1:27" x14ac:dyDescent="0.25">
      <c r="A24" s="319" t="s">
        <v>296</v>
      </c>
      <c r="B24" s="32">
        <f>+'Data for Settlement &amp; 1st TU'!I41</f>
        <v>7.3999999999999996E-2</v>
      </c>
      <c r="C24" s="477">
        <f t="shared" ref="C24:C30" si="18">+$C$22</f>
        <v>3.4737778817689184E-2</v>
      </c>
      <c r="D24" s="487">
        <f>+'Data for Settlement &amp; 1st TU'!$G$57</f>
        <v>7.6060000000000003E-2</v>
      </c>
      <c r="E24" s="32">
        <f t="shared" si="12"/>
        <v>0.11079777881768918</v>
      </c>
      <c r="F24" s="33">
        <f t="shared" si="13"/>
        <v>-3.6797778817689183E-2</v>
      </c>
      <c r="G24" s="480">
        <f>'Data for Settlement &amp; 1st TU'!J20</f>
        <v>10840029.471495211</v>
      </c>
      <c r="H24" s="108">
        <f t="shared" si="14"/>
        <v>802162.1808906456</v>
      </c>
      <c r="I24" s="108">
        <f t="shared" si="15"/>
        <v>376558.54615803284</v>
      </c>
      <c r="J24" s="108">
        <f t="shared" si="16"/>
        <v>824492.64160192583</v>
      </c>
      <c r="K24" s="108">
        <f t="shared" si="17"/>
        <v>-398889.00686931307</v>
      </c>
      <c r="M24" s="10"/>
      <c r="N24" s="13"/>
      <c r="O24" s="13"/>
      <c r="P24" s="13"/>
      <c r="Q24" s="13"/>
      <c r="V24" s="10"/>
    </row>
    <row r="25" spans="1:27" x14ac:dyDescent="0.25">
      <c r="A25" s="319" t="s">
        <v>297</v>
      </c>
      <c r="B25" s="32">
        <f>+'Data for Settlement &amp; 1st TU'!I42</f>
        <v>0.10199999999999999</v>
      </c>
      <c r="C25" s="477">
        <f t="shared" si="18"/>
        <v>3.4737778817689184E-2</v>
      </c>
      <c r="D25" s="487">
        <f>+'Data for Settlement &amp; 1st TU'!$G$57</f>
        <v>7.6060000000000003E-2</v>
      </c>
      <c r="E25" s="32">
        <f t="shared" si="12"/>
        <v>0.11079777881768918</v>
      </c>
      <c r="F25" s="33">
        <f t="shared" si="13"/>
        <v>-8.7977788176891863E-3</v>
      </c>
      <c r="G25" s="480">
        <f>'Data for Settlement &amp; 1st TU'!J21</f>
        <v>3205711.5058956612</v>
      </c>
      <c r="H25" s="108">
        <f t="shared" si="14"/>
        <v>326982.57360135741</v>
      </c>
      <c r="I25" s="108">
        <f t="shared" si="15"/>
        <v>111359.29724512479</v>
      </c>
      <c r="J25" s="108">
        <f t="shared" si="16"/>
        <v>243826.417138424</v>
      </c>
      <c r="K25" s="108">
        <f t="shared" si="17"/>
        <v>-28203.140782191389</v>
      </c>
      <c r="M25" s="10"/>
      <c r="N25" s="13"/>
      <c r="O25" s="13"/>
      <c r="P25" s="13"/>
      <c r="Q25" s="13"/>
      <c r="R25" s="5"/>
      <c r="S25" s="5"/>
      <c r="T25" s="5"/>
      <c r="Y25" s="5"/>
    </row>
    <row r="26" spans="1:27" x14ac:dyDescent="0.25">
      <c r="A26" s="319" t="s">
        <v>298</v>
      </c>
      <c r="B26" s="32">
        <f>+'Data for Settlement &amp; 1st TU'!I43</f>
        <v>0.151</v>
      </c>
      <c r="C26" s="477">
        <f t="shared" si="18"/>
        <v>3.4737778817689184E-2</v>
      </c>
      <c r="D26" s="487">
        <f>+'Data for Settlement &amp; 1st TU'!$G$57</f>
        <v>7.6060000000000003E-2</v>
      </c>
      <c r="E26" s="32">
        <f t="shared" si="12"/>
        <v>0.11079777881768918</v>
      </c>
      <c r="F26" s="33">
        <f t="shared" si="13"/>
        <v>4.0202221182310816E-2</v>
      </c>
      <c r="G26" s="480">
        <f>'Data for Settlement &amp; 1st TU'!J22</f>
        <v>3613505.6546091498</v>
      </c>
      <c r="H26" s="108">
        <f t="shared" si="14"/>
        <v>545639.35384598165</v>
      </c>
      <c r="I26" s="108">
        <f t="shared" si="15"/>
        <v>125525.16018628181</v>
      </c>
      <c r="J26" s="108">
        <f t="shared" si="16"/>
        <v>274843.24008957192</v>
      </c>
      <c r="K26" s="108">
        <f t="shared" si="17"/>
        <v>145270.95357012795</v>
      </c>
      <c r="M26" s="10"/>
      <c r="N26" s="13"/>
      <c r="O26" s="13"/>
      <c r="P26" s="13"/>
      <c r="Q26" s="13"/>
      <c r="R26" s="5"/>
      <c r="S26" s="5"/>
      <c r="T26" s="5"/>
      <c r="Y26" s="5"/>
    </row>
    <row r="27" spans="1:27" x14ac:dyDescent="0.25">
      <c r="A27" s="320" t="s">
        <v>299</v>
      </c>
      <c r="B27" s="304">
        <f>+'Data for Settlement &amp; 1st TU'!I44</f>
        <v>0</v>
      </c>
      <c r="C27" s="477">
        <f t="shared" si="18"/>
        <v>3.4737778817689184E-2</v>
      </c>
      <c r="D27" s="487">
        <f>+'Data for Settlement &amp; 1st TU'!$G$57</f>
        <v>7.6060000000000003E-2</v>
      </c>
      <c r="E27" s="304">
        <f>+C27+D27</f>
        <v>0.11079777881768918</v>
      </c>
      <c r="F27" s="305">
        <f>+B27-E27</f>
        <v>-0.11079777881768918</v>
      </c>
      <c r="G27" s="480">
        <f>'Data for Settlement &amp; 1st TU'!J23</f>
        <v>0</v>
      </c>
      <c r="H27" s="108">
        <f>+G27*B27</f>
        <v>0</v>
      </c>
      <c r="I27" s="108">
        <f>+G27*C27</f>
        <v>0</v>
      </c>
      <c r="J27" s="108">
        <f>+G27*D27</f>
        <v>0</v>
      </c>
      <c r="K27" s="108">
        <f>+H27-I27-J27</f>
        <v>0</v>
      </c>
      <c r="M27" s="10"/>
      <c r="N27" s="13"/>
      <c r="O27" s="13"/>
      <c r="P27" s="13"/>
      <c r="Q27" s="13"/>
      <c r="R27" s="5"/>
      <c r="S27" s="5"/>
      <c r="T27" s="5"/>
      <c r="Y27" s="5"/>
    </row>
    <row r="28" spans="1:27" x14ac:dyDescent="0.25">
      <c r="A28" s="320" t="s">
        <v>300</v>
      </c>
      <c r="B28" s="304">
        <f>+'Data for Settlement &amp; 1st TU'!I45</f>
        <v>0</v>
      </c>
      <c r="C28" s="477">
        <f t="shared" si="18"/>
        <v>3.4737778817689184E-2</v>
      </c>
      <c r="D28" s="487">
        <f>+'Data for Settlement &amp; 1st TU'!$G$57</f>
        <v>7.6060000000000003E-2</v>
      </c>
      <c r="E28" s="304">
        <f t="shared" si="12"/>
        <v>0.11079777881768918</v>
      </c>
      <c r="F28" s="305">
        <f t="shared" si="13"/>
        <v>-0.11079777881768918</v>
      </c>
      <c r="G28" s="480">
        <f>'Data for Settlement &amp; 1st TU'!J24</f>
        <v>0</v>
      </c>
      <c r="H28" s="108">
        <f t="shared" ref="H28:H30" si="19">+G28*B28</f>
        <v>0</v>
      </c>
      <c r="I28" s="108">
        <f t="shared" ref="I28:I30" si="20">+G28*C28</f>
        <v>0</v>
      </c>
      <c r="J28" s="108">
        <f t="shared" ref="J28:J30" si="21">+G28*D28</f>
        <v>0</v>
      </c>
      <c r="K28" s="108">
        <f t="shared" ref="K28:K30" si="22">+H28-I28-J28</f>
        <v>0</v>
      </c>
      <c r="M28" s="10"/>
      <c r="N28" s="13"/>
      <c r="O28" s="13"/>
      <c r="P28" s="13"/>
      <c r="Q28" s="13"/>
      <c r="R28" s="5"/>
      <c r="S28" s="5"/>
      <c r="T28" s="5"/>
      <c r="Y28" s="5"/>
    </row>
    <row r="29" spans="1:27" x14ac:dyDescent="0.25">
      <c r="A29" s="320" t="s">
        <v>301</v>
      </c>
      <c r="B29" s="304">
        <f>+'Data for Settlement &amp; 1st TU'!I46</f>
        <v>0</v>
      </c>
      <c r="C29" s="477">
        <f t="shared" si="18"/>
        <v>3.4737778817689184E-2</v>
      </c>
      <c r="D29" s="487">
        <f>+'Data for Settlement &amp; 1st TU'!$G$57</f>
        <v>7.6060000000000003E-2</v>
      </c>
      <c r="E29" s="304">
        <f>+C29+D29</f>
        <v>0.11079777881768918</v>
      </c>
      <c r="F29" s="305">
        <f>+B29-E29</f>
        <v>-0.11079777881768918</v>
      </c>
      <c r="G29" s="480">
        <f>'Data for Settlement &amp; 1st TU'!J25</f>
        <v>0</v>
      </c>
      <c r="H29" s="108">
        <f>+G29*B29</f>
        <v>0</v>
      </c>
      <c r="I29" s="108">
        <f>+G29*C29</f>
        <v>0</v>
      </c>
      <c r="J29" s="108">
        <f>+G29*D29</f>
        <v>0</v>
      </c>
      <c r="K29" s="108">
        <f>+H29-I29-J29</f>
        <v>0</v>
      </c>
      <c r="M29" s="10"/>
      <c r="N29" s="13"/>
      <c r="O29" s="13"/>
      <c r="P29" s="13"/>
      <c r="Q29" s="13"/>
      <c r="R29" s="5"/>
      <c r="S29" s="5"/>
      <c r="T29" s="5"/>
      <c r="Y29" s="5"/>
    </row>
    <row r="30" spans="1:27" x14ac:dyDescent="0.25">
      <c r="A30" s="326" t="s">
        <v>302</v>
      </c>
      <c r="B30" s="304">
        <f>+'Data for Settlement &amp; 1st TU'!I47</f>
        <v>0</v>
      </c>
      <c r="C30" s="477">
        <f t="shared" si="18"/>
        <v>3.4737778817689184E-2</v>
      </c>
      <c r="D30" s="487">
        <f>+'Data for Settlement &amp; 1st TU'!$G$57</f>
        <v>7.6060000000000003E-2</v>
      </c>
      <c r="E30" s="304">
        <f t="shared" si="12"/>
        <v>0.11079777881768918</v>
      </c>
      <c r="F30" s="305">
        <f t="shared" si="13"/>
        <v>-0.11079777881768918</v>
      </c>
      <c r="G30" s="480">
        <f>'Data for Settlement &amp; 1st TU'!J26</f>
        <v>0</v>
      </c>
      <c r="H30" s="108">
        <f t="shared" si="19"/>
        <v>0</v>
      </c>
      <c r="I30" s="108">
        <f t="shared" si="20"/>
        <v>0</v>
      </c>
      <c r="J30" s="108">
        <f t="shared" si="21"/>
        <v>0</v>
      </c>
      <c r="K30" s="108">
        <f t="shared" si="22"/>
        <v>0</v>
      </c>
      <c r="M30" s="10"/>
      <c r="N30" s="13"/>
      <c r="O30" s="13"/>
      <c r="P30" s="13"/>
      <c r="Q30" s="13"/>
      <c r="R30" s="5"/>
      <c r="S30" s="5"/>
      <c r="T30" s="5"/>
      <c r="Y30" s="5"/>
    </row>
    <row r="31" spans="1:27" ht="15.75" thickBot="1" x14ac:dyDescent="0.3">
      <c r="B31" s="327">
        <f>+H31/G31</f>
        <v>9.4726937505514128E-2</v>
      </c>
      <c r="G31" s="322">
        <f>SUM(G22:G30)</f>
        <v>18476222.553029429</v>
      </c>
      <c r="H31" s="312">
        <f>SUM(H22:H30)</f>
        <v>1750195.9791187893</v>
      </c>
      <c r="I31" s="372">
        <f>SUM(I22:I30)</f>
        <v>641822.93243353686</v>
      </c>
      <c r="J31" s="372">
        <f>SUM(J22:J30)</f>
        <v>1405301.4873834187</v>
      </c>
      <c r="K31" s="312">
        <f>SUM(K22:K30)</f>
        <v>-296928.44069816615</v>
      </c>
      <c r="L31" s="106" t="str">
        <f>IF(K31&gt;0,"payable to IESO","receivable from IESO")</f>
        <v>receivable from IESO</v>
      </c>
      <c r="M31" s="10"/>
      <c r="N31" s="13"/>
      <c r="O31" s="13"/>
      <c r="P31" s="13"/>
      <c r="Q31" s="13"/>
      <c r="R31" s="25"/>
      <c r="S31" s="25"/>
      <c r="T31" s="25"/>
      <c r="Y31" s="25"/>
    </row>
    <row r="32" spans="1:27" x14ac:dyDescent="0.25">
      <c r="J32" s="1"/>
      <c r="M32" s="10"/>
      <c r="N32" s="13"/>
      <c r="O32" s="13"/>
      <c r="P32" s="13"/>
      <c r="Q32" s="13"/>
    </row>
    <row r="33" spans="1:17" ht="18.75" x14ac:dyDescent="0.3">
      <c r="A33" s="22" t="s">
        <v>137</v>
      </c>
      <c r="M33" s="10"/>
      <c r="N33" s="13"/>
      <c r="O33" s="13"/>
      <c r="P33" s="13"/>
      <c r="Q33" s="13"/>
    </row>
    <row r="34" spans="1:17" ht="18.75" x14ac:dyDescent="0.3">
      <c r="A34" s="22"/>
      <c r="M34" s="10"/>
      <c r="N34" s="13"/>
      <c r="O34" s="13"/>
      <c r="P34" s="13"/>
      <c r="Q34" s="13"/>
    </row>
    <row r="35" spans="1:17" x14ac:dyDescent="0.25">
      <c r="A35" s="10" t="s">
        <v>124</v>
      </c>
      <c r="M35" s="10"/>
      <c r="N35" s="13"/>
      <c r="O35" s="13"/>
      <c r="P35" s="13"/>
      <c r="Q35" s="13"/>
    </row>
    <row r="36" spans="1:17" ht="45" x14ac:dyDescent="0.25">
      <c r="A36" s="54" t="s">
        <v>56</v>
      </c>
      <c r="B36" s="35" t="s">
        <v>16</v>
      </c>
      <c r="C36" s="36" t="s">
        <v>73</v>
      </c>
      <c r="D36" s="36" t="s">
        <v>54</v>
      </c>
      <c r="E36" s="36" t="s">
        <v>27</v>
      </c>
      <c r="F36" s="35" t="s">
        <v>7</v>
      </c>
      <c r="G36" s="35" t="s">
        <v>14</v>
      </c>
      <c r="H36" s="36" t="s">
        <v>79</v>
      </c>
      <c r="I36" s="36" t="s">
        <v>80</v>
      </c>
      <c r="J36" s="36" t="s">
        <v>81</v>
      </c>
      <c r="K36" s="36" t="s">
        <v>173</v>
      </c>
    </row>
    <row r="37" spans="1:17" x14ac:dyDescent="0.25">
      <c r="A37" s="37" t="s">
        <v>2</v>
      </c>
      <c r="B37" s="38">
        <f t="shared" ref="B37:G45" si="23">+B7-B22</f>
        <v>0</v>
      </c>
      <c r="C37" s="39">
        <f t="shared" si="23"/>
        <v>3.0609562611489741E-3</v>
      </c>
      <c r="D37" s="39">
        <f t="shared" si="23"/>
        <v>-2.452E-2</v>
      </c>
      <c r="E37" s="39">
        <f t="shared" si="23"/>
        <v>-2.1459043738851019E-2</v>
      </c>
      <c r="F37" s="40">
        <f t="shared" si="23"/>
        <v>2.1459043738851019E-2</v>
      </c>
      <c r="G37" s="17">
        <f>+G22-G7</f>
        <v>-154577.08795833157</v>
      </c>
      <c r="H37" s="4">
        <f t="shared" ref="H37:J45" si="24">+H22-H7</f>
        <v>-13448.206652374844</v>
      </c>
      <c r="I37" s="4">
        <f t="shared" si="24"/>
        <v>-7514.2246919251884</v>
      </c>
      <c r="J37" s="4">
        <f t="shared" si="24"/>
        <v>5422.0116097340288</v>
      </c>
      <c r="K37" s="4">
        <f>+H37-I37-J37</f>
        <v>-11355.993570183684</v>
      </c>
      <c r="M37" s="5"/>
      <c r="N37" s="30"/>
    </row>
    <row r="38" spans="1:17" x14ac:dyDescent="0.25">
      <c r="A38" s="41" t="s">
        <v>3</v>
      </c>
      <c r="B38" s="28">
        <f t="shared" si="23"/>
        <v>0</v>
      </c>
      <c r="C38" s="32">
        <f t="shared" si="23"/>
        <v>3.0609562611489741E-3</v>
      </c>
      <c r="D38" s="32">
        <f t="shared" si="23"/>
        <v>-2.452E-2</v>
      </c>
      <c r="E38" s="32">
        <f t="shared" si="23"/>
        <v>-2.1459043738851019E-2</v>
      </c>
      <c r="F38" s="33">
        <f t="shared" si="23"/>
        <v>2.1459043738851019E-2</v>
      </c>
      <c r="G38" s="17">
        <f t="shared" si="23"/>
        <v>76698.326810707862</v>
      </c>
      <c r="H38" s="4">
        <f t="shared" si="24"/>
        <v>-7899.9276615029084</v>
      </c>
      <c r="I38" s="4">
        <f t="shared" si="24"/>
        <v>-3728.4210018610665</v>
      </c>
      <c r="J38" s="4">
        <f t="shared" si="24"/>
        <v>2690.3030967107698</v>
      </c>
      <c r="K38" s="4">
        <f t="shared" ref="K38:K41" si="25">+H38-I38-J38</f>
        <v>-6861.8097563526117</v>
      </c>
      <c r="M38" s="5"/>
      <c r="N38" s="30"/>
    </row>
    <row r="39" spans="1:17" x14ac:dyDescent="0.25">
      <c r="A39" s="319" t="s">
        <v>296</v>
      </c>
      <c r="B39" s="28">
        <f t="shared" si="23"/>
        <v>0</v>
      </c>
      <c r="C39" s="32">
        <f t="shared" si="23"/>
        <v>3.0609562611489741E-3</v>
      </c>
      <c r="D39" s="32">
        <f t="shared" si="23"/>
        <v>-2.452E-2</v>
      </c>
      <c r="E39" s="32">
        <f t="shared" si="23"/>
        <v>-2.1459043738851019E-2</v>
      </c>
      <c r="F39" s="33">
        <f t="shared" si="23"/>
        <v>2.1459043738851019E-2</v>
      </c>
      <c r="G39" s="306">
        <f t="shared" si="23"/>
        <v>3068673.4426269848</v>
      </c>
      <c r="H39" s="108">
        <f t="shared" si="24"/>
        <v>-227081.83475439681</v>
      </c>
      <c r="I39" s="108">
        <f t="shared" si="24"/>
        <v>-149172.8305831363</v>
      </c>
      <c r="J39" s="108">
        <f t="shared" si="24"/>
        <v>107638.09340806783</v>
      </c>
      <c r="K39" s="108">
        <f t="shared" si="25"/>
        <v>-185547.09757932834</v>
      </c>
      <c r="M39" s="5"/>
      <c r="N39" s="30"/>
    </row>
    <row r="40" spans="1:17" x14ac:dyDescent="0.25">
      <c r="A40" s="319" t="s">
        <v>297</v>
      </c>
      <c r="B40" s="28">
        <f t="shared" si="23"/>
        <v>0</v>
      </c>
      <c r="C40" s="32">
        <f t="shared" si="23"/>
        <v>3.0609562611489741E-3</v>
      </c>
      <c r="D40" s="32">
        <f t="shared" si="23"/>
        <v>-2.452E-2</v>
      </c>
      <c r="E40" s="32">
        <f t="shared" si="23"/>
        <v>-2.1459043738851019E-2</v>
      </c>
      <c r="F40" s="33">
        <f t="shared" si="23"/>
        <v>2.1459043738851019E-2</v>
      </c>
      <c r="G40" s="306">
        <f t="shared" si="23"/>
        <v>907495.85033267271</v>
      </c>
      <c r="H40" s="108">
        <f t="shared" si="24"/>
        <v>-92564.576733932598</v>
      </c>
      <c r="I40" s="108">
        <f t="shared" si="24"/>
        <v>-44114.737937278289</v>
      </c>
      <c r="J40" s="108">
        <f t="shared" si="24"/>
        <v>31831.709998415667</v>
      </c>
      <c r="K40" s="108">
        <f t="shared" si="25"/>
        <v>-80281.548795069975</v>
      </c>
      <c r="M40" s="5"/>
      <c r="N40" s="30"/>
    </row>
    <row r="41" spans="1:17" x14ac:dyDescent="0.25">
      <c r="A41" s="319" t="s">
        <v>298</v>
      </c>
      <c r="B41" s="28">
        <f t="shared" si="23"/>
        <v>0</v>
      </c>
      <c r="C41" s="32">
        <f t="shared" si="23"/>
        <v>3.0609562611489741E-3</v>
      </c>
      <c r="D41" s="32">
        <f t="shared" si="23"/>
        <v>-2.452E-2</v>
      </c>
      <c r="E41" s="32">
        <f t="shared" si="23"/>
        <v>-2.1459043738851019E-2</v>
      </c>
      <c r="F41" s="33">
        <f t="shared" si="23"/>
        <v>2.1459043738851019E-2</v>
      </c>
      <c r="G41" s="310">
        <f t="shared" si="23"/>
        <v>1022937.148486556</v>
      </c>
      <c r="H41" s="108">
        <f t="shared" si="24"/>
        <v>-154463.50942146988</v>
      </c>
      <c r="I41" s="108">
        <f t="shared" si="24"/>
        <v>-49726.513036118558</v>
      </c>
      <c r="J41" s="108">
        <f t="shared" si="24"/>
        <v>35880.978018019232</v>
      </c>
      <c r="K41" s="108">
        <f t="shared" si="25"/>
        <v>-140617.97440337055</v>
      </c>
      <c r="M41" s="5"/>
      <c r="N41" s="30"/>
    </row>
    <row r="42" spans="1:17" x14ac:dyDescent="0.25">
      <c r="A42" s="320" t="s">
        <v>299</v>
      </c>
      <c r="B42" s="309">
        <f t="shared" si="23"/>
        <v>0</v>
      </c>
      <c r="C42" s="304">
        <f t="shared" si="23"/>
        <v>3.0609562611489741E-3</v>
      </c>
      <c r="D42" s="304">
        <f t="shared" si="23"/>
        <v>-2.452E-2</v>
      </c>
      <c r="E42" s="304">
        <f t="shared" si="23"/>
        <v>-2.1459043738851019E-2</v>
      </c>
      <c r="F42" s="305">
        <f t="shared" si="23"/>
        <v>2.1459043738851019E-2</v>
      </c>
      <c r="G42" s="310">
        <f t="shared" si="23"/>
        <v>0</v>
      </c>
      <c r="H42" s="108">
        <f t="shared" si="24"/>
        <v>0</v>
      </c>
      <c r="I42" s="108">
        <f t="shared" si="24"/>
        <v>0</v>
      </c>
      <c r="J42" s="108">
        <f t="shared" si="24"/>
        <v>0</v>
      </c>
      <c r="K42" s="108">
        <f>+H42-I42-J42</f>
        <v>0</v>
      </c>
      <c r="M42" s="5"/>
      <c r="N42" s="30"/>
    </row>
    <row r="43" spans="1:17" x14ac:dyDescent="0.25">
      <c r="A43" s="320" t="s">
        <v>300</v>
      </c>
      <c r="B43" s="309">
        <f t="shared" si="23"/>
        <v>0</v>
      </c>
      <c r="C43" s="304">
        <f t="shared" si="23"/>
        <v>3.0609562611489741E-3</v>
      </c>
      <c r="D43" s="304">
        <f t="shared" si="23"/>
        <v>-2.452E-2</v>
      </c>
      <c r="E43" s="304">
        <f t="shared" si="23"/>
        <v>-2.1459043738851019E-2</v>
      </c>
      <c r="F43" s="305">
        <f t="shared" si="23"/>
        <v>2.1459043738851019E-2</v>
      </c>
      <c r="G43" s="310">
        <f t="shared" si="23"/>
        <v>0</v>
      </c>
      <c r="H43" s="108">
        <f t="shared" si="24"/>
        <v>0</v>
      </c>
      <c r="I43" s="108">
        <f t="shared" si="24"/>
        <v>0</v>
      </c>
      <c r="J43" s="108">
        <f t="shared" si="24"/>
        <v>0</v>
      </c>
      <c r="K43" s="108">
        <f t="shared" ref="K43:K45" si="26">+H43-I43-J43</f>
        <v>0</v>
      </c>
      <c r="M43" s="5"/>
      <c r="N43" s="30"/>
    </row>
    <row r="44" spans="1:17" x14ac:dyDescent="0.25">
      <c r="A44" s="320" t="s">
        <v>301</v>
      </c>
      <c r="B44" s="309">
        <f t="shared" si="23"/>
        <v>0</v>
      </c>
      <c r="C44" s="304">
        <f t="shared" si="23"/>
        <v>3.0609562611489741E-3</v>
      </c>
      <c r="D44" s="304">
        <f t="shared" si="23"/>
        <v>-2.452E-2</v>
      </c>
      <c r="E44" s="304">
        <f t="shared" si="23"/>
        <v>-2.1459043738851019E-2</v>
      </c>
      <c r="F44" s="305">
        <f t="shared" si="23"/>
        <v>2.1459043738851019E-2</v>
      </c>
      <c r="G44" s="310">
        <f t="shared" si="23"/>
        <v>0</v>
      </c>
      <c r="H44" s="108">
        <f t="shared" si="24"/>
        <v>0</v>
      </c>
      <c r="I44" s="108">
        <f t="shared" si="24"/>
        <v>0</v>
      </c>
      <c r="J44" s="108">
        <f t="shared" si="24"/>
        <v>0</v>
      </c>
      <c r="K44" s="108">
        <f>+H44-I44-J44</f>
        <v>0</v>
      </c>
      <c r="M44" s="5"/>
      <c r="N44" s="30"/>
    </row>
    <row r="45" spans="1:17" x14ac:dyDescent="0.25">
      <c r="A45" s="326" t="s">
        <v>302</v>
      </c>
      <c r="B45" s="311">
        <f t="shared" si="23"/>
        <v>0</v>
      </c>
      <c r="C45" s="307">
        <f t="shared" si="23"/>
        <v>3.0609562611489741E-3</v>
      </c>
      <c r="D45" s="307">
        <f t="shared" si="23"/>
        <v>-2.452E-2</v>
      </c>
      <c r="E45" s="307">
        <f t="shared" si="23"/>
        <v>-2.1459043738851019E-2</v>
      </c>
      <c r="F45" s="308">
        <f t="shared" si="23"/>
        <v>2.1459043738851019E-2</v>
      </c>
      <c r="G45" s="315">
        <f t="shared" si="23"/>
        <v>0</v>
      </c>
      <c r="H45" s="316">
        <f t="shared" si="24"/>
        <v>0</v>
      </c>
      <c r="I45" s="316">
        <f t="shared" si="24"/>
        <v>0</v>
      </c>
      <c r="J45" s="316">
        <f t="shared" si="24"/>
        <v>0</v>
      </c>
      <c r="K45" s="316">
        <f t="shared" si="26"/>
        <v>0</v>
      </c>
      <c r="M45" s="5"/>
      <c r="N45" s="30"/>
    </row>
    <row r="46" spans="1:17" ht="15.75" thickBot="1" x14ac:dyDescent="0.3">
      <c r="B46" s="3"/>
      <c r="G46" s="370">
        <f>SUM(G37:G45)</f>
        <v>4921227.6802985892</v>
      </c>
      <c r="H46" s="317">
        <f>SUM(H37:H45)</f>
        <v>-495458.05522367707</v>
      </c>
      <c r="I46" s="371">
        <f t="shared" ref="I46:K46" si="27">SUM(I37:I45)</f>
        <v>-254256.72725031941</v>
      </c>
      <c r="J46" s="371">
        <f t="shared" si="27"/>
        <v>183463.09613094752</v>
      </c>
      <c r="K46" s="317">
        <f t="shared" si="27"/>
        <v>-424664.4241043051</v>
      </c>
      <c r="L46" s="106" t="str">
        <f>IF(K46&gt;0,"payable to IESO","receivable from IESO")</f>
        <v>receivable from IESO</v>
      </c>
    </row>
    <row r="47" spans="1:17" ht="15.75" thickTop="1" x14ac:dyDescent="0.25"/>
    <row r="48" spans="1:17" ht="17.25" x14ac:dyDescent="0.25">
      <c r="A48" t="s">
        <v>275</v>
      </c>
      <c r="K48" s="25"/>
    </row>
    <row r="49" spans="11:11" x14ac:dyDescent="0.25">
      <c r="K49" s="5"/>
    </row>
  </sheetData>
  <pageMargins left="0.7" right="0.7" top="0.75" bottom="0.75" header="0.3" footer="0.3"/>
  <pageSetup paperSize="5" scale="61"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26"/>
  <sheetViews>
    <sheetView zoomScale="70" zoomScaleNormal="70" workbookViewId="0">
      <selection sqref="A1:O110"/>
    </sheetView>
  </sheetViews>
  <sheetFormatPr defaultRowHeight="15" x14ac:dyDescent="0.25"/>
  <cols>
    <col min="1" max="1" width="69.7109375" customWidth="1"/>
    <col min="2" max="2" width="13.28515625" bestFit="1" customWidth="1"/>
    <col min="3" max="3" width="15.7109375" customWidth="1"/>
    <col min="4" max="4" width="14.7109375" customWidth="1"/>
    <col min="5" max="5" width="15.85546875" customWidth="1"/>
    <col min="6" max="6" width="69.28515625" customWidth="1"/>
    <col min="7" max="7" width="12.28515625" customWidth="1"/>
    <col min="8" max="8" width="15" bestFit="1" customWidth="1"/>
    <col min="9" max="9" width="14.7109375" customWidth="1"/>
    <col min="10" max="10" width="15.85546875" bestFit="1" customWidth="1"/>
    <col min="11" max="11" width="13.7109375" customWidth="1"/>
    <col min="12" max="12" width="13.7109375" bestFit="1" customWidth="1"/>
    <col min="13" max="13" width="14.7109375" customWidth="1"/>
    <col min="14" max="14" width="13.28515625" bestFit="1" customWidth="1"/>
    <col min="15" max="15" width="13.7109375" bestFit="1" customWidth="1"/>
    <col min="16" max="16" width="15" bestFit="1" customWidth="1"/>
    <col min="17" max="17" width="8.5703125" bestFit="1" customWidth="1"/>
    <col min="18" max="21" width="14.7109375" customWidth="1"/>
    <col min="22" max="22" width="13.28515625" customWidth="1"/>
    <col min="23" max="23" width="13.42578125" customWidth="1"/>
    <col min="24" max="24" width="12.42578125" customWidth="1"/>
    <col min="25" max="25" width="13.28515625" customWidth="1"/>
    <col min="26" max="26" width="12.7109375" customWidth="1"/>
    <col min="27" max="27" width="9.28515625" customWidth="1"/>
  </cols>
  <sheetData>
    <row r="1" spans="1:19" ht="18.75" x14ac:dyDescent="0.3">
      <c r="A1" s="22" t="s">
        <v>339</v>
      </c>
      <c r="E1" s="453" t="s">
        <v>417</v>
      </c>
      <c r="F1" s="22" t="s">
        <v>377</v>
      </c>
      <c r="J1" s="453" t="s">
        <v>417</v>
      </c>
      <c r="K1" s="22" t="s">
        <v>235</v>
      </c>
    </row>
    <row r="2" spans="1:19" x14ac:dyDescent="0.25">
      <c r="A2" s="515" t="s">
        <v>441</v>
      </c>
      <c r="B2" s="515"/>
      <c r="E2" s="453" t="s">
        <v>418</v>
      </c>
      <c r="J2" s="453" t="s">
        <v>418</v>
      </c>
    </row>
    <row r="3" spans="1:19" x14ac:dyDescent="0.25">
      <c r="A3" s="10" t="s">
        <v>226</v>
      </c>
      <c r="E3" s="454" t="s">
        <v>435</v>
      </c>
      <c r="F3" s="10" t="s">
        <v>133</v>
      </c>
      <c r="J3" s="454" t="s">
        <v>435</v>
      </c>
    </row>
    <row r="4" spans="1:19" ht="30" x14ac:dyDescent="0.25">
      <c r="A4" s="10"/>
      <c r="B4" s="27" t="s">
        <v>104</v>
      </c>
      <c r="C4" s="20" t="s">
        <v>96</v>
      </c>
      <c r="D4" s="20" t="s">
        <v>97</v>
      </c>
      <c r="E4" s="459" t="s">
        <v>96</v>
      </c>
      <c r="F4" s="10"/>
      <c r="G4" s="27" t="s">
        <v>104</v>
      </c>
      <c r="H4" s="20" t="s">
        <v>96</v>
      </c>
      <c r="I4" s="20" t="s">
        <v>97</v>
      </c>
      <c r="J4" s="459" t="s">
        <v>96</v>
      </c>
    </row>
    <row r="5" spans="1:19" ht="18.75" x14ac:dyDescent="0.3">
      <c r="A5" t="s">
        <v>211</v>
      </c>
      <c r="C5" s="8">
        <f>+'Data for Settlement &amp; 1st TU'!H6</f>
        <v>32434190</v>
      </c>
      <c r="D5" s="8">
        <f>+C5</f>
        <v>32434190</v>
      </c>
      <c r="E5" s="460">
        <f>+D5</f>
        <v>32434190</v>
      </c>
      <c r="F5" t="s">
        <v>211</v>
      </c>
      <c r="H5" s="1">
        <f>+C5</f>
        <v>32434190</v>
      </c>
      <c r="I5" s="6">
        <f>+H5</f>
        <v>32434190</v>
      </c>
      <c r="J5" s="460">
        <f>+I5</f>
        <v>32434190</v>
      </c>
      <c r="K5" s="22"/>
      <c r="O5" s="5"/>
    </row>
    <row r="6" spans="1:19" ht="18.75" x14ac:dyDescent="0.3">
      <c r="A6" t="s">
        <v>323</v>
      </c>
      <c r="C6" s="397">
        <f>+'Data for Settlement &amp; 1st TU'!H7</f>
        <v>7220967</v>
      </c>
      <c r="D6" s="8">
        <f>+C6</f>
        <v>7220967</v>
      </c>
      <c r="E6" s="461"/>
      <c r="F6" t="s">
        <v>323</v>
      </c>
      <c r="H6" s="1">
        <f>+C6</f>
        <v>7220967</v>
      </c>
      <c r="I6" s="6">
        <f>+H6</f>
        <v>7220967</v>
      </c>
      <c r="J6" s="461"/>
      <c r="K6" s="22"/>
      <c r="O6" s="5"/>
    </row>
    <row r="7" spans="1:19" x14ac:dyDescent="0.25">
      <c r="A7" t="s">
        <v>210</v>
      </c>
      <c r="C7" s="8">
        <f>+'Data for Settlement &amp; 1st TU'!H8</f>
        <v>347712.63</v>
      </c>
      <c r="D7" s="8">
        <f>+C7</f>
        <v>347712.63</v>
      </c>
      <c r="E7" s="460">
        <f>+D7</f>
        <v>347712.63</v>
      </c>
      <c r="F7" t="s">
        <v>210</v>
      </c>
      <c r="H7" s="8">
        <f>+C7</f>
        <v>347712.63</v>
      </c>
      <c r="I7" s="6">
        <f>+H7</f>
        <v>347712.63</v>
      </c>
      <c r="J7" s="460">
        <f>+I7</f>
        <v>347712.63</v>
      </c>
      <c r="K7" s="23"/>
    </row>
    <row r="8" spans="1:19" x14ac:dyDescent="0.25">
      <c r="A8" t="s">
        <v>99</v>
      </c>
      <c r="C8" s="8">
        <f>+'Data for Settlement &amp; 1st TU'!H9</f>
        <v>-7273976.6299999999</v>
      </c>
      <c r="D8" s="8"/>
      <c r="E8" s="460">
        <f>+C8</f>
        <v>-7273976.6299999999</v>
      </c>
      <c r="F8" t="s">
        <v>99</v>
      </c>
      <c r="H8" s="8">
        <f>+C8</f>
        <v>-7273976.6299999999</v>
      </c>
      <c r="J8" s="460">
        <f>+H8</f>
        <v>-7273976.6299999999</v>
      </c>
      <c r="K8" s="23"/>
    </row>
    <row r="9" spans="1:19" x14ac:dyDescent="0.25">
      <c r="C9" s="56">
        <f>SUM(C5:C8)</f>
        <v>32728893.000000004</v>
      </c>
      <c r="D9" s="56">
        <f>SUM(D5:D8)</f>
        <v>40002869.630000003</v>
      </c>
      <c r="E9" s="462">
        <f>SUM(E5:E8)</f>
        <v>25507926</v>
      </c>
      <c r="H9" s="56">
        <f>SUM(H5:H8)</f>
        <v>32728893.000000004</v>
      </c>
      <c r="I9" s="56">
        <f>SUM(I5:I8)</f>
        <v>40002869.630000003</v>
      </c>
      <c r="J9" s="462">
        <f>SUM(J5:J8)</f>
        <v>25507926</v>
      </c>
      <c r="M9" s="522"/>
      <c r="N9" s="522"/>
      <c r="O9" s="522"/>
      <c r="P9" s="522"/>
      <c r="Q9" s="523"/>
      <c r="R9" s="523"/>
    </row>
    <row r="10" spans="1:19" x14ac:dyDescent="0.25">
      <c r="B10" s="74" t="s">
        <v>324</v>
      </c>
      <c r="C10" s="396">
        <f>+C5+C7+C8</f>
        <v>25507926</v>
      </c>
      <c r="E10" s="463">
        <f>+E9-E8</f>
        <v>32781902.629999999</v>
      </c>
      <c r="G10" s="74" t="s">
        <v>324</v>
      </c>
      <c r="H10" s="396">
        <f>+H5+H7+H8</f>
        <v>25507926</v>
      </c>
      <c r="J10" s="463">
        <f>+J9-J8</f>
        <v>32781902.629999999</v>
      </c>
      <c r="L10" s="20"/>
      <c r="M10" s="42"/>
      <c r="N10" s="20"/>
      <c r="O10" s="27"/>
      <c r="P10" s="42"/>
      <c r="Q10" s="20"/>
      <c r="R10" s="27"/>
      <c r="S10" s="27"/>
    </row>
    <row r="11" spans="1:19" x14ac:dyDescent="0.25">
      <c r="A11" t="s">
        <v>32</v>
      </c>
      <c r="B11" s="2">
        <f>+B32</f>
        <v>0.72433260756007489</v>
      </c>
      <c r="C11" s="1">
        <f>+C9*B11</f>
        <v>23706604.409244686</v>
      </c>
      <c r="D11" s="6">
        <f>C11</f>
        <v>23706604.409244686</v>
      </c>
      <c r="E11" s="498">
        <f>+(E10+E8)/(D9+E8)</f>
        <v>0.77937026467714621</v>
      </c>
      <c r="F11" t="s">
        <v>30</v>
      </c>
      <c r="G11" s="11">
        <f>+G32</f>
        <v>0.72433260756007489</v>
      </c>
      <c r="H11" s="1">
        <f>+H9*G11</f>
        <v>23706604.409244686</v>
      </c>
      <c r="I11" s="6">
        <f>+H11</f>
        <v>23706604.409244686</v>
      </c>
      <c r="J11" s="498">
        <f>+(J10+J8)/(I9+J8)</f>
        <v>0.77937026467714621</v>
      </c>
      <c r="K11" s="86"/>
      <c r="L11" s="9"/>
      <c r="M11" s="6"/>
      <c r="N11" s="25"/>
      <c r="O11" s="58"/>
      <c r="P11" s="6"/>
      <c r="Q11" s="58"/>
      <c r="R11" s="25"/>
      <c r="S11" s="25"/>
    </row>
    <row r="12" spans="1:19" ht="45" x14ac:dyDescent="0.25">
      <c r="A12" t="s">
        <v>33</v>
      </c>
      <c r="B12" s="2">
        <f>+B33</f>
        <v>0.27566739243992505</v>
      </c>
      <c r="C12" s="1">
        <f>+C9*B12</f>
        <v>9022288.5907553174</v>
      </c>
      <c r="D12" s="6">
        <f>+C12-C8</f>
        <v>16296265.220755316</v>
      </c>
      <c r="E12" s="464" t="s">
        <v>419</v>
      </c>
      <c r="F12" t="s">
        <v>34</v>
      </c>
      <c r="G12" s="11">
        <f>+G33</f>
        <v>0.27566739243992505</v>
      </c>
      <c r="H12" s="1">
        <f>+H9*G12</f>
        <v>9022288.5907553174</v>
      </c>
      <c r="I12" s="6">
        <f>+H12-H8</f>
        <v>16296265.220755316</v>
      </c>
      <c r="J12" s="464" t="s">
        <v>419</v>
      </c>
      <c r="K12" s="86"/>
      <c r="L12" s="9"/>
      <c r="M12" s="6"/>
      <c r="N12" s="25"/>
      <c r="O12" s="58"/>
      <c r="P12" s="6"/>
      <c r="Q12" s="58"/>
      <c r="R12" s="25"/>
      <c r="S12" s="25"/>
    </row>
    <row r="13" spans="1:19" ht="15.75" thickBot="1" x14ac:dyDescent="0.3">
      <c r="A13" t="s">
        <v>13</v>
      </c>
      <c r="B13" s="16">
        <f>+B11+B12</f>
        <v>1</v>
      </c>
      <c r="C13" s="15">
        <f>+C11+C12</f>
        <v>32728893.000000004</v>
      </c>
      <c r="D13" s="15">
        <f>+D11+D12</f>
        <v>40002869.630000003</v>
      </c>
      <c r="F13" t="s">
        <v>13</v>
      </c>
      <c r="G13" s="16">
        <f>+G11+G12</f>
        <v>1</v>
      </c>
      <c r="H13" s="15">
        <f>+H11+H12</f>
        <v>32728893.000000004</v>
      </c>
      <c r="I13" s="15">
        <f>+I11+I12</f>
        <v>40002869.630000003</v>
      </c>
      <c r="L13" s="20"/>
      <c r="M13" s="6"/>
      <c r="N13" s="25"/>
      <c r="O13" s="58"/>
      <c r="P13" s="6"/>
      <c r="Q13" s="58"/>
      <c r="R13" s="25"/>
      <c r="S13" s="25"/>
    </row>
    <row r="14" spans="1:19" ht="15.75" thickTop="1" x14ac:dyDescent="0.25"/>
    <row r="15" spans="1:19" x14ac:dyDescent="0.25">
      <c r="A15" s="23" t="s">
        <v>218</v>
      </c>
      <c r="F15" s="23" t="s">
        <v>219</v>
      </c>
      <c r="L15" s="9"/>
      <c r="M15" s="6"/>
      <c r="N15" s="25"/>
      <c r="O15" s="58"/>
      <c r="P15" s="6"/>
      <c r="Q15" s="58"/>
      <c r="R15" s="25"/>
      <c r="S15" s="25"/>
    </row>
    <row r="16" spans="1:19" x14ac:dyDescent="0.25">
      <c r="A16" s="23"/>
      <c r="B16" s="20" t="s">
        <v>8</v>
      </c>
      <c r="C16" s="20" t="s">
        <v>14</v>
      </c>
      <c r="D16" s="27"/>
      <c r="F16" s="23"/>
      <c r="G16" s="20" t="s">
        <v>9</v>
      </c>
      <c r="H16" s="20" t="s">
        <v>14</v>
      </c>
      <c r="I16" s="27"/>
      <c r="J16" s="20" t="s">
        <v>14</v>
      </c>
      <c r="L16" s="9"/>
      <c r="M16" s="6"/>
      <c r="N16" s="4"/>
      <c r="O16" s="2"/>
      <c r="P16" s="6"/>
      <c r="Q16" s="2"/>
      <c r="R16" s="4"/>
      <c r="S16" s="4"/>
    </row>
    <row r="17" spans="1:19" x14ac:dyDescent="0.25">
      <c r="A17" t="s">
        <v>2</v>
      </c>
      <c r="B17" s="11">
        <f t="shared" ref="B17:B24" si="0">B38</f>
        <v>2.9553690764403354E-2</v>
      </c>
      <c r="C17" s="240">
        <f>+B17*$C$11</f>
        <v>700617.65578485851</v>
      </c>
      <c r="D17" s="51"/>
      <c r="E17" s="284">
        <f>+C17*E$11</f>
        <v>546040.56782652694</v>
      </c>
      <c r="F17" t="s">
        <v>2</v>
      </c>
      <c r="G17" s="295">
        <f t="shared" ref="G17:G24" si="1">G38</f>
        <v>2.9553690764403354E-2</v>
      </c>
      <c r="H17" s="296">
        <f>+G17*$H$11</f>
        <v>700617.65578485851</v>
      </c>
      <c r="I17" s="19"/>
      <c r="J17" s="284">
        <f>+H17*J$11</f>
        <v>546040.56782652694</v>
      </c>
      <c r="L17" s="9"/>
      <c r="M17" s="6"/>
      <c r="N17" s="4"/>
      <c r="O17" s="2"/>
      <c r="P17" s="6"/>
      <c r="Q17" s="2"/>
      <c r="R17" s="4"/>
      <c r="S17" s="4"/>
    </row>
    <row r="18" spans="1:19" x14ac:dyDescent="0.25">
      <c r="A18" t="s">
        <v>3</v>
      </c>
      <c r="B18" s="11">
        <f t="shared" si="0"/>
        <v>1.4664001390179069E-2</v>
      </c>
      <c r="C18" s="240">
        <f t="shared" ref="C18:C25" si="2">+B18*$C$11</f>
        <v>347633.68001358933</v>
      </c>
      <c r="D18" s="51"/>
      <c r="E18" s="284">
        <f t="shared" ref="E18:E25" si="3">+C18*E$11</f>
        <v>270935.35320288147</v>
      </c>
      <c r="F18" t="s">
        <v>3</v>
      </c>
      <c r="G18" s="295">
        <f t="shared" si="1"/>
        <v>1.4664001390179069E-2</v>
      </c>
      <c r="H18" s="296">
        <f t="shared" ref="H18:H25" si="4">+G18*$H$11</f>
        <v>347633.68001358933</v>
      </c>
      <c r="I18" s="19"/>
      <c r="J18" s="284">
        <f t="shared" ref="J18:J25" si="5">+H18*J$11</f>
        <v>270935.35320288147</v>
      </c>
      <c r="L18" s="9"/>
      <c r="M18" s="6"/>
      <c r="N18" s="4"/>
      <c r="O18" s="2"/>
      <c r="P18" s="6"/>
      <c r="Q18" s="2"/>
      <c r="R18" s="4"/>
      <c r="S18" s="4"/>
    </row>
    <row r="19" spans="1:19" x14ac:dyDescent="0.25">
      <c r="A19" s="319" t="s">
        <v>296</v>
      </c>
      <c r="B19" s="295">
        <f t="shared" si="0"/>
        <v>0.58670160745156419</v>
      </c>
      <c r="C19" s="296">
        <f t="shared" si="2"/>
        <v>13908702.914122196</v>
      </c>
      <c r="D19" s="51"/>
      <c r="E19" s="284">
        <f t="shared" si="3"/>
        <v>10840029.471495211</v>
      </c>
      <c r="F19" s="319" t="s">
        <v>296</v>
      </c>
      <c r="G19" s="295">
        <f t="shared" si="1"/>
        <v>0.58670160745156419</v>
      </c>
      <c r="H19" s="296">
        <f t="shared" si="4"/>
        <v>13908702.914122196</v>
      </c>
      <c r="I19" s="19"/>
      <c r="J19" s="284">
        <f t="shared" si="5"/>
        <v>10840029.471495211</v>
      </c>
      <c r="L19" s="9"/>
      <c r="M19" s="6"/>
      <c r="N19" s="4"/>
      <c r="O19" s="2"/>
      <c r="P19" s="6"/>
      <c r="Q19" s="2"/>
      <c r="R19" s="4"/>
      <c r="S19" s="4"/>
    </row>
    <row r="20" spans="1:19" x14ac:dyDescent="0.25">
      <c r="A20" s="319" t="s">
        <v>297</v>
      </c>
      <c r="B20" s="295">
        <f t="shared" si="0"/>
        <v>0.17350470296051076</v>
      </c>
      <c r="C20" s="296">
        <f t="shared" si="2"/>
        <v>4113207.3562283339</v>
      </c>
      <c r="D20" s="51"/>
      <c r="E20" s="284">
        <f t="shared" si="3"/>
        <v>3205711.5058956612</v>
      </c>
      <c r="F20" s="319" t="s">
        <v>297</v>
      </c>
      <c r="G20" s="295">
        <f t="shared" si="1"/>
        <v>0.17350470296051076</v>
      </c>
      <c r="H20" s="296">
        <f t="shared" si="4"/>
        <v>4113207.3562283339</v>
      </c>
      <c r="I20" s="19"/>
      <c r="J20" s="284">
        <f t="shared" si="5"/>
        <v>3205711.5058956612</v>
      </c>
      <c r="L20" s="9"/>
      <c r="M20" s="6"/>
      <c r="N20" s="4"/>
      <c r="O20" s="2"/>
      <c r="P20" s="6"/>
      <c r="Q20" s="2"/>
      <c r="R20" s="4"/>
      <c r="S20" s="4"/>
    </row>
    <row r="21" spans="1:19" x14ac:dyDescent="0.25">
      <c r="A21" s="319" t="s">
        <v>298</v>
      </c>
      <c r="B21" s="295">
        <f t="shared" si="0"/>
        <v>0.19557599743334256</v>
      </c>
      <c r="C21" s="296">
        <f t="shared" si="2"/>
        <v>4636442.8030957058</v>
      </c>
      <c r="D21" s="51"/>
      <c r="E21" s="284">
        <f t="shared" si="3"/>
        <v>3613505.6546091498</v>
      </c>
      <c r="F21" s="319" t="s">
        <v>298</v>
      </c>
      <c r="G21" s="295">
        <f t="shared" si="1"/>
        <v>0.19557599743334256</v>
      </c>
      <c r="H21" s="296">
        <f t="shared" si="4"/>
        <v>4636442.8030957058</v>
      </c>
      <c r="I21" s="19"/>
      <c r="J21" s="284">
        <f t="shared" si="5"/>
        <v>3613505.6546091498</v>
      </c>
      <c r="L21" s="9"/>
      <c r="M21" s="6"/>
      <c r="N21" s="4"/>
      <c r="O21" s="2"/>
      <c r="P21" s="6"/>
      <c r="Q21" s="2"/>
      <c r="R21" s="4"/>
      <c r="S21" s="4"/>
    </row>
    <row r="22" spans="1:19" x14ac:dyDescent="0.25">
      <c r="A22" s="320" t="s">
        <v>299</v>
      </c>
      <c r="B22" s="295">
        <f t="shared" si="0"/>
        <v>0</v>
      </c>
      <c r="C22" s="296">
        <f>+B22*$C$11</f>
        <v>0</v>
      </c>
      <c r="D22" s="51"/>
      <c r="E22" s="284">
        <f t="shared" si="3"/>
        <v>0</v>
      </c>
      <c r="F22" s="320" t="s">
        <v>299</v>
      </c>
      <c r="G22" s="295">
        <f t="shared" si="1"/>
        <v>0</v>
      </c>
      <c r="H22" s="296">
        <f>+G22*$H$11</f>
        <v>0</v>
      </c>
      <c r="I22" s="19"/>
      <c r="J22" s="284">
        <f t="shared" si="5"/>
        <v>0</v>
      </c>
      <c r="L22" s="9"/>
      <c r="M22" s="6"/>
      <c r="N22" s="4"/>
      <c r="O22" s="2"/>
      <c r="P22" s="6"/>
      <c r="Q22" s="2"/>
      <c r="R22" s="4"/>
      <c r="S22" s="4"/>
    </row>
    <row r="23" spans="1:19" x14ac:dyDescent="0.25">
      <c r="A23" s="320" t="s">
        <v>300</v>
      </c>
      <c r="B23" s="295">
        <f t="shared" si="0"/>
        <v>0</v>
      </c>
      <c r="C23" s="296">
        <f t="shared" si="2"/>
        <v>0</v>
      </c>
      <c r="D23" s="51"/>
      <c r="E23" s="284">
        <f t="shared" si="3"/>
        <v>0</v>
      </c>
      <c r="F23" s="320" t="s">
        <v>300</v>
      </c>
      <c r="G23" s="295">
        <f t="shared" si="1"/>
        <v>0</v>
      </c>
      <c r="H23" s="296">
        <f t="shared" si="4"/>
        <v>0</v>
      </c>
      <c r="I23" s="19"/>
      <c r="J23" s="284">
        <f t="shared" si="5"/>
        <v>0</v>
      </c>
      <c r="L23" s="9"/>
      <c r="M23" s="6"/>
      <c r="N23" s="4"/>
      <c r="O23" s="2"/>
      <c r="P23" s="6"/>
      <c r="Q23" s="2"/>
      <c r="R23" s="4"/>
      <c r="S23" s="4"/>
    </row>
    <row r="24" spans="1:19" x14ac:dyDescent="0.25">
      <c r="A24" s="320" t="s">
        <v>301</v>
      </c>
      <c r="B24" s="295">
        <f t="shared" si="0"/>
        <v>0</v>
      </c>
      <c r="C24" s="296">
        <f>+B24*$C$11</f>
        <v>0</v>
      </c>
      <c r="D24" s="51"/>
      <c r="E24" s="284">
        <f t="shared" si="3"/>
        <v>0</v>
      </c>
      <c r="F24" s="320" t="s">
        <v>301</v>
      </c>
      <c r="G24" s="295">
        <f t="shared" si="1"/>
        <v>0</v>
      </c>
      <c r="H24" s="296">
        <f>+G24*$H$11</f>
        <v>0</v>
      </c>
      <c r="I24" s="19"/>
      <c r="J24" s="284">
        <f t="shared" si="5"/>
        <v>0</v>
      </c>
      <c r="L24" s="9"/>
      <c r="M24" s="6"/>
      <c r="N24" s="4"/>
      <c r="O24" s="2"/>
      <c r="P24" s="6"/>
      <c r="Q24" s="2"/>
      <c r="R24" s="4"/>
      <c r="S24" s="4"/>
    </row>
    <row r="25" spans="1:19" x14ac:dyDescent="0.25">
      <c r="A25" s="320" t="s">
        <v>302</v>
      </c>
      <c r="B25" s="295">
        <f t="shared" ref="B25" si="6">B46</f>
        <v>0</v>
      </c>
      <c r="C25" s="296">
        <f t="shared" si="2"/>
        <v>0</v>
      </c>
      <c r="D25" s="51"/>
      <c r="E25" s="284">
        <f t="shared" si="3"/>
        <v>0</v>
      </c>
      <c r="F25" s="320" t="s">
        <v>302</v>
      </c>
      <c r="G25" s="295">
        <f t="shared" ref="G25" si="7">G46</f>
        <v>0</v>
      </c>
      <c r="H25" s="296">
        <f t="shared" si="4"/>
        <v>0</v>
      </c>
      <c r="I25" s="19"/>
      <c r="J25" s="284">
        <f t="shared" si="5"/>
        <v>0</v>
      </c>
      <c r="L25" s="9"/>
      <c r="M25" s="6"/>
      <c r="N25" s="4"/>
      <c r="O25" s="2"/>
      <c r="P25" s="6"/>
      <c r="Q25" s="2"/>
      <c r="R25" s="4"/>
      <c r="S25" s="4"/>
    </row>
    <row r="26" spans="1:19" ht="15.75" thickBot="1" x14ac:dyDescent="0.3">
      <c r="B26" s="16">
        <f>SUM(B17:B25)</f>
        <v>0.99999999999999989</v>
      </c>
      <c r="C26" s="15">
        <f>SUM(C17:C25)</f>
        <v>23706604.409244683</v>
      </c>
      <c r="E26" s="481">
        <f>SUM(E17:E25)</f>
        <v>18476222.553029429</v>
      </c>
      <c r="G26" s="16">
        <f>SUM(G17:G25)</f>
        <v>0.99999999999999989</v>
      </c>
      <c r="H26" s="15">
        <f>SUM(H17:H25)</f>
        <v>23706604.409244683</v>
      </c>
      <c r="J26" s="481">
        <f>SUM(J17:J25)</f>
        <v>18476222.553029429</v>
      </c>
      <c r="L26" s="9"/>
      <c r="M26" s="6"/>
      <c r="N26" s="4"/>
      <c r="O26" s="2"/>
      <c r="P26" s="6"/>
      <c r="Q26" s="2"/>
      <c r="R26" s="4"/>
      <c r="S26" s="4"/>
    </row>
    <row r="27" spans="1:19" ht="15.75" thickTop="1" x14ac:dyDescent="0.25">
      <c r="L27" s="9"/>
      <c r="M27" s="6"/>
      <c r="N27" s="4"/>
      <c r="O27" s="2"/>
      <c r="P27" s="6"/>
      <c r="Q27" s="2"/>
      <c r="R27" s="4"/>
      <c r="S27" s="4"/>
    </row>
    <row r="28" spans="1:19" x14ac:dyDescent="0.25">
      <c r="A28" s="23" t="s">
        <v>113</v>
      </c>
      <c r="F28" s="23" t="s">
        <v>220</v>
      </c>
    </row>
    <row r="29" spans="1:19" ht="30.75" customHeight="1" x14ac:dyDescent="0.25">
      <c r="A29" s="23"/>
      <c r="B29" s="27" t="s">
        <v>104</v>
      </c>
      <c r="C29" s="20" t="s">
        <v>96</v>
      </c>
      <c r="D29" s="20" t="s">
        <v>97</v>
      </c>
      <c r="F29" s="23"/>
      <c r="G29" s="27" t="s">
        <v>104</v>
      </c>
      <c r="H29" s="20" t="s">
        <v>96</v>
      </c>
      <c r="I29" s="20" t="s">
        <v>97</v>
      </c>
    </row>
    <row r="30" spans="1:19" x14ac:dyDescent="0.25">
      <c r="A30" t="s">
        <v>105</v>
      </c>
      <c r="C30" s="1">
        <f>+'Data for Settlement &amp; 1st TU'!H31</f>
        <v>33273851.493872002</v>
      </c>
      <c r="D30" s="6">
        <f>+D34</f>
        <v>40547828.123871997</v>
      </c>
      <c r="F30" t="s">
        <v>31</v>
      </c>
      <c r="H30" s="50">
        <f>+H34</f>
        <v>33273851.493872002</v>
      </c>
      <c r="I30" s="6">
        <f>+I34</f>
        <v>40547828.123871997</v>
      </c>
    </row>
    <row r="32" spans="1:19" x14ac:dyDescent="0.25">
      <c r="A32" t="s">
        <v>65</v>
      </c>
      <c r="B32" s="2">
        <f>+C32/C34</f>
        <v>0.72433260756007489</v>
      </c>
      <c r="C32" s="8">
        <f>+'Data for Settlement &amp; 1st TU'!H33</f>
        <v>24101335.616123002</v>
      </c>
      <c r="D32" s="8">
        <f>+C32</f>
        <v>24101335.616123002</v>
      </c>
      <c r="F32" t="s">
        <v>24</v>
      </c>
      <c r="G32" s="11">
        <f>+H32/H34</f>
        <v>0.72433260756007489</v>
      </c>
      <c r="H32" s="46">
        <f>+C32</f>
        <v>24101335.616123002</v>
      </c>
      <c r="I32" s="6">
        <f>+H32</f>
        <v>24101335.616123002</v>
      </c>
      <c r="K32" s="53"/>
    </row>
    <row r="33" spans="1:13" x14ac:dyDescent="0.25">
      <c r="A33" t="s">
        <v>66</v>
      </c>
      <c r="B33" s="2">
        <f>+C33/C34</f>
        <v>0.27566739243992505</v>
      </c>
      <c r="C33" s="8">
        <f>+'Data for Settlement &amp; 1st TU'!H34</f>
        <v>9172515.8777489997</v>
      </c>
      <c r="D33" s="8">
        <f>+C33-C8</f>
        <v>16446492.507748999</v>
      </c>
      <c r="F33" t="s">
        <v>25</v>
      </c>
      <c r="G33" s="11">
        <f>+H33/H34</f>
        <v>0.27566739243992505</v>
      </c>
      <c r="H33" s="46">
        <f>+C33</f>
        <v>9172515.8777489997</v>
      </c>
      <c r="I33" s="6">
        <f>+H33-H8</f>
        <v>16446492.507748999</v>
      </c>
      <c r="J33" s="6"/>
      <c r="K33" s="6"/>
      <c r="L33" s="6"/>
      <c r="M33" s="6"/>
    </row>
    <row r="34" spans="1:13" ht="15.75" thickBot="1" x14ac:dyDescent="0.3">
      <c r="A34" t="s">
        <v>52</v>
      </c>
      <c r="B34" s="16">
        <f>+B32+B33</f>
        <v>1</v>
      </c>
      <c r="C34" s="15">
        <f>+C32+C33</f>
        <v>33273851.493872002</v>
      </c>
      <c r="D34" s="15">
        <f>+D32+D33</f>
        <v>40547828.123871997</v>
      </c>
      <c r="F34" t="s">
        <v>55</v>
      </c>
      <c r="G34" s="16">
        <f>+G32+G33</f>
        <v>1</v>
      </c>
      <c r="H34" s="15">
        <f>+H32+H33</f>
        <v>33273851.493872002</v>
      </c>
      <c r="I34" s="15">
        <f>+I32+I33</f>
        <v>40547828.123871997</v>
      </c>
      <c r="J34" s="1"/>
      <c r="K34" s="17"/>
    </row>
    <row r="35" spans="1:13" ht="15.75" thickTop="1" x14ac:dyDescent="0.25">
      <c r="H35" s="6"/>
      <c r="K35" s="2"/>
    </row>
    <row r="36" spans="1:13" ht="15.75" x14ac:dyDescent="0.25">
      <c r="A36" s="23" t="s">
        <v>114</v>
      </c>
      <c r="F36" s="23" t="s">
        <v>276</v>
      </c>
    </row>
    <row r="37" spans="1:13" ht="31.15" customHeight="1" x14ac:dyDescent="0.25">
      <c r="A37" s="23"/>
      <c r="B37" s="20" t="s">
        <v>8</v>
      </c>
      <c r="C37" s="20" t="s">
        <v>14</v>
      </c>
      <c r="D37" s="27" t="s">
        <v>17</v>
      </c>
      <c r="F37" s="23"/>
      <c r="G37" s="20" t="s">
        <v>9</v>
      </c>
      <c r="H37" s="20" t="s">
        <v>14</v>
      </c>
      <c r="I37" s="27" t="s">
        <v>289</v>
      </c>
      <c r="J37" s="13"/>
      <c r="K37" s="13"/>
      <c r="L37" s="13"/>
      <c r="M37" s="13"/>
    </row>
    <row r="38" spans="1:13" x14ac:dyDescent="0.25">
      <c r="A38" t="s">
        <v>2</v>
      </c>
      <c r="B38" s="11">
        <f>+'Data for Settlement &amp; 1st TU'!G39</f>
        <v>2.9553690764403354E-2</v>
      </c>
      <c r="C38" s="240">
        <f>+B38*$C$32</f>
        <v>712283.41980799998</v>
      </c>
      <c r="D38" s="51">
        <f>+'Data for Settlement &amp; 1st TU'!I39</f>
        <v>8.6999999999999994E-2</v>
      </c>
      <c r="F38" t="s">
        <v>2</v>
      </c>
      <c r="G38" s="333">
        <f>+B38</f>
        <v>2.9553690764403354E-2</v>
      </c>
      <c r="H38" s="296">
        <f>+G38*$H$32</f>
        <v>712283.41980799998</v>
      </c>
      <c r="I38" s="300">
        <f>+D38</f>
        <v>8.6999999999999994E-2</v>
      </c>
      <c r="J38" s="19"/>
      <c r="K38" s="1"/>
      <c r="L38" s="19"/>
      <c r="M38" s="19"/>
    </row>
    <row r="39" spans="1:13" x14ac:dyDescent="0.25">
      <c r="A39" t="s">
        <v>3</v>
      </c>
      <c r="B39" s="11">
        <f>+'Data for Settlement &amp; 1st TU'!G40</f>
        <v>1.4664001390179069E-2</v>
      </c>
      <c r="C39" s="240">
        <f t="shared" ref="C39:C46" si="8">+B39*$C$32</f>
        <v>353422.01897999999</v>
      </c>
      <c r="D39" s="51">
        <f>+'Data for Settlement &amp; 1st TU'!I40</f>
        <v>0.10299999999999999</v>
      </c>
      <c r="F39" t="s">
        <v>3</v>
      </c>
      <c r="G39" s="333">
        <f t="shared" ref="G39:G46" si="9">+B39</f>
        <v>1.4664001390179069E-2</v>
      </c>
      <c r="H39" s="296">
        <f t="shared" ref="H39:H46" si="10">+G39*$H$32</f>
        <v>353422.01897999999</v>
      </c>
      <c r="I39" s="300">
        <f t="shared" ref="I39:I46" si="11">+D39</f>
        <v>0.10299999999999999</v>
      </c>
      <c r="J39" s="19"/>
      <c r="K39" s="1"/>
      <c r="L39" s="19"/>
      <c r="M39" s="19"/>
    </row>
    <row r="40" spans="1:13" x14ac:dyDescent="0.25">
      <c r="A40" s="319" t="s">
        <v>296</v>
      </c>
      <c r="B40" s="295">
        <f>+'Data for Settlement &amp; 1st TU'!G41</f>
        <v>0.58670160745156419</v>
      </c>
      <c r="C40" s="296">
        <f t="shared" si="8"/>
        <v>14140292.347709</v>
      </c>
      <c r="D40" s="51">
        <f>+'Data for Settlement &amp; 1st TU'!I41</f>
        <v>7.3999999999999996E-2</v>
      </c>
      <c r="F40" s="319" t="s">
        <v>296</v>
      </c>
      <c r="G40" s="333">
        <f t="shared" si="9"/>
        <v>0.58670160745156419</v>
      </c>
      <c r="H40" s="296">
        <f t="shared" si="10"/>
        <v>14140292.347709</v>
      </c>
      <c r="I40" s="300">
        <f t="shared" si="11"/>
        <v>7.3999999999999996E-2</v>
      </c>
      <c r="J40" s="19"/>
      <c r="K40" s="1"/>
      <c r="L40" s="19"/>
      <c r="M40" s="19"/>
    </row>
    <row r="41" spans="1:13" x14ac:dyDescent="0.25">
      <c r="A41" s="319" t="s">
        <v>297</v>
      </c>
      <c r="B41" s="295">
        <f>+'Data for Settlement &amp; 1st TU'!G42</f>
        <v>0.17350470296051076</v>
      </c>
      <c r="C41" s="296">
        <f t="shared" si="8"/>
        <v>4181695.077027</v>
      </c>
      <c r="D41" s="51">
        <f>+'Data for Settlement &amp; 1st TU'!I42</f>
        <v>0.10199999999999999</v>
      </c>
      <c r="F41" s="319" t="s">
        <v>297</v>
      </c>
      <c r="G41" s="333">
        <f t="shared" si="9"/>
        <v>0.17350470296051076</v>
      </c>
      <c r="H41" s="296">
        <f t="shared" si="10"/>
        <v>4181695.077027</v>
      </c>
      <c r="I41" s="300">
        <f t="shared" si="11"/>
        <v>0.10199999999999999</v>
      </c>
      <c r="J41" s="19"/>
      <c r="K41" s="1"/>
      <c r="L41" s="19"/>
      <c r="M41" s="19"/>
    </row>
    <row r="42" spans="1:13" x14ac:dyDescent="0.25">
      <c r="A42" s="319" t="s">
        <v>298</v>
      </c>
      <c r="B42" s="295">
        <f>+'Data for Settlement &amp; 1st TU'!G43</f>
        <v>0.19557599743334256</v>
      </c>
      <c r="C42" s="296">
        <f t="shared" si="8"/>
        <v>4713642.752599</v>
      </c>
      <c r="D42" s="51">
        <f>+'Data for Settlement &amp; 1st TU'!I43</f>
        <v>0.151</v>
      </c>
      <c r="F42" s="319" t="s">
        <v>298</v>
      </c>
      <c r="G42" s="333">
        <f t="shared" si="9"/>
        <v>0.19557599743334256</v>
      </c>
      <c r="H42" s="296">
        <f t="shared" si="10"/>
        <v>4713642.752599</v>
      </c>
      <c r="I42" s="300">
        <f t="shared" si="11"/>
        <v>0.151</v>
      </c>
      <c r="J42" s="19"/>
      <c r="K42" s="1"/>
      <c r="L42" s="19"/>
      <c r="M42" s="19"/>
    </row>
    <row r="43" spans="1:13" x14ac:dyDescent="0.25">
      <c r="A43" s="320" t="s">
        <v>299</v>
      </c>
      <c r="B43" s="295">
        <f>+'Data for Settlement &amp; 1st TU'!G44</f>
        <v>0</v>
      </c>
      <c r="C43" s="296">
        <f>+B43*$C$32</f>
        <v>0</v>
      </c>
      <c r="D43" s="330">
        <f>+'Data for Settlement &amp; 1st TU'!I44</f>
        <v>0</v>
      </c>
      <c r="F43" s="320" t="s">
        <v>299</v>
      </c>
      <c r="G43" s="333">
        <f t="shared" si="9"/>
        <v>0</v>
      </c>
      <c r="H43" s="296">
        <f>+G43*$H$32</f>
        <v>0</v>
      </c>
      <c r="I43" s="299">
        <f>+D43</f>
        <v>0</v>
      </c>
      <c r="J43" s="19"/>
      <c r="K43" s="1"/>
      <c r="L43" s="302"/>
      <c r="M43" s="19"/>
    </row>
    <row r="44" spans="1:13" x14ac:dyDescent="0.25">
      <c r="A44" s="320" t="s">
        <v>300</v>
      </c>
      <c r="B44" s="295">
        <f>+'Data for Settlement &amp; 1st TU'!G45</f>
        <v>0</v>
      </c>
      <c r="C44" s="296">
        <f t="shared" si="8"/>
        <v>0</v>
      </c>
      <c r="D44" s="330">
        <f>+'Data for Settlement &amp; 1st TU'!I45</f>
        <v>0</v>
      </c>
      <c r="F44" s="320" t="s">
        <v>300</v>
      </c>
      <c r="G44" s="333">
        <f t="shared" si="9"/>
        <v>0</v>
      </c>
      <c r="H44" s="296">
        <f t="shared" si="10"/>
        <v>0</v>
      </c>
      <c r="I44" s="299">
        <f t="shared" si="11"/>
        <v>0</v>
      </c>
      <c r="J44" s="19"/>
      <c r="K44" s="1"/>
      <c r="L44" s="302"/>
      <c r="M44" s="19"/>
    </row>
    <row r="45" spans="1:13" x14ac:dyDescent="0.25">
      <c r="A45" s="320" t="s">
        <v>301</v>
      </c>
      <c r="B45" s="295">
        <f>+'Data for Settlement &amp; 1st TU'!G46</f>
        <v>0</v>
      </c>
      <c r="C45" s="296">
        <f>+B45*$C$32</f>
        <v>0</v>
      </c>
      <c r="D45" s="330">
        <f>+'Data for Settlement &amp; 1st TU'!I46</f>
        <v>0</v>
      </c>
      <c r="F45" s="320" t="s">
        <v>301</v>
      </c>
      <c r="G45" s="333">
        <f t="shared" si="9"/>
        <v>0</v>
      </c>
      <c r="H45" s="296">
        <f>+G45*$H$32</f>
        <v>0</v>
      </c>
      <c r="I45" s="299">
        <f>+D45</f>
        <v>0</v>
      </c>
      <c r="J45" s="19"/>
      <c r="K45" s="1"/>
      <c r="L45" s="302"/>
      <c r="M45" s="19"/>
    </row>
    <row r="46" spans="1:13" x14ac:dyDescent="0.25">
      <c r="A46" s="320" t="s">
        <v>302</v>
      </c>
      <c r="B46" s="295">
        <f>+'Data for Settlement &amp; 1st TU'!G47</f>
        <v>0</v>
      </c>
      <c r="C46" s="296">
        <f t="shared" si="8"/>
        <v>0</v>
      </c>
      <c r="D46" s="330">
        <f>+'Data for Settlement &amp; 1st TU'!I47</f>
        <v>0</v>
      </c>
      <c r="F46" s="320" t="s">
        <v>302</v>
      </c>
      <c r="G46" s="333">
        <f t="shared" si="9"/>
        <v>0</v>
      </c>
      <c r="H46" s="296">
        <f t="shared" si="10"/>
        <v>0</v>
      </c>
      <c r="I46" s="299">
        <f t="shared" si="11"/>
        <v>0</v>
      </c>
      <c r="J46" s="19"/>
      <c r="K46" s="1"/>
      <c r="L46" s="302"/>
      <c r="M46" s="19"/>
    </row>
    <row r="47" spans="1:13" ht="15.75" thickBot="1" x14ac:dyDescent="0.3">
      <c r="B47" s="16">
        <f>SUM(B38:B46)</f>
        <v>0.99999999999999989</v>
      </c>
      <c r="C47" s="15">
        <f>SUM(C38:C46)</f>
        <v>24101335.616123002</v>
      </c>
      <c r="G47" s="16">
        <f>SUM(G38:G46)</f>
        <v>0.99999999999999989</v>
      </c>
      <c r="H47" s="15">
        <f>SUM(H38:H46)</f>
        <v>24101335.616123002</v>
      </c>
      <c r="K47" s="6"/>
      <c r="L47" s="244"/>
    </row>
    <row r="48" spans="1:13" ht="15.75" thickTop="1" x14ac:dyDescent="0.25"/>
    <row r="49" spans="1:12" x14ac:dyDescent="0.25">
      <c r="A49" s="23" t="s">
        <v>227</v>
      </c>
      <c r="F49" s="23" t="s">
        <v>134</v>
      </c>
      <c r="K49" s="301"/>
    </row>
    <row r="50" spans="1:12" x14ac:dyDescent="0.25">
      <c r="A50" s="10"/>
      <c r="B50" s="20" t="s">
        <v>53</v>
      </c>
      <c r="F50" s="10"/>
      <c r="G50" s="20" t="s">
        <v>53</v>
      </c>
      <c r="K50" s="301"/>
    </row>
    <row r="51" spans="1:12" x14ac:dyDescent="0.25">
      <c r="A51" s="10" t="s">
        <v>15</v>
      </c>
      <c r="B51" s="20" t="s">
        <v>10</v>
      </c>
      <c r="F51" s="10" t="s">
        <v>15</v>
      </c>
      <c r="G51" s="20" t="s">
        <v>10</v>
      </c>
    </row>
    <row r="52" spans="1:12" x14ac:dyDescent="0.25">
      <c r="A52" t="s">
        <v>69</v>
      </c>
      <c r="B52" s="9">
        <f>+B106</f>
        <v>3.779538801854293E-2</v>
      </c>
      <c r="C52" s="53"/>
      <c r="F52" t="s">
        <v>129</v>
      </c>
      <c r="G52" s="9">
        <f>+G106</f>
        <v>3.779538801854293E-2</v>
      </c>
      <c r="H52" s="53"/>
      <c r="K52" s="53"/>
      <c r="L52" s="60"/>
    </row>
    <row r="53" spans="1:12" x14ac:dyDescent="0.25">
      <c r="A53" t="s">
        <v>70</v>
      </c>
      <c r="B53" s="9">
        <f>+B107</f>
        <v>3.1424393970720041E-2</v>
      </c>
      <c r="C53" s="53"/>
      <c r="F53" t="s">
        <v>130</v>
      </c>
      <c r="G53" s="9">
        <f>+G107</f>
        <v>3.1424393970720041E-2</v>
      </c>
      <c r="H53" s="53"/>
      <c r="I53" s="53"/>
      <c r="K53" s="53"/>
      <c r="L53" s="60"/>
    </row>
    <row r="54" spans="1:12" x14ac:dyDescent="0.25">
      <c r="A54" t="s">
        <v>19</v>
      </c>
      <c r="B54" s="9">
        <f>+'Data for Settlement &amp; 1st TU'!G55</f>
        <v>5.3770000000000005E-2</v>
      </c>
      <c r="F54" t="s">
        <v>19</v>
      </c>
      <c r="G54" s="3">
        <f>+B54</f>
        <v>5.3770000000000005E-2</v>
      </c>
      <c r="I54" s="59"/>
    </row>
    <row r="55" spans="1:12" x14ac:dyDescent="0.25">
      <c r="A55" t="s">
        <v>20</v>
      </c>
      <c r="B55" s="9">
        <f>+'Data for Settlement &amp; 1st TU'!G56</f>
        <v>5.1540000000000002E-2</v>
      </c>
      <c r="F55" t="s">
        <v>20</v>
      </c>
      <c r="G55" s="3">
        <f>+B55</f>
        <v>5.1540000000000002E-2</v>
      </c>
      <c r="I55" s="53"/>
    </row>
    <row r="56" spans="1:12" x14ac:dyDescent="0.25">
      <c r="A56" t="s">
        <v>103</v>
      </c>
      <c r="B56" s="9">
        <f>+'Data for Settlement &amp; 1st TU'!G57</f>
        <v>7.6060000000000003E-2</v>
      </c>
      <c r="F56" t="s">
        <v>103</v>
      </c>
      <c r="G56" s="3">
        <f>+B56</f>
        <v>7.6060000000000003E-2</v>
      </c>
    </row>
    <row r="57" spans="1:12" x14ac:dyDescent="0.25">
      <c r="A57" t="s">
        <v>122</v>
      </c>
      <c r="B57" s="9">
        <f>+'Data for Settlement &amp; 1st TU'!G58</f>
        <v>5.7119748290906137E-2</v>
      </c>
      <c r="F57" t="s">
        <v>122</v>
      </c>
      <c r="G57" s="3">
        <f>+B57</f>
        <v>5.7119748290906137E-2</v>
      </c>
    </row>
    <row r="58" spans="1:12" x14ac:dyDescent="0.25">
      <c r="B58" s="9"/>
    </row>
    <row r="59" spans="1:12" x14ac:dyDescent="0.25">
      <c r="A59" s="106" t="s">
        <v>439</v>
      </c>
      <c r="B59" s="398"/>
    </row>
    <row r="60" spans="1:12" x14ac:dyDescent="0.25">
      <c r="B60" s="10" t="s">
        <v>10</v>
      </c>
      <c r="C60" s="399" t="s">
        <v>14</v>
      </c>
      <c r="D60" s="43" t="s">
        <v>37</v>
      </c>
      <c r="G60" s="10" t="s">
        <v>10</v>
      </c>
      <c r="H60" s="399" t="s">
        <v>14</v>
      </c>
      <c r="I60" s="43" t="s">
        <v>37</v>
      </c>
    </row>
    <row r="61" spans="1:12" x14ac:dyDescent="0.25">
      <c r="A61" t="s">
        <v>325</v>
      </c>
      <c r="B61" s="400">
        <f>+D61/C61</f>
        <v>5.7119748290906137E-2</v>
      </c>
      <c r="C61" s="401">
        <f>+C10</f>
        <v>25507926</v>
      </c>
      <c r="D61" s="402">
        <f>+C61*B57</f>
        <v>1457006.3125430602</v>
      </c>
      <c r="F61" t="s">
        <v>325</v>
      </c>
      <c r="G61" s="400">
        <f>+I61/H61</f>
        <v>5.7119748290906137E-2</v>
      </c>
      <c r="H61" s="401">
        <f>+H10</f>
        <v>25507926</v>
      </c>
      <c r="I61" s="402">
        <f>+H61*G57</f>
        <v>1457006.3125430602</v>
      </c>
    </row>
    <row r="62" spans="1:12" x14ac:dyDescent="0.25">
      <c r="A62" t="s">
        <v>326</v>
      </c>
      <c r="B62" s="400">
        <f>+D62/C62</f>
        <v>5.7119748290906137E-2</v>
      </c>
      <c r="C62" s="401">
        <f>+C9</f>
        <v>32728893.000000004</v>
      </c>
      <c r="D62" s="402">
        <f>+C62*B57</f>
        <v>1869466.1300000001</v>
      </c>
      <c r="F62" t="s">
        <v>326</v>
      </c>
      <c r="G62" s="400">
        <f>+I62/H62</f>
        <v>5.7119748290906137E-2</v>
      </c>
      <c r="H62" s="401">
        <f>+H9</f>
        <v>32728893.000000004</v>
      </c>
      <c r="I62" s="402">
        <f>+H62*G57</f>
        <v>1869466.1300000001</v>
      </c>
    </row>
    <row r="63" spans="1:12" x14ac:dyDescent="0.25">
      <c r="A63" t="s">
        <v>327</v>
      </c>
      <c r="B63" s="400">
        <f>+D63/C63</f>
        <v>5.7119748290906151E-2</v>
      </c>
      <c r="C63" s="403">
        <f>+C61-C62</f>
        <v>-7220967.0000000037</v>
      </c>
      <c r="D63" s="404">
        <f>+D61-D62</f>
        <v>-412459.81745693996</v>
      </c>
      <c r="F63" t="s">
        <v>327</v>
      </c>
      <c r="G63" s="400">
        <f>+I63/H63</f>
        <v>5.7119748290906151E-2</v>
      </c>
      <c r="H63" s="403">
        <f>+H61-H62</f>
        <v>-7220967.0000000037</v>
      </c>
      <c r="I63" s="404">
        <f>+I61-I62</f>
        <v>-412459.81745693996</v>
      </c>
    </row>
    <row r="64" spans="1:12" x14ac:dyDescent="0.25">
      <c r="B64" s="9"/>
      <c r="C64" s="53"/>
      <c r="D64" s="204"/>
    </row>
    <row r="65" spans="1:13" ht="18.75" x14ac:dyDescent="0.3">
      <c r="A65" s="22" t="s">
        <v>23</v>
      </c>
      <c r="B65" s="9"/>
      <c r="F65" s="22" t="s">
        <v>23</v>
      </c>
      <c r="G65" s="9"/>
    </row>
    <row r="66" spans="1:13" x14ac:dyDescent="0.25">
      <c r="A66" s="1"/>
      <c r="B66" s="3"/>
      <c r="F66" s="1"/>
      <c r="G66" s="3"/>
      <c r="H66" s="33"/>
    </row>
    <row r="67" spans="1:13" x14ac:dyDescent="0.25">
      <c r="A67" s="23" t="s">
        <v>116</v>
      </c>
      <c r="F67" s="23" t="s">
        <v>126</v>
      </c>
    </row>
    <row r="68" spans="1:13" x14ac:dyDescent="0.25">
      <c r="A68" s="23"/>
      <c r="B68" s="20" t="s">
        <v>36</v>
      </c>
      <c r="C68" s="42" t="s">
        <v>14</v>
      </c>
      <c r="D68" s="43" t="s">
        <v>37</v>
      </c>
      <c r="F68" s="23"/>
      <c r="G68" s="20" t="s">
        <v>36</v>
      </c>
      <c r="H68" s="42" t="s">
        <v>14</v>
      </c>
      <c r="I68" s="43" t="s">
        <v>37</v>
      </c>
      <c r="J68" s="10"/>
    </row>
    <row r="69" spans="1:13" x14ac:dyDescent="0.25">
      <c r="A69" t="s">
        <v>201</v>
      </c>
      <c r="B69" s="3">
        <f>+'Data for Settlement &amp; 1st TU'!G70</f>
        <v>0.51555777539630931</v>
      </c>
      <c r="C69" s="6">
        <f>+C7</f>
        <v>347712.63</v>
      </c>
      <c r="D69" s="12">
        <f>+B69*C69</f>
        <v>179265.95</v>
      </c>
      <c r="E69" s="106" t="s">
        <v>420</v>
      </c>
      <c r="F69" t="s">
        <v>201</v>
      </c>
      <c r="G69" s="3">
        <f>+B69</f>
        <v>0.51555777539630931</v>
      </c>
      <c r="H69" s="6">
        <f>+I7</f>
        <v>347712.63</v>
      </c>
      <c r="I69" s="12">
        <f>+H69*G69</f>
        <v>179265.95</v>
      </c>
      <c r="J69" s="106" t="s">
        <v>420</v>
      </c>
      <c r="K69" s="360" t="s">
        <v>422</v>
      </c>
    </row>
    <row r="70" spans="1:13" x14ac:dyDescent="0.25">
      <c r="A70" t="s">
        <v>68</v>
      </c>
      <c r="B70" s="3">
        <f>+'Data for Settlement &amp; 1st TU'!G71</f>
        <v>3.234368362521154E-2</v>
      </c>
      <c r="C70" s="6">
        <f>+D5</f>
        <v>32434190</v>
      </c>
      <c r="D70" s="12">
        <f>+C70*B70</f>
        <v>1049041.18</v>
      </c>
      <c r="E70" s="458">
        <f>(+D72+D69+D77)/(C72+C69)</f>
        <v>3.5199988996335953E-2</v>
      </c>
      <c r="F70" t="s">
        <v>68</v>
      </c>
      <c r="G70" s="3">
        <f>+B70</f>
        <v>3.234368362521154E-2</v>
      </c>
      <c r="H70" s="6">
        <f>+I5</f>
        <v>32434190</v>
      </c>
      <c r="I70" s="12">
        <f>+H70*G70</f>
        <v>1049041.18</v>
      </c>
      <c r="J70" s="458">
        <f>(+I72+I69+I77)/(H72+H69)</f>
        <v>3.5199988996335953E-2</v>
      </c>
      <c r="K70" s="248"/>
      <c r="L70" s="4"/>
    </row>
    <row r="71" spans="1:13" x14ac:dyDescent="0.25">
      <c r="A71" t="s">
        <v>328</v>
      </c>
      <c r="B71" s="405">
        <f>+D71/C71</f>
        <v>4.8080728079474916E-2</v>
      </c>
      <c r="C71" s="406">
        <f>+C6</f>
        <v>7220967</v>
      </c>
      <c r="D71" s="500">
        <f>+'Data for Settlement &amp; 1st TU'!I72</f>
        <v>347189.35079786176</v>
      </c>
      <c r="E71" s="106" t="s">
        <v>421</v>
      </c>
      <c r="F71" t="s">
        <v>328</v>
      </c>
      <c r="G71" s="405">
        <f>+I71/H71</f>
        <v>4.8080728079474916E-2</v>
      </c>
      <c r="H71" s="406">
        <f>+H6</f>
        <v>7220967</v>
      </c>
      <c r="I71" s="500">
        <f>+D71</f>
        <v>347189.35079786176</v>
      </c>
      <c r="J71" s="106" t="s">
        <v>421</v>
      </c>
      <c r="K71" s="360" t="s">
        <v>423</v>
      </c>
      <c r="L71" s="4"/>
    </row>
    <row r="72" spans="1:13" x14ac:dyDescent="0.25">
      <c r="A72" t="s">
        <v>329</v>
      </c>
      <c r="B72" s="405">
        <f>+D72/C72</f>
        <v>3.5209305331910849E-2</v>
      </c>
      <c r="C72" s="406">
        <f>+C70+C71</f>
        <v>39655157</v>
      </c>
      <c r="D72" s="407">
        <f>+D70+D71</f>
        <v>1396230.5307978617</v>
      </c>
      <c r="E72" s="297">
        <f>(+D70+D69+D77)/(C70+C69)</f>
        <v>3.2362710364136058E-2</v>
      </c>
      <c r="F72" t="s">
        <v>329</v>
      </c>
      <c r="G72" s="405">
        <f>+I72/H72</f>
        <v>3.5209305331910849E-2</v>
      </c>
      <c r="H72" s="406">
        <f>+H70+H71</f>
        <v>39655157</v>
      </c>
      <c r="I72" s="407">
        <f>+I70+I71</f>
        <v>1396230.5307978617</v>
      </c>
      <c r="J72" s="297">
        <f>(+I70+I69+I77)/(H70+H69)</f>
        <v>3.2362710364136058E-2</v>
      </c>
      <c r="K72" s="1"/>
      <c r="L72" s="4"/>
    </row>
    <row r="73" spans="1:13" x14ac:dyDescent="0.25">
      <c r="A73" t="s">
        <v>106</v>
      </c>
      <c r="B73" s="3"/>
      <c r="C73" s="6"/>
      <c r="D73" s="12">
        <f>+'Data for Settlement &amp; 1st TU'!I74</f>
        <v>244539.94</v>
      </c>
      <c r="F73" t="s">
        <v>106</v>
      </c>
      <c r="G73" s="3"/>
      <c r="H73" s="6"/>
      <c r="I73" s="12">
        <f>+D73</f>
        <v>244539.94</v>
      </c>
      <c r="J73" s="4"/>
      <c r="K73" s="1"/>
      <c r="L73" s="12"/>
    </row>
    <row r="74" spans="1:13" ht="17.25" x14ac:dyDescent="0.25">
      <c r="A74" t="s">
        <v>39</v>
      </c>
      <c r="B74" s="9">
        <f>+B57</f>
        <v>5.7119748290906137E-2</v>
      </c>
      <c r="C74" s="6">
        <f>+C11</f>
        <v>23706604.409244686</v>
      </c>
      <c r="D74" s="12">
        <f>+C74*B74</f>
        <v>1354115.276688142</v>
      </c>
      <c r="E74" s="455" t="s">
        <v>434</v>
      </c>
      <c r="F74" t="s">
        <v>277</v>
      </c>
      <c r="G74" s="9">
        <f>+G57</f>
        <v>5.7119748290906137E-2</v>
      </c>
      <c r="H74" s="6">
        <f>+H11</f>
        <v>23706604.409244686</v>
      </c>
      <c r="I74" s="12">
        <f>+H74*G74</f>
        <v>1354115.276688142</v>
      </c>
      <c r="J74" s="455" t="s">
        <v>434</v>
      </c>
      <c r="K74" s="243"/>
      <c r="L74" s="5"/>
    </row>
    <row r="75" spans="1:13" ht="17.25" x14ac:dyDescent="0.25">
      <c r="A75" t="s">
        <v>38</v>
      </c>
      <c r="B75" s="9">
        <f>+B57</f>
        <v>5.7119748290906137E-2</v>
      </c>
      <c r="C75" s="6">
        <f>+C12</f>
        <v>9022288.5907553174</v>
      </c>
      <c r="D75" s="12">
        <f>+C75*B75</f>
        <v>515350.85331185797</v>
      </c>
      <c r="E75" s="455" t="s">
        <v>434</v>
      </c>
      <c r="F75" t="s">
        <v>278</v>
      </c>
      <c r="G75" s="9">
        <f>+G57</f>
        <v>5.7119748290906137E-2</v>
      </c>
      <c r="H75" s="6">
        <f>+H12</f>
        <v>9022288.5907553174</v>
      </c>
      <c r="I75" s="12">
        <f>+H75*G75</f>
        <v>515350.85331185797</v>
      </c>
      <c r="J75" s="455" t="s">
        <v>434</v>
      </c>
      <c r="K75" s="1"/>
      <c r="L75" s="12"/>
    </row>
    <row r="76" spans="1:13" ht="17.25" x14ac:dyDescent="0.25">
      <c r="A76" t="s">
        <v>287</v>
      </c>
      <c r="B76" s="9"/>
      <c r="C76" s="6"/>
      <c r="D76" s="407">
        <f>+'RPP 2nd TU'!K46</f>
        <v>0</v>
      </c>
      <c r="E76" s="249"/>
      <c r="F76" t="s">
        <v>279</v>
      </c>
      <c r="G76" s="9"/>
      <c r="H76" s="6"/>
      <c r="I76" s="407">
        <f>+D76</f>
        <v>0</v>
      </c>
      <c r="J76" s="249"/>
      <c r="K76" s="1"/>
      <c r="L76" s="5"/>
    </row>
    <row r="77" spans="1:13" x14ac:dyDescent="0.25">
      <c r="A77" t="s">
        <v>200</v>
      </c>
      <c r="B77" s="9">
        <f>+'Data for Settlement &amp; 1st TU'!G78</f>
        <v>-0.48142027512776858</v>
      </c>
      <c r="C77" s="6">
        <f>+D7</f>
        <v>347712.63</v>
      </c>
      <c r="D77" s="12">
        <f>+B77*C77</f>
        <v>-167395.91</v>
      </c>
      <c r="E77" s="249"/>
      <c r="F77" t="s">
        <v>200</v>
      </c>
      <c r="G77" s="9">
        <f>+B77</f>
        <v>-0.48142027512776858</v>
      </c>
      <c r="H77" s="6">
        <f>+I7</f>
        <v>347712.63</v>
      </c>
      <c r="I77" s="12">
        <f>+G77*H77</f>
        <v>-167395.91</v>
      </c>
      <c r="J77" s="249"/>
      <c r="K77" s="4"/>
      <c r="L77" s="244"/>
    </row>
    <row r="78" spans="1:13" ht="60" x14ac:dyDescent="0.25">
      <c r="A78" s="66" t="s">
        <v>347</v>
      </c>
      <c r="B78" s="9"/>
      <c r="C78" s="6"/>
      <c r="D78" s="431"/>
      <c r="E78" s="483" t="s">
        <v>433</v>
      </c>
      <c r="F78" s="66" t="s">
        <v>347</v>
      </c>
      <c r="G78" s="9"/>
      <c r="H78" s="6"/>
      <c r="I78" s="431"/>
      <c r="J78" s="483" t="s">
        <v>433</v>
      </c>
      <c r="K78" s="4"/>
      <c r="L78" s="244"/>
    </row>
    <row r="79" spans="1:13" ht="15.75" thickBot="1" x14ac:dyDescent="0.3">
      <c r="A79" t="s">
        <v>202</v>
      </c>
      <c r="B79" s="9"/>
      <c r="C79" s="6"/>
      <c r="D79" s="408">
        <f>SUM(D72:D78)+D69</f>
        <v>3522106.6407978619</v>
      </c>
      <c r="F79" t="s">
        <v>202</v>
      </c>
      <c r="G79" s="9"/>
      <c r="H79" s="6"/>
      <c r="I79" s="408">
        <f>SUM(I72:I78)+I69</f>
        <v>3522106.6407978619</v>
      </c>
      <c r="J79" s="18"/>
      <c r="K79" s="18"/>
      <c r="L79" s="97"/>
      <c r="M79" s="97"/>
    </row>
    <row r="80" spans="1:13" ht="15.75" thickTop="1" x14ac:dyDescent="0.25">
      <c r="C80" s="432" t="s">
        <v>386</v>
      </c>
      <c r="D80" s="433">
        <f>+D79-D71</f>
        <v>3174917.29</v>
      </c>
      <c r="H80" s="432" t="s">
        <v>386</v>
      </c>
      <c r="I80" s="433">
        <f>+I79-I71</f>
        <v>3174917.29</v>
      </c>
    </row>
    <row r="81" spans="1:26" ht="18.75" x14ac:dyDescent="0.3">
      <c r="A81" s="22" t="s">
        <v>121</v>
      </c>
      <c r="F81" s="22" t="s">
        <v>123</v>
      </c>
      <c r="I81" s="5"/>
      <c r="U81" s="5"/>
      <c r="X81" s="6"/>
      <c r="Y81" s="6"/>
      <c r="Z81" s="6"/>
    </row>
    <row r="82" spans="1:26" ht="18.75" x14ac:dyDescent="0.3">
      <c r="A82" s="22"/>
      <c r="F82" s="22"/>
      <c r="X82" s="33"/>
      <c r="Y82" s="9"/>
    </row>
    <row r="83" spans="1:26" x14ac:dyDescent="0.25">
      <c r="A83" s="23" t="s">
        <v>117</v>
      </c>
      <c r="F83" s="23" t="s">
        <v>127</v>
      </c>
      <c r="X83" s="52"/>
      <c r="Y83" s="52"/>
      <c r="Z83" s="52"/>
    </row>
    <row r="84" spans="1:26" ht="30" x14ac:dyDescent="0.25">
      <c r="A84" s="23"/>
      <c r="B84" s="27" t="s">
        <v>17</v>
      </c>
      <c r="C84" s="20" t="s">
        <v>14</v>
      </c>
      <c r="D84" s="20" t="s">
        <v>37</v>
      </c>
      <c r="F84" s="23"/>
      <c r="G84" s="27" t="s">
        <v>289</v>
      </c>
      <c r="H84" s="20" t="s">
        <v>14</v>
      </c>
      <c r="I84" s="20" t="s">
        <v>37</v>
      </c>
      <c r="K84" s="27" t="s">
        <v>340</v>
      </c>
      <c r="L84" s="27" t="s">
        <v>341</v>
      </c>
      <c r="U84" s="52"/>
      <c r="V84" s="30"/>
      <c r="X84" s="52"/>
    </row>
    <row r="85" spans="1:26" x14ac:dyDescent="0.25">
      <c r="A85" t="s">
        <v>2</v>
      </c>
      <c r="B85" s="3">
        <f t="shared" ref="B85:B93" si="12">+D38</f>
        <v>8.6999999999999994E-2</v>
      </c>
      <c r="C85" s="1">
        <f t="shared" ref="C85:C93" si="13">+C38</f>
        <v>712283.41980799998</v>
      </c>
      <c r="D85" s="24">
        <f>+C85*B85</f>
        <v>61968.657523295995</v>
      </c>
      <c r="F85" t="s">
        <v>2</v>
      </c>
      <c r="G85" s="3">
        <f t="shared" ref="G85:G93" si="14">+D38</f>
        <v>8.6999999999999994E-2</v>
      </c>
      <c r="H85" s="298">
        <f t="shared" ref="H85:H93" si="15">+H38</f>
        <v>712283.41980799998</v>
      </c>
      <c r="I85" s="289">
        <f>+H85*G85</f>
        <v>61968.657523295995</v>
      </c>
      <c r="K85" s="332">
        <f>'Data for Settlement &amp; 1st TU'!O86</f>
        <v>30984.328761647997</v>
      </c>
      <c r="L85" s="303">
        <f>I85-K85</f>
        <v>30984.328761647997</v>
      </c>
      <c r="U85" s="24"/>
      <c r="V85" s="24"/>
      <c r="W85" s="24"/>
      <c r="X85" s="24"/>
    </row>
    <row r="86" spans="1:26" x14ac:dyDescent="0.25">
      <c r="A86" t="s">
        <v>3</v>
      </c>
      <c r="B86" s="3">
        <f t="shared" si="12"/>
        <v>0.10299999999999999</v>
      </c>
      <c r="C86" s="1">
        <f t="shared" si="13"/>
        <v>353422.01897999999</v>
      </c>
      <c r="D86" s="24">
        <f t="shared" ref="D86:D93" si="16">+C86*B86</f>
        <v>36402.467954939995</v>
      </c>
      <c r="F86" t="s">
        <v>3</v>
      </c>
      <c r="G86" s="3">
        <f t="shared" si="14"/>
        <v>0.10299999999999999</v>
      </c>
      <c r="H86" s="298">
        <f t="shared" si="15"/>
        <v>353422.01897999999</v>
      </c>
      <c r="I86" s="289">
        <f t="shared" ref="I86:I93" si="17">+H86*G86</f>
        <v>36402.467954939995</v>
      </c>
      <c r="K86" s="332">
        <f>'Data for Settlement &amp; 1st TU'!O87</f>
        <v>18201.233977469998</v>
      </c>
      <c r="L86" s="303">
        <f t="shared" ref="L86:L94" si="18">I86-K86</f>
        <v>18201.233977469998</v>
      </c>
      <c r="U86" s="24"/>
      <c r="V86" s="24"/>
      <c r="W86" s="24"/>
      <c r="X86" s="24"/>
    </row>
    <row r="87" spans="1:26" x14ac:dyDescent="0.25">
      <c r="A87" s="319" t="s">
        <v>296</v>
      </c>
      <c r="B87" s="3">
        <f t="shared" si="12"/>
        <v>7.3999999999999996E-2</v>
      </c>
      <c r="C87" s="298">
        <f t="shared" si="13"/>
        <v>14140292.347709</v>
      </c>
      <c r="D87" s="289">
        <f t="shared" si="16"/>
        <v>1046381.633730466</v>
      </c>
      <c r="F87" s="319" t="s">
        <v>296</v>
      </c>
      <c r="G87" s="3">
        <f t="shared" si="14"/>
        <v>7.3999999999999996E-2</v>
      </c>
      <c r="H87" s="298">
        <f t="shared" si="15"/>
        <v>14140292.347709</v>
      </c>
      <c r="I87" s="289">
        <f t="shared" si="17"/>
        <v>1046381.633730466</v>
      </c>
      <c r="K87" s="332">
        <f>'Data for Settlement &amp; 1st TU'!O88</f>
        <v>523190.81686523301</v>
      </c>
      <c r="L87" s="303">
        <f t="shared" si="18"/>
        <v>523190.81686523301</v>
      </c>
      <c r="U87" s="24"/>
      <c r="V87" s="24"/>
      <c r="W87" s="24"/>
      <c r="X87" s="24"/>
    </row>
    <row r="88" spans="1:26" x14ac:dyDescent="0.25">
      <c r="A88" s="319" t="s">
        <v>297</v>
      </c>
      <c r="B88" s="3">
        <f t="shared" si="12"/>
        <v>0.10199999999999999</v>
      </c>
      <c r="C88" s="298">
        <f t="shared" si="13"/>
        <v>4181695.077027</v>
      </c>
      <c r="D88" s="289">
        <f t="shared" si="16"/>
        <v>426532.89785675396</v>
      </c>
      <c r="F88" s="319" t="s">
        <v>297</v>
      </c>
      <c r="G88" s="3">
        <f t="shared" si="14"/>
        <v>0.10199999999999999</v>
      </c>
      <c r="H88" s="298">
        <f t="shared" si="15"/>
        <v>4181695.077027</v>
      </c>
      <c r="I88" s="289">
        <f t="shared" si="17"/>
        <v>426532.89785675396</v>
      </c>
      <c r="K88" s="108">
        <f>'Data for Settlement &amp; 1st TU'!O89</f>
        <v>213266.44892837698</v>
      </c>
      <c r="L88" s="303">
        <f t="shared" si="18"/>
        <v>213266.44892837698</v>
      </c>
      <c r="U88" s="24"/>
      <c r="V88" s="24"/>
      <c r="W88" s="24"/>
      <c r="X88" s="24"/>
    </row>
    <row r="89" spans="1:26" x14ac:dyDescent="0.25">
      <c r="A89" s="319" t="s">
        <v>298</v>
      </c>
      <c r="B89" s="3">
        <f t="shared" si="12"/>
        <v>0.151</v>
      </c>
      <c r="C89" s="298">
        <f t="shared" si="13"/>
        <v>4713642.752599</v>
      </c>
      <c r="D89" s="289">
        <f t="shared" si="16"/>
        <v>711760.05564244895</v>
      </c>
      <c r="F89" s="319" t="s">
        <v>298</v>
      </c>
      <c r="G89" s="3">
        <f t="shared" si="14"/>
        <v>0.151</v>
      </c>
      <c r="H89" s="298">
        <f t="shared" si="15"/>
        <v>4713642.752599</v>
      </c>
      <c r="I89" s="289">
        <f t="shared" si="17"/>
        <v>711760.05564244895</v>
      </c>
      <c r="K89" s="108">
        <f>'Data for Settlement &amp; 1st TU'!O90</f>
        <v>355880.02782122447</v>
      </c>
      <c r="L89" s="303">
        <f t="shared" si="18"/>
        <v>355880.02782122447</v>
      </c>
      <c r="U89" s="24"/>
      <c r="V89" s="24"/>
      <c r="W89" s="24"/>
      <c r="X89" s="24"/>
    </row>
    <row r="90" spans="1:26" x14ac:dyDescent="0.25">
      <c r="A90" s="320" t="s">
        <v>299</v>
      </c>
      <c r="B90" s="297">
        <f t="shared" si="12"/>
        <v>0</v>
      </c>
      <c r="C90" s="298">
        <f t="shared" si="13"/>
        <v>0</v>
      </c>
      <c r="D90" s="289">
        <f>+C90*B90</f>
        <v>0</v>
      </c>
      <c r="F90" s="320" t="s">
        <v>299</v>
      </c>
      <c r="G90" s="297">
        <f t="shared" si="14"/>
        <v>0</v>
      </c>
      <c r="H90" s="298">
        <f t="shared" si="15"/>
        <v>0</v>
      </c>
      <c r="I90" s="289">
        <f>+H90*G90</f>
        <v>0</v>
      </c>
      <c r="K90" s="108">
        <f>'Data for Settlement &amp; 1st TU'!O91</f>
        <v>0</v>
      </c>
      <c r="L90" s="303">
        <f>I90-K90</f>
        <v>0</v>
      </c>
      <c r="U90" s="24"/>
      <c r="V90" s="24"/>
      <c r="W90" s="24"/>
      <c r="X90" s="24"/>
    </row>
    <row r="91" spans="1:26" x14ac:dyDescent="0.25">
      <c r="A91" s="320" t="s">
        <v>300</v>
      </c>
      <c r="B91" s="297">
        <f t="shared" si="12"/>
        <v>0</v>
      </c>
      <c r="C91" s="298">
        <f t="shared" si="13"/>
        <v>0</v>
      </c>
      <c r="D91" s="289">
        <f t="shared" si="16"/>
        <v>0</v>
      </c>
      <c r="F91" s="320" t="s">
        <v>300</v>
      </c>
      <c r="G91" s="297">
        <f t="shared" si="14"/>
        <v>0</v>
      </c>
      <c r="H91" s="298">
        <f t="shared" si="15"/>
        <v>0</v>
      </c>
      <c r="I91" s="289">
        <f t="shared" si="17"/>
        <v>0</v>
      </c>
      <c r="K91" s="108">
        <f>'Data for Settlement &amp; 1st TU'!O92</f>
        <v>0</v>
      </c>
      <c r="L91" s="303">
        <f t="shared" si="18"/>
        <v>0</v>
      </c>
      <c r="U91" s="24"/>
      <c r="V91" s="24"/>
      <c r="W91" s="24"/>
      <c r="X91" s="24"/>
    </row>
    <row r="92" spans="1:26" x14ac:dyDescent="0.25">
      <c r="A92" s="320" t="s">
        <v>301</v>
      </c>
      <c r="B92" s="297">
        <f t="shared" si="12"/>
        <v>0</v>
      </c>
      <c r="C92" s="298">
        <f t="shared" si="13"/>
        <v>0</v>
      </c>
      <c r="D92" s="289">
        <f>+C92*B92</f>
        <v>0</v>
      </c>
      <c r="F92" s="320" t="s">
        <v>301</v>
      </c>
      <c r="G92" s="297">
        <f t="shared" si="14"/>
        <v>0</v>
      </c>
      <c r="H92" s="298">
        <f t="shared" si="15"/>
        <v>0</v>
      </c>
      <c r="I92" s="289">
        <f>+H92*G92</f>
        <v>0</v>
      </c>
      <c r="K92" s="108">
        <f>'Data for Settlement &amp; 1st TU'!O93</f>
        <v>0</v>
      </c>
      <c r="L92" s="303">
        <f>I92-K92</f>
        <v>0</v>
      </c>
      <c r="U92" s="24"/>
      <c r="V92" s="24"/>
      <c r="W92" s="24"/>
      <c r="X92" s="24"/>
    </row>
    <row r="93" spans="1:26" x14ac:dyDescent="0.25">
      <c r="A93" s="320" t="s">
        <v>302</v>
      </c>
      <c r="B93" s="297">
        <f t="shared" si="12"/>
        <v>0</v>
      </c>
      <c r="C93" s="298">
        <f t="shared" si="13"/>
        <v>0</v>
      </c>
      <c r="D93" s="289">
        <f t="shared" si="16"/>
        <v>0</v>
      </c>
      <c r="F93" s="320" t="s">
        <v>302</v>
      </c>
      <c r="G93" s="297">
        <f t="shared" si="14"/>
        <v>0</v>
      </c>
      <c r="H93" s="298">
        <f t="shared" si="15"/>
        <v>0</v>
      </c>
      <c r="I93" s="289">
        <f t="shared" si="17"/>
        <v>0</v>
      </c>
      <c r="K93" s="108">
        <f>'Data for Settlement &amp; 1st TU'!O94</f>
        <v>0</v>
      </c>
      <c r="L93" s="303">
        <f t="shared" si="18"/>
        <v>0</v>
      </c>
      <c r="U93" s="24"/>
      <c r="V93" s="24"/>
      <c r="W93" s="24"/>
      <c r="X93" s="24"/>
    </row>
    <row r="94" spans="1:26" ht="15.75" thickBot="1" x14ac:dyDescent="0.3">
      <c r="A94" t="s">
        <v>18</v>
      </c>
      <c r="C94" s="14">
        <f>SUM(C85:C93)</f>
        <v>24101335.616123002</v>
      </c>
      <c r="D94" s="312">
        <f>SUM(D85:D93)</f>
        <v>2283045.7127079051</v>
      </c>
      <c r="F94" t="s">
        <v>26</v>
      </c>
      <c r="H94" s="14">
        <f>SUM(H85:H93)</f>
        <v>24101335.616123002</v>
      </c>
      <c r="I94" s="312">
        <f>SUM(I85:I93)</f>
        <v>2283045.7127079051</v>
      </c>
      <c r="K94" s="331">
        <f>SUM(K85:K93)</f>
        <v>1141522.8563539525</v>
      </c>
      <c r="L94" s="312">
        <f t="shared" si="18"/>
        <v>1141522.8563539525</v>
      </c>
      <c r="U94" s="25"/>
      <c r="V94" s="47"/>
      <c r="W94" s="47"/>
      <c r="X94" s="47"/>
    </row>
    <row r="95" spans="1:26" ht="15.75" thickTop="1" x14ac:dyDescent="0.25">
      <c r="C95" s="7"/>
      <c r="D95" s="25"/>
      <c r="K95" s="53"/>
      <c r="U95" s="5"/>
      <c r="V95" s="5"/>
      <c r="W95" s="5"/>
      <c r="X95" s="59"/>
    </row>
    <row r="96" spans="1:26" x14ac:dyDescent="0.25">
      <c r="A96" s="23" t="s">
        <v>228</v>
      </c>
      <c r="F96" s="23" t="s">
        <v>221</v>
      </c>
      <c r="K96" s="59"/>
      <c r="L96" s="9"/>
      <c r="U96" s="25"/>
      <c r="V96" s="47"/>
      <c r="W96" s="47"/>
      <c r="X96" s="47"/>
    </row>
    <row r="97" spans="1:24" ht="30" x14ac:dyDescent="0.25">
      <c r="A97" s="23"/>
      <c r="B97" s="20" t="s">
        <v>36</v>
      </c>
      <c r="C97" s="42" t="s">
        <v>14</v>
      </c>
      <c r="D97" s="43" t="s">
        <v>37</v>
      </c>
      <c r="F97" s="23"/>
      <c r="G97" s="20" t="s">
        <v>36</v>
      </c>
      <c r="H97" s="42" t="s">
        <v>14</v>
      </c>
      <c r="I97" s="48" t="s">
        <v>37</v>
      </c>
      <c r="K97" s="27" t="s">
        <v>340</v>
      </c>
      <c r="L97" s="27" t="s">
        <v>341</v>
      </c>
      <c r="U97" s="25"/>
      <c r="V97" s="47"/>
      <c r="W97" s="47"/>
      <c r="X97" s="47"/>
    </row>
    <row r="98" spans="1:24" x14ac:dyDescent="0.25">
      <c r="A98" t="s">
        <v>128</v>
      </c>
      <c r="B98" s="409">
        <f>+K107</f>
        <v>2.8882191835131788E-2</v>
      </c>
      <c r="C98" s="7">
        <f>+D33</f>
        <v>16446492.507748999</v>
      </c>
      <c r="D98" s="47">
        <f>+B98*C98</f>
        <v>475010.75162386429</v>
      </c>
      <c r="F98" t="s">
        <v>135</v>
      </c>
      <c r="G98" s="409">
        <f>+K107</f>
        <v>2.8882191835131788E-2</v>
      </c>
      <c r="H98" s="44">
        <f>+I33</f>
        <v>16446492.507748999</v>
      </c>
      <c r="I98" s="49">
        <f>+G98*H98</f>
        <v>475010.75162386429</v>
      </c>
      <c r="K98" s="5">
        <f>'Data for Settlement &amp; 1st TU'!O99</f>
        <v>237505.37581193214</v>
      </c>
      <c r="L98" s="5">
        <f>I98-K98</f>
        <v>237505.37581193214</v>
      </c>
      <c r="M98" s="5"/>
      <c r="U98" s="25"/>
      <c r="V98" s="47"/>
      <c r="W98" s="47"/>
      <c r="X98" s="47"/>
    </row>
    <row r="99" spans="1:24" x14ac:dyDescent="0.25">
      <c r="A99" t="s">
        <v>119</v>
      </c>
      <c r="B99" s="9"/>
      <c r="C99" s="7"/>
      <c r="D99" s="47">
        <f>+D73</f>
        <v>244539.94</v>
      </c>
      <c r="F99" t="s">
        <v>119</v>
      </c>
      <c r="G99" s="9"/>
      <c r="H99" s="44"/>
      <c r="I99" s="49">
        <f>+I73</f>
        <v>244539.94</v>
      </c>
      <c r="K99" s="4">
        <f>'Data for Settlement &amp; 1st TU'!O100</f>
        <v>244539.94</v>
      </c>
      <c r="L99" s="5">
        <f t="shared" ref="L99:L100" si="19">I99-K99</f>
        <v>0</v>
      </c>
      <c r="M99" s="5"/>
      <c r="O99" s="30"/>
      <c r="U99" s="25"/>
      <c r="V99" s="47"/>
      <c r="W99" s="47"/>
      <c r="X99" s="47"/>
    </row>
    <row r="100" spans="1:24" x14ac:dyDescent="0.25">
      <c r="A100" t="s">
        <v>101</v>
      </c>
      <c r="B100" s="9">
        <f>+B54</f>
        <v>5.3770000000000005E-2</v>
      </c>
      <c r="C100" s="7">
        <f>+C33</f>
        <v>9172515.8777489997</v>
      </c>
      <c r="D100" s="47">
        <f>+B100*C100</f>
        <v>493206.17874656379</v>
      </c>
      <c r="F100" t="s">
        <v>101</v>
      </c>
      <c r="G100" s="9">
        <f>+G54</f>
        <v>5.3770000000000005E-2</v>
      </c>
      <c r="H100" s="7">
        <f>+H33</f>
        <v>9172515.8777489997</v>
      </c>
      <c r="I100" s="47">
        <f>+G100*H100</f>
        <v>493206.17874656379</v>
      </c>
      <c r="K100" s="5">
        <f>'Data for Settlement &amp; 1st TU'!O101</f>
        <v>246603.08937328189</v>
      </c>
      <c r="L100" s="5">
        <f t="shared" si="19"/>
        <v>246603.08937328189</v>
      </c>
      <c r="M100" s="5"/>
      <c r="O100" s="52"/>
      <c r="U100" s="25"/>
      <c r="V100" s="47"/>
      <c r="W100" s="47"/>
      <c r="X100" s="47"/>
    </row>
    <row r="101" spans="1:24" ht="15.75" thickBot="1" x14ac:dyDescent="0.3">
      <c r="C101" s="7"/>
      <c r="D101" s="21">
        <f>SUM(D98:D100)</f>
        <v>1212756.8703704281</v>
      </c>
      <c r="H101" s="7"/>
      <c r="I101" s="21">
        <f>SUM(I98:I100)</f>
        <v>1212756.8703704281</v>
      </c>
      <c r="J101" s="25"/>
      <c r="K101" s="21">
        <f t="shared" ref="K101:L101" si="20">SUM(K98:K100)</f>
        <v>728648.40518521401</v>
      </c>
      <c r="L101" s="21">
        <f t="shared" si="20"/>
        <v>484108.46518521407</v>
      </c>
      <c r="M101" s="98"/>
    </row>
    <row r="102" spans="1:24" ht="15.75" thickTop="1" x14ac:dyDescent="0.25">
      <c r="C102" s="7"/>
      <c r="D102" s="25"/>
      <c r="H102" s="7"/>
      <c r="I102" s="25"/>
      <c r="J102" s="25"/>
      <c r="K102" s="25"/>
      <c r="L102" s="47"/>
      <c r="M102" s="98"/>
    </row>
    <row r="103" spans="1:24" x14ac:dyDescent="0.25">
      <c r="A103" s="23" t="s">
        <v>293</v>
      </c>
      <c r="D103" s="5"/>
      <c r="F103" s="23" t="s">
        <v>294</v>
      </c>
      <c r="I103" s="5"/>
      <c r="J103" s="25"/>
      <c r="K103" s="25"/>
      <c r="L103" s="47"/>
      <c r="M103" s="98"/>
    </row>
    <row r="104" spans="1:24" ht="17.25" x14ac:dyDescent="0.4">
      <c r="D104" s="5"/>
      <c r="I104" s="5"/>
      <c r="J104" s="228"/>
      <c r="K104" s="466" t="s">
        <v>424</v>
      </c>
      <c r="L104" s="235"/>
      <c r="M104" s="228"/>
      <c r="N104" s="216"/>
    </row>
    <row r="105" spans="1:24" x14ac:dyDescent="0.25">
      <c r="A105" s="23"/>
      <c r="B105" s="20" t="s">
        <v>36</v>
      </c>
      <c r="C105" s="42" t="s">
        <v>14</v>
      </c>
      <c r="D105" s="43" t="s">
        <v>37</v>
      </c>
      <c r="F105" s="23"/>
      <c r="G105" s="20" t="s">
        <v>36</v>
      </c>
      <c r="H105" s="42" t="s">
        <v>14</v>
      </c>
      <c r="I105" s="43" t="s">
        <v>37</v>
      </c>
      <c r="J105" s="228"/>
      <c r="K105" s="459" t="s">
        <v>36</v>
      </c>
      <c r="L105" s="467" t="s">
        <v>14</v>
      </c>
      <c r="M105" s="459" t="s">
        <v>37</v>
      </c>
      <c r="P105" s="30"/>
    </row>
    <row r="106" spans="1:24" x14ac:dyDescent="0.25">
      <c r="A106" t="s">
        <v>238</v>
      </c>
      <c r="B106" s="9">
        <f>+D106/C106</f>
        <v>3.779538801854293E-2</v>
      </c>
      <c r="C106" s="1">
        <f>+D32</f>
        <v>24101335.616123002</v>
      </c>
      <c r="D106" s="105">
        <f>+'Data for Settlement &amp; 1st TU'!I107</f>
        <v>910919.33137649728</v>
      </c>
      <c r="F106" t="s">
        <v>240</v>
      </c>
      <c r="G106" s="409">
        <f>((+I69+I72+I77)-(I107/(I33/I12)))/I11</f>
        <v>3.779538801854293E-2</v>
      </c>
      <c r="H106" s="1">
        <f>+I32</f>
        <v>24101335.616123002</v>
      </c>
      <c r="I106" s="105">
        <f>+G106*H106</f>
        <v>910919.33137649728</v>
      </c>
      <c r="J106" s="457"/>
      <c r="K106" s="471">
        <f>+G106/G108*J108</f>
        <v>3.4737778817689184E-2</v>
      </c>
      <c r="L106" s="472">
        <f>+H106*$J$11</f>
        <v>18783864.318210516</v>
      </c>
      <c r="M106" s="473">
        <f>+L106*K106</f>
        <v>652509.72402748093</v>
      </c>
      <c r="N106" s="30"/>
      <c r="O106" s="30"/>
      <c r="P106" s="30"/>
    </row>
    <row r="107" spans="1:24" x14ac:dyDescent="0.25">
      <c r="A107" t="s">
        <v>239</v>
      </c>
      <c r="B107" s="9">
        <f>+D107/C107</f>
        <v>3.1424393970720041E-2</v>
      </c>
      <c r="C107" s="1">
        <f>+D33</f>
        <v>16446492.507748999</v>
      </c>
      <c r="D107" s="105">
        <f>+'Data for Settlement &amp; 1st TU'!I108</f>
        <v>516821.06</v>
      </c>
      <c r="F107" t="s">
        <v>241</v>
      </c>
      <c r="G107" s="9">
        <f>+I107/H107</f>
        <v>3.1424393970720041E-2</v>
      </c>
      <c r="H107" s="1">
        <f>+I33</f>
        <v>16446492.507748999</v>
      </c>
      <c r="I107" s="61">
        <f>+D107</f>
        <v>516821.06</v>
      </c>
      <c r="J107" s="106" t="s">
        <v>421</v>
      </c>
      <c r="K107" s="471">
        <f>+G107/G108*J108</f>
        <v>2.8882191835131788E-2</v>
      </c>
      <c r="L107" s="472">
        <f>+H107*$J$11</f>
        <v>12817907.21877504</v>
      </c>
      <c r="M107" s="474">
        <f>+L107*K107</f>
        <v>370209.25521758123</v>
      </c>
      <c r="N107" s="30"/>
      <c r="O107" s="26"/>
      <c r="P107" s="30"/>
    </row>
    <row r="108" spans="1:24" ht="15.75" thickBot="1" x14ac:dyDescent="0.3">
      <c r="B108" s="63">
        <f>+D108/C108</f>
        <v>3.5211266729621306E-2</v>
      </c>
      <c r="C108" s="64">
        <f>SUM(C106:C107)</f>
        <v>40547828.123871997</v>
      </c>
      <c r="D108" s="62">
        <f>+D106+D107</f>
        <v>1427740.3913764972</v>
      </c>
      <c r="G108" s="63">
        <f>+I108/H108</f>
        <v>3.5211266729621306E-2</v>
      </c>
      <c r="H108" s="64">
        <f>SUM(H106:H107)</f>
        <v>40547828.123871997</v>
      </c>
      <c r="I108" s="62">
        <f>+I106+I107</f>
        <v>1427740.3913764972</v>
      </c>
      <c r="J108" s="456">
        <f>+J72</f>
        <v>3.2362710364136058E-2</v>
      </c>
      <c r="K108" s="468">
        <f>+M108/L108</f>
        <v>3.2362710364136058E-2</v>
      </c>
      <c r="L108" s="469">
        <f>SUM(L106:L107)</f>
        <v>31601771.536985554</v>
      </c>
      <c r="M108" s="470">
        <f>+M106+M107</f>
        <v>1022718.9792450622</v>
      </c>
      <c r="N108" s="25"/>
      <c r="O108" s="5"/>
    </row>
    <row r="109" spans="1:24" ht="15.75" thickTop="1" x14ac:dyDescent="0.25">
      <c r="G109" s="59"/>
      <c r="H109" s="138"/>
      <c r="I109" s="7"/>
      <c r="J109" s="25"/>
      <c r="K109" s="25"/>
      <c r="L109" s="250"/>
      <c r="M109" s="5"/>
      <c r="N109" s="7"/>
    </row>
    <row r="110" spans="1:24" ht="145.5" customHeight="1" x14ac:dyDescent="0.25">
      <c r="C110" s="7"/>
      <c r="D110" s="25"/>
      <c r="F110" s="521" t="s">
        <v>414</v>
      </c>
      <c r="G110" s="521"/>
      <c r="H110" s="521"/>
      <c r="I110" s="521"/>
      <c r="J110" s="25"/>
      <c r="K110" s="81"/>
      <c r="L110" s="246"/>
      <c r="M110" s="85"/>
    </row>
    <row r="111" spans="1:24" x14ac:dyDescent="0.25">
      <c r="F111" s="518"/>
      <c r="G111" s="518"/>
      <c r="H111" s="518"/>
      <c r="I111" s="518"/>
      <c r="L111" s="242"/>
    </row>
    <row r="112" spans="1:24" x14ac:dyDescent="0.25">
      <c r="F112" s="518"/>
      <c r="G112" s="518"/>
      <c r="H112" s="518"/>
      <c r="I112" s="518"/>
    </row>
    <row r="115" spans="6:11" x14ac:dyDescent="0.25">
      <c r="F115" s="23"/>
      <c r="G115" s="20"/>
      <c r="H115" s="73"/>
      <c r="I115" s="48"/>
      <c r="K115" s="53"/>
    </row>
    <row r="116" spans="6:11" x14ac:dyDescent="0.25">
      <c r="G116" s="9"/>
      <c r="H116" s="71"/>
      <c r="I116" s="47"/>
      <c r="K116" s="60"/>
    </row>
    <row r="117" spans="6:11" x14ac:dyDescent="0.25">
      <c r="G117" s="9"/>
      <c r="H117" s="71"/>
      <c r="I117" s="47"/>
    </row>
    <row r="118" spans="6:11" x14ac:dyDescent="0.25">
      <c r="I118" s="5"/>
    </row>
    <row r="121" spans="6:11" x14ac:dyDescent="0.25">
      <c r="I121" s="1"/>
    </row>
    <row r="122" spans="6:11" x14ac:dyDescent="0.25">
      <c r="I122" s="1"/>
    </row>
    <row r="123" spans="6:11" x14ac:dyDescent="0.25">
      <c r="I123" s="1"/>
    </row>
    <row r="124" spans="6:11" x14ac:dyDescent="0.25">
      <c r="I124" s="1"/>
    </row>
    <row r="125" spans="6:11" x14ac:dyDescent="0.25">
      <c r="I125" s="1"/>
    </row>
    <row r="126" spans="6:11" x14ac:dyDescent="0.25">
      <c r="I126" s="1"/>
    </row>
  </sheetData>
  <mergeCells count="5">
    <mergeCell ref="M9:O9"/>
    <mergeCell ref="P9:R9"/>
    <mergeCell ref="F110:I110"/>
    <mergeCell ref="F112:I112"/>
    <mergeCell ref="F111:I111"/>
  </mergeCells>
  <pageMargins left="0.7" right="0.7" top="0.75" bottom="0.75" header="0.3" footer="0.3"/>
  <pageSetup paperSize="17" scale="37"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50"/>
  <sheetViews>
    <sheetView zoomScale="70" zoomScaleNormal="70" workbookViewId="0">
      <selection sqref="A1:M47"/>
    </sheetView>
  </sheetViews>
  <sheetFormatPr defaultRowHeight="15" x14ac:dyDescent="0.25"/>
  <cols>
    <col min="1" max="1" width="43.5703125" customWidth="1"/>
    <col min="2" max="2" width="11.28515625" customWidth="1"/>
    <col min="3" max="3" width="15.7109375" customWidth="1"/>
    <col min="4" max="4" width="14.7109375" customWidth="1"/>
    <col min="5" max="5" width="15" customWidth="1"/>
    <col min="6" max="6" width="12.7109375" customWidth="1"/>
    <col min="7" max="7" width="15.7109375" bestFit="1" customWidth="1"/>
    <col min="8" max="8" width="13.28515625" bestFit="1" customWidth="1"/>
    <col min="9" max="11" width="13.28515625" customWidth="1"/>
    <col min="12" max="12" width="6.28515625" customWidth="1"/>
    <col min="13" max="13" width="43.5703125" customWidth="1"/>
    <col min="14" max="14" width="11.28515625" customWidth="1"/>
    <col min="15" max="15" width="15.7109375" customWidth="1"/>
    <col min="16" max="20" width="14.7109375" customWidth="1"/>
    <col min="22" max="22" width="43.5703125" customWidth="1"/>
    <col min="23" max="23" width="11.28515625" customWidth="1"/>
    <col min="24" max="24" width="15.7109375" customWidth="1"/>
    <col min="25" max="29" width="14.7109375" customWidth="1"/>
    <col min="30" max="30" width="12.28515625" bestFit="1" customWidth="1"/>
  </cols>
  <sheetData>
    <row r="1" spans="1:30" ht="26.25" x14ac:dyDescent="0.4">
      <c r="A1" s="57" t="s">
        <v>57</v>
      </c>
    </row>
    <row r="2" spans="1:30" x14ac:dyDescent="0.25">
      <c r="A2" s="515" t="s">
        <v>441</v>
      </c>
      <c r="B2" s="515"/>
    </row>
    <row r="3" spans="1:30" ht="18.75" x14ac:dyDescent="0.3">
      <c r="A3" s="22" t="s">
        <v>342</v>
      </c>
      <c r="M3" s="22"/>
      <c r="V3" s="22"/>
    </row>
    <row r="4" spans="1:30" x14ac:dyDescent="0.25">
      <c r="A4" s="10"/>
      <c r="M4" s="10"/>
      <c r="V4" s="10"/>
    </row>
    <row r="5" spans="1:30" x14ac:dyDescent="0.25">
      <c r="A5" s="10" t="s">
        <v>222</v>
      </c>
      <c r="M5" s="10"/>
      <c r="V5" s="10"/>
    </row>
    <row r="6" spans="1:30" ht="45" x14ac:dyDescent="0.25">
      <c r="A6" s="34" t="s">
        <v>35</v>
      </c>
      <c r="B6" s="35" t="s">
        <v>291</v>
      </c>
      <c r="C6" s="36" t="s">
        <v>67</v>
      </c>
      <c r="D6" s="35" t="s">
        <v>29</v>
      </c>
      <c r="E6" s="36" t="s">
        <v>27</v>
      </c>
      <c r="F6" s="35" t="s">
        <v>7</v>
      </c>
      <c r="G6" s="35" t="s">
        <v>14</v>
      </c>
      <c r="H6" s="36" t="s">
        <v>78</v>
      </c>
      <c r="I6" s="36" t="s">
        <v>74</v>
      </c>
      <c r="J6" s="36" t="s">
        <v>76</v>
      </c>
      <c r="K6" s="36" t="s">
        <v>172</v>
      </c>
      <c r="M6" s="10"/>
      <c r="N6" s="20"/>
      <c r="O6" s="20"/>
      <c r="P6" s="20"/>
      <c r="Q6" s="31"/>
      <c r="R6" s="10"/>
      <c r="S6" s="20"/>
      <c r="T6" s="27"/>
      <c r="V6" s="10"/>
      <c r="W6" s="20"/>
      <c r="X6" s="20"/>
      <c r="Y6" s="20"/>
      <c r="Z6" s="31"/>
      <c r="AA6" s="10"/>
      <c r="AB6" s="20"/>
      <c r="AC6" s="27"/>
    </row>
    <row r="7" spans="1:30" x14ac:dyDescent="0.25">
      <c r="A7" s="37" t="s">
        <v>2</v>
      </c>
      <c r="B7" s="39">
        <f>+'Data for 2nd TU'!D38</f>
        <v>8.6999999999999994E-2</v>
      </c>
      <c r="C7" s="475">
        <f>+'Data for Settlement &amp; 1st TU'!$K$107</f>
        <v>3.4737778817689184E-2</v>
      </c>
      <c r="D7" s="476">
        <f>+'Data for 2nd TU'!$B$56</f>
        <v>7.6060000000000003E-2</v>
      </c>
      <c r="E7" s="39">
        <f>+C7+D7</f>
        <v>0.11079777881768918</v>
      </c>
      <c r="F7" s="40">
        <f>+B7-E7</f>
        <v>-2.3797778817689186E-2</v>
      </c>
      <c r="G7" s="479">
        <f>'Data for Settlement &amp; 1st TU'!J18</f>
        <v>546040.56782652694</v>
      </c>
      <c r="H7" s="4">
        <f>+G7*B7</f>
        <v>47505.529400907843</v>
      </c>
      <c r="I7" s="4">
        <f>+G7*C7</f>
        <v>18968.2364706433</v>
      </c>
      <c r="J7" s="4">
        <f>+G7*D7</f>
        <v>41531.845588885641</v>
      </c>
      <c r="K7" s="4">
        <f>+H7-I7-J7</f>
        <v>-12994.552658621098</v>
      </c>
      <c r="N7" s="28"/>
      <c r="O7" s="32"/>
      <c r="P7" s="32"/>
      <c r="Q7" s="32"/>
      <c r="R7" s="33"/>
      <c r="S7" s="29"/>
      <c r="T7" s="25"/>
      <c r="W7" s="32"/>
      <c r="X7" s="32"/>
      <c r="Y7" s="32"/>
      <c r="Z7" s="32"/>
      <c r="AA7" s="33"/>
      <c r="AB7" s="29"/>
      <c r="AC7" s="25"/>
      <c r="AD7" s="5"/>
    </row>
    <row r="8" spans="1:30" x14ac:dyDescent="0.25">
      <c r="A8" s="41" t="s">
        <v>3</v>
      </c>
      <c r="B8" s="32">
        <f>+'Data for 2nd TU'!D39</f>
        <v>0.10299999999999999</v>
      </c>
      <c r="C8" s="477">
        <f>+$C$7</f>
        <v>3.4737778817689184E-2</v>
      </c>
      <c r="D8" s="487">
        <f>+'Data for 2nd TU'!$B$56</f>
        <v>7.6060000000000003E-2</v>
      </c>
      <c r="E8" s="32">
        <f t="shared" ref="E8:E15" si="0">+C8+D8</f>
        <v>0.11079777881768918</v>
      </c>
      <c r="F8" s="33">
        <f t="shared" ref="F8:F11" si="1">+B8-E8</f>
        <v>-7.7977788176891855E-3</v>
      </c>
      <c r="G8" s="480">
        <f>'Data for Settlement &amp; 1st TU'!J19</f>
        <v>270935.35320288147</v>
      </c>
      <c r="H8" s="4">
        <f t="shared" ref="H8:H11" si="2">+G8*B8</f>
        <v>27906.341379896789</v>
      </c>
      <c r="I8" s="4">
        <f t="shared" ref="I8:I11" si="3">+G8*C8</f>
        <v>9411.6923734541924</v>
      </c>
      <c r="J8" s="4">
        <f t="shared" ref="J8:J11" si="4">+G8*D8</f>
        <v>20607.342964611165</v>
      </c>
      <c r="K8" s="4">
        <f t="shared" ref="K8:K11" si="5">+H8-I8-J8</f>
        <v>-2112.6939581685692</v>
      </c>
      <c r="N8" s="28"/>
      <c r="O8" s="32"/>
      <c r="P8" s="32"/>
      <c r="Q8" s="32"/>
      <c r="R8" s="33"/>
      <c r="S8" s="29"/>
      <c r="T8" s="25"/>
      <c r="W8" s="32"/>
      <c r="X8" s="32"/>
      <c r="Y8" s="32"/>
      <c r="Z8" s="32"/>
      <c r="AA8" s="33"/>
      <c r="AB8" s="29"/>
      <c r="AC8" s="25"/>
      <c r="AD8" s="5"/>
    </row>
    <row r="9" spans="1:30" x14ac:dyDescent="0.25">
      <c r="A9" s="319" t="s">
        <v>296</v>
      </c>
      <c r="B9" s="32">
        <f>+'Data for 2nd TU'!D40</f>
        <v>7.3999999999999996E-2</v>
      </c>
      <c r="C9" s="477">
        <f t="shared" ref="C9:C15" si="6">+$C$7</f>
        <v>3.4737778817689184E-2</v>
      </c>
      <c r="D9" s="487">
        <f>+'Data for 2nd TU'!$B$56</f>
        <v>7.6060000000000003E-2</v>
      </c>
      <c r="E9" s="32">
        <f t="shared" si="0"/>
        <v>0.11079777881768918</v>
      </c>
      <c r="F9" s="33">
        <f t="shared" si="1"/>
        <v>-3.6797778817689183E-2</v>
      </c>
      <c r="G9" s="480">
        <f>'Data for Settlement &amp; 1st TU'!J20</f>
        <v>10840029.471495211</v>
      </c>
      <c r="H9" s="108">
        <f t="shared" si="2"/>
        <v>802162.1808906456</v>
      </c>
      <c r="I9" s="108">
        <f t="shared" si="3"/>
        <v>376558.54615803284</v>
      </c>
      <c r="J9" s="108">
        <f t="shared" si="4"/>
        <v>824492.64160192583</v>
      </c>
      <c r="K9" s="108">
        <f t="shared" si="5"/>
        <v>-398889.00686931307</v>
      </c>
      <c r="N9" s="28"/>
      <c r="O9" s="32"/>
      <c r="P9" s="32"/>
      <c r="Q9" s="32"/>
      <c r="R9" s="33"/>
      <c r="S9" s="29"/>
      <c r="T9" s="25"/>
      <c r="W9" s="32"/>
      <c r="X9" s="32"/>
      <c r="Y9" s="32"/>
      <c r="Z9" s="32"/>
      <c r="AA9" s="33"/>
      <c r="AB9" s="29"/>
      <c r="AC9" s="25"/>
      <c r="AD9" s="5"/>
    </row>
    <row r="10" spans="1:30" x14ac:dyDescent="0.25">
      <c r="A10" s="319" t="s">
        <v>297</v>
      </c>
      <c r="B10" s="32">
        <f>+'Data for 2nd TU'!D41</f>
        <v>0.10199999999999999</v>
      </c>
      <c r="C10" s="477">
        <f t="shared" si="6"/>
        <v>3.4737778817689184E-2</v>
      </c>
      <c r="D10" s="487">
        <f>+'Data for 2nd TU'!$B$56</f>
        <v>7.6060000000000003E-2</v>
      </c>
      <c r="E10" s="32">
        <f t="shared" si="0"/>
        <v>0.11079777881768918</v>
      </c>
      <c r="F10" s="33">
        <f t="shared" si="1"/>
        <v>-8.7977788176891863E-3</v>
      </c>
      <c r="G10" s="480">
        <f>'Data for Settlement &amp; 1st TU'!J21</f>
        <v>3205711.5058956612</v>
      </c>
      <c r="H10" s="108">
        <f t="shared" si="2"/>
        <v>326982.57360135741</v>
      </c>
      <c r="I10" s="108">
        <f t="shared" si="3"/>
        <v>111359.29724512479</v>
      </c>
      <c r="J10" s="108">
        <f t="shared" si="4"/>
        <v>243826.417138424</v>
      </c>
      <c r="K10" s="108">
        <f t="shared" si="5"/>
        <v>-28203.140782191389</v>
      </c>
      <c r="N10" s="28"/>
      <c r="O10" s="32"/>
      <c r="P10" s="32"/>
      <c r="Q10" s="32"/>
      <c r="R10" s="33"/>
      <c r="S10" s="29"/>
      <c r="T10" s="25"/>
      <c r="W10" s="32"/>
      <c r="X10" s="32"/>
      <c r="Y10" s="32"/>
      <c r="Z10" s="32"/>
      <c r="AA10" s="33"/>
      <c r="AB10" s="29"/>
      <c r="AC10" s="25"/>
      <c r="AD10" s="5"/>
    </row>
    <row r="11" spans="1:30" x14ac:dyDescent="0.25">
      <c r="A11" s="319" t="s">
        <v>298</v>
      </c>
      <c r="B11" s="32">
        <f>+'Data for 2nd TU'!D42</f>
        <v>0.151</v>
      </c>
      <c r="C11" s="477">
        <f t="shared" si="6"/>
        <v>3.4737778817689184E-2</v>
      </c>
      <c r="D11" s="487">
        <f>+'Data for 2nd TU'!$B$56</f>
        <v>7.6060000000000003E-2</v>
      </c>
      <c r="E11" s="32">
        <f t="shared" si="0"/>
        <v>0.11079777881768918</v>
      </c>
      <c r="F11" s="33">
        <f t="shared" si="1"/>
        <v>4.0202221182310816E-2</v>
      </c>
      <c r="G11" s="480">
        <f>'Data for Settlement &amp; 1st TU'!J22</f>
        <v>3613505.6546091498</v>
      </c>
      <c r="H11" s="108">
        <f t="shared" si="2"/>
        <v>545639.35384598165</v>
      </c>
      <c r="I11" s="108">
        <f t="shared" si="3"/>
        <v>125525.16018628181</v>
      </c>
      <c r="J11" s="108">
        <f t="shared" si="4"/>
        <v>274843.24008957192</v>
      </c>
      <c r="K11" s="108">
        <f t="shared" si="5"/>
        <v>145270.95357012795</v>
      </c>
      <c r="N11" s="28"/>
      <c r="O11" s="32"/>
      <c r="P11" s="32"/>
      <c r="Q11" s="32"/>
      <c r="R11" s="33"/>
      <c r="S11" s="29"/>
      <c r="T11" s="25"/>
      <c r="W11" s="32"/>
      <c r="X11" s="32"/>
      <c r="Y11" s="32"/>
      <c r="Z11" s="32"/>
      <c r="AA11" s="33"/>
      <c r="AB11" s="29"/>
      <c r="AC11" s="25"/>
      <c r="AD11" s="5"/>
    </row>
    <row r="12" spans="1:30" x14ac:dyDescent="0.25">
      <c r="A12" s="320" t="s">
        <v>299</v>
      </c>
      <c r="B12" s="304">
        <f>+'Data for 2nd TU'!D43</f>
        <v>0</v>
      </c>
      <c r="C12" s="477">
        <f t="shared" si="6"/>
        <v>3.4737778817689184E-2</v>
      </c>
      <c r="D12" s="487">
        <f>+'Data for 2nd TU'!$B$56</f>
        <v>7.6060000000000003E-2</v>
      </c>
      <c r="E12" s="304">
        <f>+C12+D12</f>
        <v>0.11079777881768918</v>
      </c>
      <c r="F12" s="305">
        <f>+B12-E12</f>
        <v>-0.11079777881768918</v>
      </c>
      <c r="G12" s="480">
        <f>'Data for Settlement &amp; 1st TU'!J23</f>
        <v>0</v>
      </c>
      <c r="H12" s="108">
        <f>+G12*B12</f>
        <v>0</v>
      </c>
      <c r="I12" s="108">
        <f>+G12*C12</f>
        <v>0</v>
      </c>
      <c r="J12" s="108">
        <f>+G12*D12</f>
        <v>0</v>
      </c>
      <c r="K12" s="108">
        <f>+H12-I12-J12</f>
        <v>0</v>
      </c>
      <c r="N12" s="28"/>
      <c r="O12" s="32"/>
      <c r="P12" s="32"/>
      <c r="Q12" s="32"/>
      <c r="R12" s="33"/>
      <c r="S12" s="29"/>
      <c r="T12" s="25"/>
      <c r="W12" s="32"/>
      <c r="X12" s="32"/>
      <c r="Y12" s="32"/>
      <c r="Z12" s="32"/>
      <c r="AA12" s="33"/>
      <c r="AB12" s="29"/>
      <c r="AC12" s="25"/>
      <c r="AD12" s="5"/>
    </row>
    <row r="13" spans="1:30" x14ac:dyDescent="0.25">
      <c r="A13" s="320" t="s">
        <v>300</v>
      </c>
      <c r="B13" s="304">
        <f>+'Data for 2nd TU'!D44</f>
        <v>0</v>
      </c>
      <c r="C13" s="477">
        <f t="shared" si="6"/>
        <v>3.4737778817689184E-2</v>
      </c>
      <c r="D13" s="487">
        <f>+'Data for 2nd TU'!$B$56</f>
        <v>7.6060000000000003E-2</v>
      </c>
      <c r="E13" s="304">
        <f t="shared" si="0"/>
        <v>0.11079777881768918</v>
      </c>
      <c r="F13" s="305">
        <f t="shared" ref="F13:F15" si="7">+B13-E13</f>
        <v>-0.11079777881768918</v>
      </c>
      <c r="G13" s="480">
        <f>'Data for Settlement &amp; 1st TU'!J24</f>
        <v>0</v>
      </c>
      <c r="H13" s="108">
        <f t="shared" ref="H13:H15" si="8">+G13*B13</f>
        <v>0</v>
      </c>
      <c r="I13" s="108">
        <f t="shared" ref="I13:I15" si="9">+G13*C13</f>
        <v>0</v>
      </c>
      <c r="J13" s="108">
        <f t="shared" ref="J13:J15" si="10">+G13*D13</f>
        <v>0</v>
      </c>
      <c r="K13" s="108">
        <f t="shared" ref="K13:K15" si="11">+H13-I13-J13</f>
        <v>0</v>
      </c>
      <c r="N13" s="28"/>
      <c r="O13" s="32"/>
      <c r="P13" s="32"/>
      <c r="Q13" s="32"/>
      <c r="R13" s="33"/>
      <c r="S13" s="29"/>
      <c r="T13" s="25"/>
      <c r="W13" s="32"/>
      <c r="X13" s="32"/>
      <c r="Y13" s="32"/>
      <c r="Z13" s="32"/>
      <c r="AA13" s="33"/>
      <c r="AB13" s="29"/>
      <c r="AC13" s="25"/>
      <c r="AD13" s="5"/>
    </row>
    <row r="14" spans="1:30" x14ac:dyDescent="0.25">
      <c r="A14" s="320" t="s">
        <v>301</v>
      </c>
      <c r="B14" s="304">
        <f>+'Data for 2nd TU'!D45</f>
        <v>0</v>
      </c>
      <c r="C14" s="477">
        <f t="shared" si="6"/>
        <v>3.4737778817689184E-2</v>
      </c>
      <c r="D14" s="487">
        <f>+'Data for 2nd TU'!$B$56</f>
        <v>7.6060000000000003E-2</v>
      </c>
      <c r="E14" s="304">
        <f>+C14+D14</f>
        <v>0.11079777881768918</v>
      </c>
      <c r="F14" s="305">
        <f>+B14-E14</f>
        <v>-0.11079777881768918</v>
      </c>
      <c r="G14" s="480">
        <f>'Data for Settlement &amp; 1st TU'!J25</f>
        <v>0</v>
      </c>
      <c r="H14" s="108">
        <f>+G14*B14</f>
        <v>0</v>
      </c>
      <c r="I14" s="108">
        <f>+G14*C14</f>
        <v>0</v>
      </c>
      <c r="J14" s="108">
        <f>+G14*D14</f>
        <v>0</v>
      </c>
      <c r="K14" s="108">
        <f>+H14-I14-J14</f>
        <v>0</v>
      </c>
      <c r="N14" s="28"/>
      <c r="O14" s="32"/>
      <c r="P14" s="32"/>
      <c r="Q14" s="32"/>
      <c r="R14" s="33"/>
      <c r="S14" s="29"/>
      <c r="T14" s="25"/>
      <c r="W14" s="32"/>
      <c r="X14" s="32"/>
      <c r="Y14" s="32"/>
      <c r="Z14" s="32"/>
      <c r="AA14" s="33"/>
      <c r="AB14" s="29"/>
      <c r="AC14" s="25"/>
      <c r="AD14" s="5"/>
    </row>
    <row r="15" spans="1:30" x14ac:dyDescent="0.25">
      <c r="A15" s="326" t="s">
        <v>302</v>
      </c>
      <c r="B15" s="307">
        <f>+'Data for 2nd TU'!D46</f>
        <v>0</v>
      </c>
      <c r="C15" s="478">
        <f t="shared" si="6"/>
        <v>3.4737778817689184E-2</v>
      </c>
      <c r="D15" s="488">
        <f>+'Data for 2nd TU'!$B$56</f>
        <v>7.6060000000000003E-2</v>
      </c>
      <c r="E15" s="307">
        <f t="shared" si="0"/>
        <v>0.11079777881768918</v>
      </c>
      <c r="F15" s="308">
        <f t="shared" si="7"/>
        <v>-0.11079777881768918</v>
      </c>
      <c r="G15" s="480">
        <f>'Data for Settlement &amp; 1st TU'!J26</f>
        <v>0</v>
      </c>
      <c r="H15" s="108">
        <f t="shared" si="8"/>
        <v>0</v>
      </c>
      <c r="I15" s="108">
        <f t="shared" si="9"/>
        <v>0</v>
      </c>
      <c r="J15" s="108">
        <f t="shared" si="10"/>
        <v>0</v>
      </c>
      <c r="K15" s="108">
        <f t="shared" si="11"/>
        <v>0</v>
      </c>
      <c r="N15" s="28"/>
      <c r="O15" s="32"/>
      <c r="P15" s="32"/>
      <c r="Q15" s="32"/>
      <c r="R15" s="33"/>
      <c r="S15" s="29"/>
      <c r="T15" s="25"/>
      <c r="W15" s="32"/>
      <c r="X15" s="32"/>
      <c r="Y15" s="32"/>
      <c r="Z15" s="32"/>
      <c r="AA15" s="33"/>
      <c r="AB15" s="29"/>
      <c r="AC15" s="25"/>
      <c r="AD15" s="5"/>
    </row>
    <row r="16" spans="1:30" ht="15.75" thickBot="1" x14ac:dyDescent="0.3">
      <c r="B16" s="334">
        <f>+H16/G16</f>
        <v>9.4726937505514128E-2</v>
      </c>
      <c r="G16" s="322">
        <f>SUM(G7:G15)</f>
        <v>18476222.553029429</v>
      </c>
      <c r="H16" s="313">
        <f>SUM(H7:H15)</f>
        <v>1750195.9791187893</v>
      </c>
      <c r="I16" s="373">
        <f>SUM(I7:I15)</f>
        <v>641822.93243353686</v>
      </c>
      <c r="J16" s="373">
        <f>SUM(J7:J15)</f>
        <v>1405301.4873834187</v>
      </c>
      <c r="K16" s="313">
        <f>SUM(K7:K15)</f>
        <v>-296928.44069816615</v>
      </c>
      <c r="L16" s="106" t="str">
        <f>IF(K16&gt;0,"payable to IESO","receivable from IESO")</f>
        <v>receivable from IESO</v>
      </c>
      <c r="Q16" s="25"/>
      <c r="R16" s="25"/>
      <c r="S16" s="6"/>
      <c r="T16" s="25"/>
      <c r="Z16" s="25"/>
      <c r="AA16" s="25"/>
      <c r="AB16" s="6"/>
      <c r="AC16" s="25"/>
      <c r="AD16" s="5"/>
    </row>
    <row r="18" spans="1:27" ht="18.75" x14ac:dyDescent="0.3">
      <c r="A18" s="22" t="s">
        <v>343</v>
      </c>
      <c r="M18" s="10"/>
      <c r="V18" s="10"/>
      <c r="AA18" s="26"/>
    </row>
    <row r="19" spans="1:27" x14ac:dyDescent="0.25">
      <c r="A19" s="10"/>
      <c r="M19" s="10"/>
      <c r="N19" s="13"/>
      <c r="O19" s="13"/>
      <c r="P19" s="13"/>
      <c r="Q19" s="13"/>
      <c r="R19" s="13"/>
      <c r="S19" s="13"/>
      <c r="T19" s="13"/>
      <c r="V19" s="10"/>
      <c r="W19" s="13"/>
      <c r="X19" s="13"/>
      <c r="Y19" s="13"/>
      <c r="AA19" s="26"/>
    </row>
    <row r="20" spans="1:27" x14ac:dyDescent="0.25">
      <c r="A20" s="10" t="s">
        <v>223</v>
      </c>
      <c r="N20" s="9"/>
      <c r="O20" s="6"/>
      <c r="P20" s="25"/>
      <c r="Q20" s="25"/>
      <c r="R20" s="25"/>
      <c r="S20" s="4"/>
      <c r="T20" s="4"/>
      <c r="W20" s="9"/>
      <c r="X20" s="6"/>
      <c r="Y20" s="25"/>
      <c r="AA20" s="26"/>
    </row>
    <row r="21" spans="1:27" ht="30" x14ac:dyDescent="0.25">
      <c r="A21" s="34" t="s">
        <v>35</v>
      </c>
      <c r="B21" s="35" t="s">
        <v>291</v>
      </c>
      <c r="C21" s="36" t="s">
        <v>82</v>
      </c>
      <c r="D21" s="35" t="s">
        <v>29</v>
      </c>
      <c r="E21" s="36" t="s">
        <v>27</v>
      </c>
      <c r="F21" s="35" t="s">
        <v>7</v>
      </c>
      <c r="G21" s="35" t="s">
        <v>14</v>
      </c>
      <c r="H21" s="36" t="s">
        <v>174</v>
      </c>
      <c r="I21" s="36" t="s">
        <v>75</v>
      </c>
      <c r="J21" s="36" t="s">
        <v>76</v>
      </c>
      <c r="K21" s="36" t="s">
        <v>306</v>
      </c>
      <c r="N21" s="9"/>
      <c r="O21" s="6"/>
      <c r="P21" s="25"/>
      <c r="Q21" s="25"/>
      <c r="R21" s="25"/>
      <c r="S21" s="4"/>
      <c r="T21" s="4"/>
      <c r="W21" s="9"/>
      <c r="X21" s="6"/>
      <c r="Y21" s="25"/>
      <c r="AA21" s="26"/>
    </row>
    <row r="22" spans="1:27" x14ac:dyDescent="0.25">
      <c r="A22" s="37" t="s">
        <v>2</v>
      </c>
      <c r="B22" s="39">
        <f>+'Data for 2nd TU'!I38</f>
        <v>8.6999999999999994E-2</v>
      </c>
      <c r="C22" s="475">
        <f>+'Data for 2nd TU'!$K$106</f>
        <v>3.4737778817689184E-2</v>
      </c>
      <c r="D22" s="476">
        <f>+'Data for 2nd TU'!$G$56</f>
        <v>7.6060000000000003E-2</v>
      </c>
      <c r="E22" s="495">
        <f>+C22+D22</f>
        <v>0.11079777881768918</v>
      </c>
      <c r="F22" s="40">
        <f>+B22-E22</f>
        <v>-2.3797778817689186E-2</v>
      </c>
      <c r="G22" s="480">
        <f>'Data for 2nd TU'!J17</f>
        <v>546040.56782652694</v>
      </c>
      <c r="H22" s="108">
        <f>+G22*B22</f>
        <v>47505.529400907843</v>
      </c>
      <c r="I22" s="108">
        <f>+G22*C22</f>
        <v>18968.2364706433</v>
      </c>
      <c r="J22" s="108">
        <f>+G22*D22</f>
        <v>41531.845588885641</v>
      </c>
      <c r="K22" s="108">
        <f>+H22-I22-J22</f>
        <v>-12994.552658621098</v>
      </c>
      <c r="P22" s="25"/>
      <c r="Q22" s="25"/>
      <c r="R22" s="25"/>
      <c r="S22" s="25"/>
      <c r="T22" s="25"/>
      <c r="Y22" s="25"/>
      <c r="AA22" s="26"/>
    </row>
    <row r="23" spans="1:27" x14ac:dyDescent="0.25">
      <c r="A23" s="41" t="s">
        <v>3</v>
      </c>
      <c r="B23" s="32">
        <f>+'Data for 2nd TU'!I39</f>
        <v>0.10299999999999999</v>
      </c>
      <c r="C23" s="477">
        <f t="shared" ref="C23:C30" si="12">+$C$22</f>
        <v>3.4737778817689184E-2</v>
      </c>
      <c r="D23" s="487">
        <f>+'Data for 2nd TU'!$G$56</f>
        <v>7.6060000000000003E-2</v>
      </c>
      <c r="E23" s="81">
        <f t="shared" ref="E23:E26" si="13">+C23+D23</f>
        <v>0.11079777881768918</v>
      </c>
      <c r="F23" s="33">
        <f t="shared" ref="F23:F26" si="14">+B23-E23</f>
        <v>-7.7977788176891855E-3</v>
      </c>
      <c r="G23" s="480">
        <f>'Data for 2nd TU'!J18</f>
        <v>270935.35320288147</v>
      </c>
      <c r="H23" s="108">
        <f t="shared" ref="H23:H26" si="15">+G23*B23</f>
        <v>27906.341379896789</v>
      </c>
      <c r="I23" s="108">
        <f t="shared" ref="I23:I26" si="16">+G23*C23</f>
        <v>9411.6923734541924</v>
      </c>
      <c r="J23" s="108">
        <f t="shared" ref="J23:J26" si="17">+G23*D23</f>
        <v>20607.342964611165</v>
      </c>
      <c r="K23" s="108">
        <f t="shared" ref="K23:K26" si="18">+H23-I23-J23</f>
        <v>-2112.6939581685692</v>
      </c>
      <c r="AA23" s="26"/>
    </row>
    <row r="24" spans="1:27" x14ac:dyDescent="0.25">
      <c r="A24" s="319" t="s">
        <v>296</v>
      </c>
      <c r="B24" s="32">
        <f>+'Data for 2nd TU'!I40</f>
        <v>7.3999999999999996E-2</v>
      </c>
      <c r="C24" s="477">
        <f t="shared" si="12"/>
        <v>3.4737778817689184E-2</v>
      </c>
      <c r="D24" s="487">
        <f>+'Data for 2nd TU'!$G$56</f>
        <v>7.6060000000000003E-2</v>
      </c>
      <c r="E24" s="81">
        <f t="shared" si="13"/>
        <v>0.11079777881768918</v>
      </c>
      <c r="F24" s="33">
        <f t="shared" si="14"/>
        <v>-3.6797778817689183E-2</v>
      </c>
      <c r="G24" s="480">
        <f>'Data for 2nd TU'!J19</f>
        <v>10840029.471495211</v>
      </c>
      <c r="H24" s="108">
        <f t="shared" si="15"/>
        <v>802162.1808906456</v>
      </c>
      <c r="I24" s="108">
        <f t="shared" si="16"/>
        <v>376558.54615803284</v>
      </c>
      <c r="J24" s="108">
        <f t="shared" si="17"/>
        <v>824492.64160192583</v>
      </c>
      <c r="K24" s="108">
        <f t="shared" si="18"/>
        <v>-398889.00686931307</v>
      </c>
      <c r="M24" s="10"/>
      <c r="V24" s="10"/>
    </row>
    <row r="25" spans="1:27" x14ac:dyDescent="0.25">
      <c r="A25" s="319" t="s">
        <v>297</v>
      </c>
      <c r="B25" s="32">
        <f>+'Data for 2nd TU'!I41</f>
        <v>0.10199999999999999</v>
      </c>
      <c r="C25" s="477">
        <f t="shared" si="12"/>
        <v>3.4737778817689184E-2</v>
      </c>
      <c r="D25" s="487">
        <f>+'Data for 2nd TU'!$G$56</f>
        <v>7.6060000000000003E-2</v>
      </c>
      <c r="E25" s="81">
        <f t="shared" si="13"/>
        <v>0.11079777881768918</v>
      </c>
      <c r="F25" s="33">
        <f t="shared" si="14"/>
        <v>-8.7977788176891863E-3</v>
      </c>
      <c r="G25" s="480">
        <f>'Data for 2nd TU'!J20</f>
        <v>3205711.5058956612</v>
      </c>
      <c r="H25" s="108">
        <f t="shared" si="15"/>
        <v>326982.57360135741</v>
      </c>
      <c r="I25" s="108">
        <f t="shared" si="16"/>
        <v>111359.29724512479</v>
      </c>
      <c r="J25" s="108">
        <f t="shared" si="17"/>
        <v>243826.417138424</v>
      </c>
      <c r="K25" s="108">
        <f t="shared" si="18"/>
        <v>-28203.140782191389</v>
      </c>
      <c r="P25" s="5"/>
      <c r="Q25" s="5"/>
      <c r="R25" s="5"/>
      <c r="S25" s="5"/>
      <c r="T25" s="5"/>
      <c r="Y25" s="5"/>
    </row>
    <row r="26" spans="1:27" x14ac:dyDescent="0.25">
      <c r="A26" s="319" t="s">
        <v>298</v>
      </c>
      <c r="B26" s="32">
        <f>+'Data for 2nd TU'!I42</f>
        <v>0.151</v>
      </c>
      <c r="C26" s="477">
        <f t="shared" si="12"/>
        <v>3.4737778817689184E-2</v>
      </c>
      <c r="D26" s="487">
        <f>+'Data for 2nd TU'!$G$56</f>
        <v>7.6060000000000003E-2</v>
      </c>
      <c r="E26" s="81">
        <f t="shared" si="13"/>
        <v>0.11079777881768918</v>
      </c>
      <c r="F26" s="33">
        <f t="shared" si="14"/>
        <v>4.0202221182310816E-2</v>
      </c>
      <c r="G26" s="480">
        <f>'Data for 2nd TU'!J21</f>
        <v>3613505.6546091498</v>
      </c>
      <c r="H26" s="108">
        <f t="shared" si="15"/>
        <v>545639.35384598165</v>
      </c>
      <c r="I26" s="108">
        <f t="shared" si="16"/>
        <v>125525.16018628181</v>
      </c>
      <c r="J26" s="108">
        <f t="shared" si="17"/>
        <v>274843.24008957192</v>
      </c>
      <c r="K26" s="108">
        <f t="shared" si="18"/>
        <v>145270.95357012795</v>
      </c>
      <c r="P26" s="5"/>
      <c r="Q26" s="5"/>
      <c r="R26" s="5"/>
      <c r="S26" s="5"/>
      <c r="T26" s="5"/>
      <c r="Y26" s="5"/>
    </row>
    <row r="27" spans="1:27" x14ac:dyDescent="0.25">
      <c r="A27" s="320" t="s">
        <v>299</v>
      </c>
      <c r="B27" s="304">
        <f>+'Data for 2nd TU'!I43</f>
        <v>0</v>
      </c>
      <c r="C27" s="477">
        <f t="shared" si="12"/>
        <v>3.4737778817689184E-2</v>
      </c>
      <c r="D27" s="487">
        <f>+'Data for 2nd TU'!$G$56</f>
        <v>7.6060000000000003E-2</v>
      </c>
      <c r="E27" s="496">
        <f>+C27+D27</f>
        <v>0.11079777881768918</v>
      </c>
      <c r="F27" s="305">
        <f>+B27-E27</f>
        <v>-0.11079777881768918</v>
      </c>
      <c r="G27" s="480">
        <f>'Data for 2nd TU'!J22</f>
        <v>0</v>
      </c>
      <c r="H27" s="108">
        <f>+G27*B27</f>
        <v>0</v>
      </c>
      <c r="I27" s="108">
        <f>+G27*C27</f>
        <v>0</v>
      </c>
      <c r="J27" s="108">
        <f>+G27*D27</f>
        <v>0</v>
      </c>
      <c r="K27" s="108">
        <f>+H27-I27-J27</f>
        <v>0</v>
      </c>
      <c r="P27" s="5"/>
      <c r="Q27" s="5"/>
      <c r="R27" s="5"/>
      <c r="S27" s="5"/>
      <c r="T27" s="5"/>
      <c r="Y27" s="5"/>
    </row>
    <row r="28" spans="1:27" x14ac:dyDescent="0.25">
      <c r="A28" s="320" t="s">
        <v>300</v>
      </c>
      <c r="B28" s="304">
        <f>+'Data for 2nd TU'!I44</f>
        <v>0</v>
      </c>
      <c r="C28" s="477">
        <f t="shared" si="12"/>
        <v>3.4737778817689184E-2</v>
      </c>
      <c r="D28" s="487">
        <f>+'Data for 2nd TU'!$G$56</f>
        <v>7.6060000000000003E-2</v>
      </c>
      <c r="E28" s="496">
        <f t="shared" ref="E28:E30" si="19">+C28+D28</f>
        <v>0.11079777881768918</v>
      </c>
      <c r="F28" s="305">
        <f t="shared" ref="F28:F30" si="20">+B28-E28</f>
        <v>-0.11079777881768918</v>
      </c>
      <c r="G28" s="480">
        <f>'Data for 2nd TU'!J23</f>
        <v>0</v>
      </c>
      <c r="H28" s="108">
        <f t="shared" ref="H28:H30" si="21">+G28*B28</f>
        <v>0</v>
      </c>
      <c r="I28" s="108">
        <f t="shared" ref="I28:I30" si="22">+G28*C28</f>
        <v>0</v>
      </c>
      <c r="J28" s="108">
        <f t="shared" ref="J28:J30" si="23">+G28*D28</f>
        <v>0</v>
      </c>
      <c r="K28" s="108">
        <f t="shared" ref="K28:K30" si="24">+H28-I28-J28</f>
        <v>0</v>
      </c>
      <c r="P28" s="5"/>
      <c r="Q28" s="5"/>
      <c r="R28" s="5"/>
      <c r="S28" s="5"/>
      <c r="T28" s="5"/>
      <c r="Y28" s="5"/>
    </row>
    <row r="29" spans="1:27" x14ac:dyDescent="0.25">
      <c r="A29" s="320" t="s">
        <v>301</v>
      </c>
      <c r="B29" s="304">
        <f>+'Data for 2nd TU'!I45</f>
        <v>0</v>
      </c>
      <c r="C29" s="477">
        <f t="shared" si="12"/>
        <v>3.4737778817689184E-2</v>
      </c>
      <c r="D29" s="487">
        <f>+'Data for 2nd TU'!$G$56</f>
        <v>7.6060000000000003E-2</v>
      </c>
      <c r="E29" s="496">
        <f>+C29+D29</f>
        <v>0.11079777881768918</v>
      </c>
      <c r="F29" s="305">
        <f>+B29-E29</f>
        <v>-0.11079777881768918</v>
      </c>
      <c r="G29" s="480">
        <f>'Data for 2nd TU'!J24</f>
        <v>0</v>
      </c>
      <c r="H29" s="108">
        <f>+G29*B29</f>
        <v>0</v>
      </c>
      <c r="I29" s="108">
        <f>+G29*C29</f>
        <v>0</v>
      </c>
      <c r="J29" s="108">
        <f>+G29*D29</f>
        <v>0</v>
      </c>
      <c r="K29" s="108">
        <f>+H29-I29-J29</f>
        <v>0</v>
      </c>
      <c r="P29" s="5"/>
      <c r="Q29" s="5"/>
      <c r="R29" s="5"/>
      <c r="S29" s="5"/>
      <c r="T29" s="5"/>
      <c r="Y29" s="5"/>
    </row>
    <row r="30" spans="1:27" x14ac:dyDescent="0.25">
      <c r="A30" s="326" t="s">
        <v>302</v>
      </c>
      <c r="B30" s="307">
        <f>+'Data for 2nd TU'!I46</f>
        <v>0</v>
      </c>
      <c r="C30" s="478">
        <f t="shared" si="12"/>
        <v>3.4737778817689184E-2</v>
      </c>
      <c r="D30" s="488">
        <f>+'Data for 2nd TU'!$G$56</f>
        <v>7.6060000000000003E-2</v>
      </c>
      <c r="E30" s="497">
        <f t="shared" si="19"/>
        <v>0.11079777881768918</v>
      </c>
      <c r="F30" s="308">
        <f t="shared" si="20"/>
        <v>-0.11079777881768918</v>
      </c>
      <c r="G30" s="482">
        <f>'Data for 2nd TU'!J25</f>
        <v>0</v>
      </c>
      <c r="H30" s="108">
        <f t="shared" si="21"/>
        <v>0</v>
      </c>
      <c r="I30" s="108">
        <f t="shared" si="22"/>
        <v>0</v>
      </c>
      <c r="J30" s="108">
        <f t="shared" si="23"/>
        <v>0</v>
      </c>
      <c r="K30" s="108">
        <f t="shared" si="24"/>
        <v>0</v>
      </c>
      <c r="P30" s="5"/>
      <c r="Q30" s="5"/>
      <c r="R30" s="5"/>
      <c r="S30" s="5"/>
      <c r="T30" s="5"/>
      <c r="Y30" s="5"/>
    </row>
    <row r="31" spans="1:27" ht="15.75" thickBot="1" x14ac:dyDescent="0.3">
      <c r="B31" s="334">
        <f>+H31/G31</f>
        <v>9.4726937505514128E-2</v>
      </c>
      <c r="G31" s="322">
        <f>SUM(G22:G30)</f>
        <v>18476222.553029429</v>
      </c>
      <c r="H31" s="312">
        <f>SUM(H22:H30)</f>
        <v>1750195.9791187893</v>
      </c>
      <c r="I31" s="372">
        <f>SUM(I22:I30)</f>
        <v>641822.93243353686</v>
      </c>
      <c r="J31" s="372">
        <f>SUM(J22:J30)</f>
        <v>1405301.4873834187</v>
      </c>
      <c r="K31" s="312">
        <f>SUM(K22:K30)</f>
        <v>-296928.44069816615</v>
      </c>
      <c r="L31" s="106" t="str">
        <f>IF(K31&gt;0,"payable to IESO","receivable from IESO")</f>
        <v>receivable from IESO</v>
      </c>
      <c r="P31" s="25"/>
      <c r="Q31" s="25"/>
      <c r="R31" s="25"/>
      <c r="S31" s="25"/>
      <c r="T31" s="25"/>
      <c r="Y31" s="25"/>
    </row>
    <row r="32" spans="1:27" x14ac:dyDescent="0.25">
      <c r="K32" s="5"/>
      <c r="M32" s="6"/>
    </row>
    <row r="33" spans="1:14" ht="18.75" x14ac:dyDescent="0.3">
      <c r="A33" s="22" t="s">
        <v>136</v>
      </c>
      <c r="M33" s="52"/>
    </row>
    <row r="34" spans="1:14" ht="18.75" x14ac:dyDescent="0.3">
      <c r="A34" s="22"/>
      <c r="M34" s="52"/>
    </row>
    <row r="35" spans="1:14" x14ac:dyDescent="0.25">
      <c r="A35" s="10" t="s">
        <v>224</v>
      </c>
      <c r="M35" s="52"/>
    </row>
    <row r="36" spans="1:14" ht="45" x14ac:dyDescent="0.25">
      <c r="A36" s="54" t="s">
        <v>56</v>
      </c>
      <c r="B36" s="35" t="s">
        <v>291</v>
      </c>
      <c r="C36" s="36" t="s">
        <v>73</v>
      </c>
      <c r="D36" s="36" t="s">
        <v>54</v>
      </c>
      <c r="E36" s="36" t="s">
        <v>27</v>
      </c>
      <c r="F36" s="35" t="s">
        <v>7</v>
      </c>
      <c r="G36" s="35" t="s">
        <v>14</v>
      </c>
      <c r="H36" s="36" t="s">
        <v>79</v>
      </c>
      <c r="I36" s="36" t="s">
        <v>80</v>
      </c>
      <c r="J36" s="36" t="s">
        <v>81</v>
      </c>
      <c r="K36" s="36" t="s">
        <v>173</v>
      </c>
      <c r="M36" s="52"/>
      <c r="N36" s="27"/>
    </row>
    <row r="37" spans="1:14" x14ac:dyDescent="0.25">
      <c r="A37" s="37" t="s">
        <v>2</v>
      </c>
      <c r="B37" s="38">
        <f t="shared" ref="B37:G45" si="25">+B7-B22</f>
        <v>0</v>
      </c>
      <c r="C37" s="39">
        <f t="shared" si="25"/>
        <v>0</v>
      </c>
      <c r="D37" s="39">
        <f t="shared" si="25"/>
        <v>0</v>
      </c>
      <c r="E37" s="39">
        <f t="shared" si="25"/>
        <v>0</v>
      </c>
      <c r="F37" s="40">
        <f t="shared" si="25"/>
        <v>0</v>
      </c>
      <c r="G37" s="306">
        <f t="shared" si="25"/>
        <v>0</v>
      </c>
      <c r="H37" s="108">
        <f t="shared" ref="H37:J45" si="26">+H22-H7</f>
        <v>0</v>
      </c>
      <c r="I37" s="108">
        <f t="shared" si="26"/>
        <v>0</v>
      </c>
      <c r="J37" s="108">
        <f t="shared" si="26"/>
        <v>0</v>
      </c>
      <c r="K37" s="108">
        <f>+H37-I37-J37</f>
        <v>0</v>
      </c>
      <c r="M37" s="5"/>
      <c r="N37" s="30"/>
    </row>
    <row r="38" spans="1:14" x14ac:dyDescent="0.25">
      <c r="A38" s="41" t="s">
        <v>3</v>
      </c>
      <c r="B38" s="28">
        <f t="shared" si="25"/>
        <v>0</v>
      </c>
      <c r="C38" s="32">
        <f t="shared" si="25"/>
        <v>0</v>
      </c>
      <c r="D38" s="32">
        <f t="shared" si="25"/>
        <v>0</v>
      </c>
      <c r="E38" s="32">
        <f t="shared" si="25"/>
        <v>0</v>
      </c>
      <c r="F38" s="33">
        <f t="shared" si="25"/>
        <v>0</v>
      </c>
      <c r="G38" s="306">
        <f t="shared" si="25"/>
        <v>0</v>
      </c>
      <c r="H38" s="108">
        <f t="shared" si="26"/>
        <v>0</v>
      </c>
      <c r="I38" s="108">
        <f t="shared" si="26"/>
        <v>0</v>
      </c>
      <c r="J38" s="108">
        <f t="shared" si="26"/>
        <v>0</v>
      </c>
      <c r="K38" s="108">
        <f t="shared" ref="K38:K41" si="27">+H38-I38-J38</f>
        <v>0</v>
      </c>
      <c r="M38" s="5"/>
      <c r="N38" s="30"/>
    </row>
    <row r="39" spans="1:14" x14ac:dyDescent="0.25">
      <c r="A39" s="319" t="s">
        <v>296</v>
      </c>
      <c r="B39" s="28">
        <f t="shared" si="25"/>
        <v>0</v>
      </c>
      <c r="C39" s="32">
        <f t="shared" si="25"/>
        <v>0</v>
      </c>
      <c r="D39" s="32">
        <f t="shared" si="25"/>
        <v>0</v>
      </c>
      <c r="E39" s="32">
        <f t="shared" si="25"/>
        <v>0</v>
      </c>
      <c r="F39" s="33">
        <f t="shared" si="25"/>
        <v>0</v>
      </c>
      <c r="G39" s="306">
        <f t="shared" si="25"/>
        <v>0</v>
      </c>
      <c r="H39" s="108">
        <f t="shared" si="26"/>
        <v>0</v>
      </c>
      <c r="I39" s="108">
        <f t="shared" si="26"/>
        <v>0</v>
      </c>
      <c r="J39" s="108">
        <f t="shared" si="26"/>
        <v>0</v>
      </c>
      <c r="K39" s="108">
        <f t="shared" si="27"/>
        <v>0</v>
      </c>
      <c r="M39" s="5"/>
      <c r="N39" s="30"/>
    </row>
    <row r="40" spans="1:14" x14ac:dyDescent="0.25">
      <c r="A40" s="319" t="s">
        <v>297</v>
      </c>
      <c r="B40" s="28">
        <f t="shared" si="25"/>
        <v>0</v>
      </c>
      <c r="C40" s="32">
        <f t="shared" si="25"/>
        <v>0</v>
      </c>
      <c r="D40" s="32">
        <f t="shared" si="25"/>
        <v>0</v>
      </c>
      <c r="E40" s="32">
        <f t="shared" si="25"/>
        <v>0</v>
      </c>
      <c r="F40" s="33">
        <f t="shared" si="25"/>
        <v>0</v>
      </c>
      <c r="G40" s="306">
        <f>+G10-G25</f>
        <v>0</v>
      </c>
      <c r="H40" s="108">
        <f t="shared" si="26"/>
        <v>0</v>
      </c>
      <c r="I40" s="108">
        <f t="shared" si="26"/>
        <v>0</v>
      </c>
      <c r="J40" s="108">
        <f t="shared" si="26"/>
        <v>0</v>
      </c>
      <c r="K40" s="108">
        <f t="shared" si="27"/>
        <v>0</v>
      </c>
      <c r="M40" s="5"/>
      <c r="N40" s="30"/>
    </row>
    <row r="41" spans="1:14" x14ac:dyDescent="0.25">
      <c r="A41" s="319" t="s">
        <v>298</v>
      </c>
      <c r="B41" s="28">
        <f t="shared" si="25"/>
        <v>0</v>
      </c>
      <c r="C41" s="32">
        <f t="shared" si="25"/>
        <v>0</v>
      </c>
      <c r="D41" s="32">
        <f t="shared" si="25"/>
        <v>0</v>
      </c>
      <c r="E41" s="32">
        <f t="shared" si="25"/>
        <v>0</v>
      </c>
      <c r="F41" s="33">
        <f t="shared" si="25"/>
        <v>0</v>
      </c>
      <c r="G41" s="310">
        <f t="shared" si="25"/>
        <v>0</v>
      </c>
      <c r="H41" s="108">
        <f t="shared" si="26"/>
        <v>0</v>
      </c>
      <c r="I41" s="108">
        <f t="shared" si="26"/>
        <v>0</v>
      </c>
      <c r="J41" s="108">
        <f t="shared" si="26"/>
        <v>0</v>
      </c>
      <c r="K41" s="108">
        <f t="shared" si="27"/>
        <v>0</v>
      </c>
      <c r="M41" s="5"/>
      <c r="N41" s="30"/>
    </row>
    <row r="42" spans="1:14" x14ac:dyDescent="0.25">
      <c r="A42" s="320" t="s">
        <v>299</v>
      </c>
      <c r="B42" s="309">
        <f t="shared" si="25"/>
        <v>0</v>
      </c>
      <c r="C42" s="304">
        <f t="shared" si="25"/>
        <v>0</v>
      </c>
      <c r="D42" s="304">
        <f t="shared" si="25"/>
        <v>0</v>
      </c>
      <c r="E42" s="304">
        <f t="shared" si="25"/>
        <v>0</v>
      </c>
      <c r="F42" s="305">
        <f t="shared" si="25"/>
        <v>0</v>
      </c>
      <c r="G42" s="310">
        <f t="shared" si="25"/>
        <v>0</v>
      </c>
      <c r="H42" s="108">
        <f t="shared" si="26"/>
        <v>0</v>
      </c>
      <c r="I42" s="108">
        <f t="shared" si="26"/>
        <v>0</v>
      </c>
      <c r="J42" s="108">
        <f t="shared" si="26"/>
        <v>0</v>
      </c>
      <c r="K42" s="108">
        <f>+H42-I42-J42</f>
        <v>0</v>
      </c>
      <c r="M42" s="5"/>
      <c r="N42" s="30"/>
    </row>
    <row r="43" spans="1:14" x14ac:dyDescent="0.25">
      <c r="A43" s="320" t="s">
        <v>300</v>
      </c>
      <c r="B43" s="309">
        <f t="shared" si="25"/>
        <v>0</v>
      </c>
      <c r="C43" s="304">
        <f t="shared" si="25"/>
        <v>0</v>
      </c>
      <c r="D43" s="304">
        <f t="shared" si="25"/>
        <v>0</v>
      </c>
      <c r="E43" s="304">
        <f t="shared" si="25"/>
        <v>0</v>
      </c>
      <c r="F43" s="305">
        <f t="shared" si="25"/>
        <v>0</v>
      </c>
      <c r="G43" s="310">
        <f t="shared" si="25"/>
        <v>0</v>
      </c>
      <c r="H43" s="108">
        <f t="shared" si="26"/>
        <v>0</v>
      </c>
      <c r="I43" s="108">
        <f t="shared" si="26"/>
        <v>0</v>
      </c>
      <c r="J43" s="108">
        <f t="shared" si="26"/>
        <v>0</v>
      </c>
      <c r="K43" s="108">
        <f t="shared" ref="K43:K45" si="28">+H43-I43-J43</f>
        <v>0</v>
      </c>
      <c r="M43" s="5"/>
      <c r="N43" s="30"/>
    </row>
    <row r="44" spans="1:14" x14ac:dyDescent="0.25">
      <c r="A44" s="320" t="s">
        <v>301</v>
      </c>
      <c r="B44" s="309">
        <f t="shared" si="25"/>
        <v>0</v>
      </c>
      <c r="C44" s="304">
        <f t="shared" si="25"/>
        <v>0</v>
      </c>
      <c r="D44" s="304">
        <f t="shared" si="25"/>
        <v>0</v>
      </c>
      <c r="E44" s="304">
        <f t="shared" si="25"/>
        <v>0</v>
      </c>
      <c r="F44" s="305">
        <f t="shared" si="25"/>
        <v>0</v>
      </c>
      <c r="G44" s="310">
        <f t="shared" si="25"/>
        <v>0</v>
      </c>
      <c r="H44" s="108">
        <f t="shared" si="26"/>
        <v>0</v>
      </c>
      <c r="I44" s="108">
        <f t="shared" si="26"/>
        <v>0</v>
      </c>
      <c r="J44" s="108">
        <f t="shared" si="26"/>
        <v>0</v>
      </c>
      <c r="K44" s="108">
        <f>+H44-I44-J44</f>
        <v>0</v>
      </c>
      <c r="M44" s="5"/>
      <c r="N44" s="30"/>
    </row>
    <row r="45" spans="1:14" x14ac:dyDescent="0.25">
      <c r="A45" s="326" t="s">
        <v>302</v>
      </c>
      <c r="B45" s="311">
        <f t="shared" si="25"/>
        <v>0</v>
      </c>
      <c r="C45" s="307">
        <f t="shared" si="25"/>
        <v>0</v>
      </c>
      <c r="D45" s="307">
        <f t="shared" si="25"/>
        <v>0</v>
      </c>
      <c r="E45" s="307">
        <f t="shared" si="25"/>
        <v>0</v>
      </c>
      <c r="F45" s="308">
        <f t="shared" si="25"/>
        <v>0</v>
      </c>
      <c r="G45" s="310">
        <f t="shared" si="25"/>
        <v>0</v>
      </c>
      <c r="H45" s="108">
        <f t="shared" si="26"/>
        <v>0</v>
      </c>
      <c r="I45" s="108">
        <f t="shared" si="26"/>
        <v>0</v>
      </c>
      <c r="J45" s="108">
        <f t="shared" si="26"/>
        <v>0</v>
      </c>
      <c r="K45" s="108">
        <f t="shared" si="28"/>
        <v>0</v>
      </c>
      <c r="M45" s="5"/>
      <c r="N45" s="30"/>
    </row>
    <row r="46" spans="1:14" ht="15.75" thickBot="1" x14ac:dyDescent="0.3">
      <c r="G46" s="322">
        <f>SUM(G37:G45)</f>
        <v>0</v>
      </c>
      <c r="H46" s="313">
        <f>SUM(H37:H45)</f>
        <v>0</v>
      </c>
      <c r="I46" s="373">
        <f t="shared" ref="I46:K46" si="29">SUM(I37:I45)</f>
        <v>0</v>
      </c>
      <c r="J46" s="373">
        <f t="shared" si="29"/>
        <v>0</v>
      </c>
      <c r="K46" s="313">
        <f t="shared" si="29"/>
        <v>0</v>
      </c>
    </row>
    <row r="47" spans="1:14" ht="15.75" thickTop="1" x14ac:dyDescent="0.25">
      <c r="K47" s="5"/>
    </row>
    <row r="48" spans="1:14" x14ac:dyDescent="0.25">
      <c r="J48" s="1"/>
      <c r="K48" s="5"/>
    </row>
    <row r="49" spans="10:11" x14ac:dyDescent="0.25">
      <c r="J49" s="59"/>
      <c r="K49" s="5"/>
    </row>
    <row r="50" spans="10:11" x14ac:dyDescent="0.25">
      <c r="J50" s="2"/>
    </row>
  </sheetData>
  <pageMargins left="0.7" right="0.7" top="0.75" bottom="0.75" header="0.3" footer="0.3"/>
  <pageSetup paperSize="5" scale="6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1"/>
  <sheetViews>
    <sheetView workbookViewId="0">
      <selection sqref="A1:I14"/>
    </sheetView>
  </sheetViews>
  <sheetFormatPr defaultRowHeight="15" x14ac:dyDescent="0.25"/>
  <cols>
    <col min="1" max="1" width="23.28515625" customWidth="1"/>
    <col min="2" max="2" width="9.28515625" customWidth="1"/>
    <col min="3" max="4" width="14.7109375" customWidth="1"/>
    <col min="5" max="5" width="13.28515625" bestFit="1" customWidth="1"/>
    <col min="6" max="6" width="15" bestFit="1" customWidth="1"/>
    <col min="7" max="7" width="13" customWidth="1"/>
    <col min="8" max="11" width="14.7109375" customWidth="1"/>
    <col min="12" max="12" width="13.28515625" customWidth="1"/>
    <col min="13" max="13" width="13.42578125" customWidth="1"/>
    <col min="14" max="14" width="12.42578125" customWidth="1"/>
    <col min="15" max="15" width="13.28515625" customWidth="1"/>
    <col min="16" max="16" width="12.7109375" customWidth="1"/>
    <col min="17" max="17" width="9.28515625" customWidth="1"/>
  </cols>
  <sheetData>
    <row r="1" spans="1:9" ht="18.75" x14ac:dyDescent="0.3">
      <c r="A1" s="22" t="s">
        <v>125</v>
      </c>
    </row>
    <row r="2" spans="1:9" x14ac:dyDescent="0.25">
      <c r="A2" s="515" t="s">
        <v>441</v>
      </c>
      <c r="B2" s="515"/>
    </row>
    <row r="3" spans="1:9" x14ac:dyDescent="0.25">
      <c r="A3" s="23" t="s">
        <v>225</v>
      </c>
    </row>
    <row r="4" spans="1:9" ht="17.25" x14ac:dyDescent="0.25">
      <c r="C4" s="522" t="s">
        <v>171</v>
      </c>
      <c r="D4" s="522"/>
      <c r="E4" s="522"/>
      <c r="F4" s="522" t="s">
        <v>280</v>
      </c>
      <c r="G4" s="523"/>
      <c r="H4" s="523"/>
    </row>
    <row r="5" spans="1:9" ht="30" x14ac:dyDescent="0.25">
      <c r="B5" s="20" t="s">
        <v>36</v>
      </c>
      <c r="C5" s="42" t="s">
        <v>14</v>
      </c>
      <c r="D5" s="27" t="s">
        <v>48</v>
      </c>
      <c r="E5" s="20" t="s">
        <v>47</v>
      </c>
      <c r="F5" s="42" t="s">
        <v>14</v>
      </c>
      <c r="G5" s="27" t="s">
        <v>48</v>
      </c>
      <c r="H5" s="20" t="s">
        <v>47</v>
      </c>
      <c r="I5" s="27" t="s">
        <v>51</v>
      </c>
    </row>
    <row r="6" spans="1:9" x14ac:dyDescent="0.25">
      <c r="A6" t="s">
        <v>49</v>
      </c>
      <c r="B6" s="9">
        <f>+'Data for 2nd TU'!G57</f>
        <v>5.7119748290906137E-2</v>
      </c>
      <c r="C6" s="6">
        <f>+'Data for 2nd TU'!C11</f>
        <v>23706604.409244686</v>
      </c>
      <c r="D6" s="2">
        <f>E6/E8</f>
        <v>0.724332607560075</v>
      </c>
      <c r="E6" s="4">
        <f>B6*C6</f>
        <v>1354115.276688142</v>
      </c>
      <c r="F6" s="6">
        <f>+'Data for 2nd TU'!H11</f>
        <v>23706604.409244686</v>
      </c>
      <c r="G6" s="2">
        <f>F6/F8</f>
        <v>0.72433260756007489</v>
      </c>
      <c r="H6" s="4">
        <f>G6*H8</f>
        <v>1354115.276688142</v>
      </c>
      <c r="I6" s="4">
        <f>H6-E6</f>
        <v>0</v>
      </c>
    </row>
    <row r="7" spans="1:9" x14ac:dyDescent="0.25">
      <c r="A7" t="s">
        <v>50</v>
      </c>
      <c r="B7" s="9">
        <f>+'Data for 2nd TU'!G57</f>
        <v>5.7119748290906137E-2</v>
      </c>
      <c r="C7" s="6">
        <f>+'Data for 2nd TU'!C12</f>
        <v>9022288.5907553174</v>
      </c>
      <c r="D7" s="2">
        <f>E7/E8</f>
        <v>0.27566739243992505</v>
      </c>
      <c r="E7" s="4">
        <f>C7*B7</f>
        <v>515350.85331185797</v>
      </c>
      <c r="F7" s="6">
        <f>+'Data for 2nd TU'!H12</f>
        <v>9022288.5907553174</v>
      </c>
      <c r="G7" s="2">
        <f>F7/F8</f>
        <v>0.27566739243992505</v>
      </c>
      <c r="H7" s="4">
        <f>G7*H8</f>
        <v>515350.85331185791</v>
      </c>
      <c r="I7" s="4">
        <f>H7-E7</f>
        <v>0</v>
      </c>
    </row>
    <row r="8" spans="1:9" ht="15.75" thickBot="1" x14ac:dyDescent="0.3">
      <c r="B8" s="20"/>
      <c r="C8" s="15">
        <f t="shared" ref="C8:I8" si="0">SUM(C6:C7)</f>
        <v>32728893.000000004</v>
      </c>
      <c r="D8" s="55">
        <f>SUM(D6:D7)</f>
        <v>1</v>
      </c>
      <c r="E8" s="21">
        <f t="shared" si="0"/>
        <v>1869466.13</v>
      </c>
      <c r="F8" s="15">
        <f t="shared" si="0"/>
        <v>32728893.000000004</v>
      </c>
      <c r="G8" s="55">
        <f t="shared" si="0"/>
        <v>1</v>
      </c>
      <c r="H8" s="21">
        <f>+E8</f>
        <v>1869466.13</v>
      </c>
      <c r="I8" s="21">
        <f t="shared" si="0"/>
        <v>0</v>
      </c>
    </row>
    <row r="9" spans="1:9" ht="15.75" thickTop="1" x14ac:dyDescent="0.25"/>
    <row r="10" spans="1:9" ht="17.25" x14ac:dyDescent="0.25">
      <c r="A10" t="s">
        <v>344</v>
      </c>
      <c r="B10" s="9"/>
      <c r="C10" s="6"/>
      <c r="D10" s="6"/>
      <c r="E10" s="4"/>
      <c r="F10" s="6"/>
      <c r="G10" s="2"/>
      <c r="H10" s="4"/>
      <c r="I10" s="4"/>
    </row>
    <row r="11" spans="1:9" x14ac:dyDescent="0.25">
      <c r="B11" s="9"/>
      <c r="C11" s="6"/>
      <c r="D11" s="6"/>
      <c r="E11" s="4"/>
      <c r="F11" s="6"/>
      <c r="G11" s="2"/>
      <c r="H11" s="4"/>
      <c r="I11" s="4"/>
    </row>
    <row r="12" spans="1:9" x14ac:dyDescent="0.25">
      <c r="B12" s="9"/>
      <c r="C12" s="6"/>
      <c r="D12" s="6"/>
      <c r="E12" s="4"/>
      <c r="F12" s="6"/>
      <c r="G12" s="2"/>
      <c r="H12" s="4"/>
      <c r="I12" s="4"/>
    </row>
    <row r="13" spans="1:9" x14ac:dyDescent="0.25">
      <c r="B13" s="9"/>
      <c r="C13" s="6"/>
      <c r="D13" s="6"/>
      <c r="E13" s="4"/>
      <c r="F13" s="6"/>
      <c r="G13" s="2"/>
      <c r="H13" s="4"/>
      <c r="I13" s="4"/>
    </row>
    <row r="14" spans="1:9" x14ac:dyDescent="0.25">
      <c r="B14" s="9"/>
      <c r="C14" s="6"/>
      <c r="D14" s="6"/>
      <c r="E14" s="4"/>
      <c r="F14" s="6"/>
      <c r="G14" s="2"/>
      <c r="H14" s="4"/>
      <c r="I14" s="4"/>
    </row>
    <row r="15" spans="1:9" x14ac:dyDescent="0.25">
      <c r="B15" s="9"/>
      <c r="C15" s="6"/>
      <c r="D15" s="6"/>
      <c r="E15" s="4"/>
      <c r="F15" s="6"/>
      <c r="G15" s="2"/>
      <c r="H15" s="4"/>
      <c r="I15" s="4"/>
    </row>
    <row r="16" spans="1:9" x14ac:dyDescent="0.25">
      <c r="B16" s="9"/>
      <c r="C16" s="6"/>
      <c r="D16" s="6"/>
      <c r="E16" s="4"/>
      <c r="F16" s="6"/>
      <c r="G16" s="2"/>
      <c r="H16" s="4"/>
      <c r="I16" s="4"/>
    </row>
    <row r="17" spans="1:9" x14ac:dyDescent="0.25">
      <c r="B17" s="9"/>
      <c r="C17" s="6"/>
      <c r="D17" s="6"/>
      <c r="E17" s="4"/>
      <c r="F17" s="6"/>
      <c r="G17" s="2"/>
      <c r="H17" s="4"/>
      <c r="I17" s="4"/>
    </row>
    <row r="18" spans="1:9" x14ac:dyDescent="0.25">
      <c r="B18" s="9"/>
      <c r="C18" s="6"/>
      <c r="D18" s="6"/>
      <c r="E18" s="4"/>
      <c r="F18" s="6"/>
      <c r="G18" s="2"/>
      <c r="H18" s="4"/>
      <c r="I18" s="4"/>
    </row>
    <row r="23" spans="1:9" x14ac:dyDescent="0.25">
      <c r="A23" s="53"/>
    </row>
    <row r="24" spans="1:9" x14ac:dyDescent="0.25">
      <c r="A24" s="6"/>
      <c r="B24" s="6"/>
      <c r="C24" s="6"/>
      <c r="D24" s="6"/>
    </row>
    <row r="25" spans="1:9" x14ac:dyDescent="0.25">
      <c r="A25" s="17"/>
    </row>
    <row r="26" spans="1:9" x14ac:dyDescent="0.25">
      <c r="A26" s="2"/>
    </row>
    <row r="28" spans="1:9" ht="31.15" customHeight="1" x14ac:dyDescent="0.25">
      <c r="A28" s="13"/>
      <c r="B28" s="13"/>
      <c r="C28" s="13"/>
      <c r="D28" s="13"/>
    </row>
    <row r="29" spans="1:9" x14ac:dyDescent="0.25">
      <c r="A29" s="19"/>
      <c r="B29" s="19"/>
      <c r="C29" s="19"/>
      <c r="D29" s="19"/>
    </row>
    <row r="30" spans="1:9" x14ac:dyDescent="0.25">
      <c r="A30" s="19"/>
      <c r="B30" s="19"/>
      <c r="C30" s="19"/>
      <c r="D30" s="19"/>
    </row>
    <row r="31" spans="1:9" x14ac:dyDescent="0.25">
      <c r="A31" s="19"/>
      <c r="B31" s="19"/>
      <c r="C31" s="19"/>
      <c r="D31" s="19"/>
    </row>
    <row r="32" spans="1:9" x14ac:dyDescent="0.25">
      <c r="A32" s="19"/>
      <c r="B32" s="19"/>
      <c r="C32" s="19"/>
      <c r="D32" s="19"/>
    </row>
    <row r="33" spans="1:4" x14ac:dyDescent="0.25">
      <c r="A33" s="19"/>
      <c r="B33" s="19"/>
      <c r="C33" s="19"/>
      <c r="D33" s="19"/>
    </row>
    <row r="41" spans="1:4" ht="51.75" customHeight="1" x14ac:dyDescent="0.25"/>
  </sheetData>
  <mergeCells count="2">
    <mergeCell ref="C4:E4"/>
    <mergeCell ref="F4:H4"/>
  </mergeCells>
  <pageMargins left="0.7" right="0.7" top="0.75" bottom="0.75" header="0.3" footer="0.3"/>
  <pageSetup paperSize="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2"/>
  <sheetViews>
    <sheetView workbookViewId="0">
      <selection sqref="A1:H16"/>
    </sheetView>
  </sheetViews>
  <sheetFormatPr defaultRowHeight="15" x14ac:dyDescent="0.25"/>
  <cols>
    <col min="2" max="2" width="14.7109375" customWidth="1"/>
    <col min="3" max="3" width="19.7109375" customWidth="1"/>
    <col min="4" max="7" width="18.42578125" customWidth="1"/>
    <col min="8" max="8" width="15.7109375" bestFit="1" customWidth="1"/>
    <col min="12" max="14" width="15.42578125" customWidth="1"/>
  </cols>
  <sheetData>
    <row r="1" spans="1:10" x14ac:dyDescent="0.25">
      <c r="A1" s="522" t="s">
        <v>307</v>
      </c>
      <c r="B1" s="522"/>
      <c r="C1" s="522"/>
      <c r="D1" s="522"/>
      <c r="E1" s="522"/>
      <c r="F1" s="522"/>
      <c r="G1" s="522"/>
      <c r="H1" s="522"/>
    </row>
    <row r="2" spans="1:10" x14ac:dyDescent="0.25">
      <c r="A2" s="447" t="s">
        <v>415</v>
      </c>
    </row>
    <row r="3" spans="1:10" ht="90" x14ac:dyDescent="0.25">
      <c r="B3" s="79" t="s">
        <v>311</v>
      </c>
      <c r="C3" s="79" t="s">
        <v>308</v>
      </c>
      <c r="D3" s="79" t="s">
        <v>309</v>
      </c>
      <c r="E3" s="79" t="s">
        <v>309</v>
      </c>
      <c r="F3" s="79" t="s">
        <v>309</v>
      </c>
      <c r="G3" s="79" t="s">
        <v>309</v>
      </c>
      <c r="H3" s="79" t="s">
        <v>87</v>
      </c>
    </row>
    <row r="4" spans="1:10" ht="45" x14ac:dyDescent="0.25">
      <c r="A4" s="76" t="s">
        <v>141</v>
      </c>
      <c r="B4" s="139" t="s">
        <v>244</v>
      </c>
      <c r="C4" s="139" t="s">
        <v>88</v>
      </c>
      <c r="D4" s="139" t="s">
        <v>138</v>
      </c>
      <c r="E4" s="139" t="s">
        <v>139</v>
      </c>
      <c r="F4" s="139" t="s">
        <v>89</v>
      </c>
      <c r="G4" s="139" t="s">
        <v>86</v>
      </c>
      <c r="H4" s="140" t="s">
        <v>140</v>
      </c>
    </row>
    <row r="5" spans="1:10" x14ac:dyDescent="0.25">
      <c r="A5" s="141">
        <v>1588</v>
      </c>
      <c r="B5" s="96">
        <f>(-'Data for Settlement &amp; 1st TU'!D95-'Data for Settlement &amp; 1st TU'!D99)+('Data for Settlement &amp; 1st TU'!D80-'Data for Settlement &amp; 1st TU'!D76-'Data for Settlement &amp; 1st TU'!D74)</f>
        <v>-414360.46643143333</v>
      </c>
      <c r="C5" s="96">
        <f>+'Data for Settlement &amp; 1st TU'!I71-'Data for Settlement &amp; 1st TU'!D71+'Data for Settlement &amp; 1st TU'!I75-'Data for Settlement &amp; 1st TU'!D75</f>
        <v>132276.88543567085</v>
      </c>
      <c r="D5" s="335">
        <f>+'RPP Settlement &amp; 1st TU'!K46</f>
        <v>-424664.4241043051</v>
      </c>
      <c r="E5" s="335">
        <f>+'RPP 2nd TU'!K46</f>
        <v>0</v>
      </c>
      <c r="F5" s="335">
        <f>+'Data for 2nd TU'!D94-'Data for 2nd TU'!I94+'Data for 2nd TU'!D98-'Data for 2nd TU'!I98</f>
        <v>0</v>
      </c>
      <c r="G5" s="96">
        <f>+'Data for 2nd TU'!I74-'Data for 2nd TU'!D74</f>
        <v>0</v>
      </c>
      <c r="H5" s="336">
        <f>SUM(B5:G5)</f>
        <v>-706748.00510006759</v>
      </c>
      <c r="I5" s="106"/>
      <c r="J5" s="5"/>
    </row>
    <row r="6" spans="1:10" x14ac:dyDescent="0.25">
      <c r="A6" s="142">
        <v>1589</v>
      </c>
      <c r="B6" s="80">
        <f>+'Data for Settlement &amp; 1st TU'!D76-'Data for Settlement &amp; 1st TU'!D101</f>
        <v>-28197.424779034685</v>
      </c>
      <c r="C6" s="80">
        <f>(+'Data for Settlement &amp; 1st TU'!I74+'Data for Settlement &amp; 1st TU'!I76-'Data for Settlement &amp; 1st TU'!I100-'Data for Settlement &amp; 1st TU'!I101)-('Data for Settlement &amp; 1st TU'!D74+'Data for Settlement &amp; 1st TU'!D76-'Data for Settlement &amp; 1st TU'!D100-'Data for Settlement &amp; 1st TU'!D101)</f>
        <v>50342.099344328861</v>
      </c>
      <c r="D6" s="80">
        <v>0</v>
      </c>
      <c r="E6" s="80">
        <v>0</v>
      </c>
      <c r="F6" s="80">
        <f>+'Data for 2nd TU'!D100-'Data for 2nd TU'!I100</f>
        <v>0</v>
      </c>
      <c r="G6" s="80">
        <f>+'Data for 2nd TU'!I75-'Data for 2nd TU'!D75</f>
        <v>0</v>
      </c>
      <c r="H6" s="78">
        <f>SUM(B6:G6)</f>
        <v>22144.674565294175</v>
      </c>
      <c r="I6" s="106"/>
    </row>
    <row r="7" spans="1:10" x14ac:dyDescent="0.25">
      <c r="A7" s="106" t="s">
        <v>345</v>
      </c>
    </row>
    <row r="8" spans="1:10" x14ac:dyDescent="0.25">
      <c r="A8" s="522" t="s">
        <v>381</v>
      </c>
      <c r="B8" s="522"/>
      <c r="C8" s="522"/>
      <c r="D8" s="522"/>
      <c r="E8" s="522"/>
      <c r="F8" s="522"/>
      <c r="G8" s="522"/>
      <c r="H8" s="522"/>
    </row>
    <row r="10" spans="1:10" ht="75" x14ac:dyDescent="0.25">
      <c r="B10" s="79" t="s">
        <v>311</v>
      </c>
      <c r="C10" s="79" t="s">
        <v>310</v>
      </c>
      <c r="D10" s="79" t="s">
        <v>159</v>
      </c>
      <c r="E10" s="79" t="s">
        <v>159</v>
      </c>
      <c r="F10" s="79" t="s">
        <v>158</v>
      </c>
      <c r="G10" s="79" t="s">
        <v>158</v>
      </c>
      <c r="H10" s="79" t="s">
        <v>87</v>
      </c>
    </row>
    <row r="11" spans="1:10" ht="45" x14ac:dyDescent="0.25">
      <c r="A11" s="76" t="s">
        <v>141</v>
      </c>
      <c r="B11" s="139" t="s">
        <v>244</v>
      </c>
      <c r="C11" s="139" t="s">
        <v>88</v>
      </c>
      <c r="D11" s="139" t="s">
        <v>138</v>
      </c>
      <c r="E11" s="139" t="s">
        <v>139</v>
      </c>
      <c r="F11" s="139" t="s">
        <v>89</v>
      </c>
      <c r="G11" s="139" t="s">
        <v>86</v>
      </c>
      <c r="H11" s="140" t="s">
        <v>140</v>
      </c>
    </row>
    <row r="12" spans="1:10" x14ac:dyDescent="0.25">
      <c r="A12" s="142">
        <v>1589</v>
      </c>
      <c r="B12" s="80">
        <f>+B6</f>
        <v>-28197.424779034685</v>
      </c>
      <c r="C12" s="80">
        <f>+C6</f>
        <v>50342.099344328861</v>
      </c>
      <c r="D12" s="80">
        <f t="shared" ref="D12:G12" si="0">+D6</f>
        <v>0</v>
      </c>
      <c r="E12" s="80">
        <f t="shared" si="0"/>
        <v>0</v>
      </c>
      <c r="F12" s="80">
        <f t="shared" si="0"/>
        <v>0</v>
      </c>
      <c r="G12" s="80">
        <f t="shared" si="0"/>
        <v>0</v>
      </c>
      <c r="H12" s="78">
        <f>SUM(B12:G12)</f>
        <v>22144.674565294175</v>
      </c>
    </row>
  </sheetData>
  <mergeCells count="2">
    <mergeCell ref="A1:H1"/>
    <mergeCell ref="A8:H8"/>
  </mergeCells>
  <pageMargins left="0.7" right="0.7" top="0.75" bottom="0.75" header="0.3" footer="0.3"/>
  <pageSetup paperSize="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64"/>
  <sheetViews>
    <sheetView workbookViewId="0">
      <selection sqref="A1:J54"/>
    </sheetView>
  </sheetViews>
  <sheetFormatPr defaultRowHeight="15" x14ac:dyDescent="0.25"/>
  <cols>
    <col min="1" max="1" width="16.42578125" customWidth="1"/>
    <col min="2" max="2" width="15.7109375" customWidth="1"/>
    <col min="3" max="5" width="13.7109375" customWidth="1"/>
    <col min="6" max="9" width="13.28515625" customWidth="1"/>
    <col min="10" max="10" width="25.42578125" customWidth="1"/>
    <col min="11" max="11" width="37.28515625" style="66" customWidth="1"/>
    <col min="12" max="12" width="18" style="66" bestFit="1" customWidth="1"/>
    <col min="13" max="14" width="12.7109375" style="66" customWidth="1"/>
  </cols>
  <sheetData>
    <row r="1" spans="1:14" ht="28.5" x14ac:dyDescent="0.45">
      <c r="A1" s="524" t="s">
        <v>271</v>
      </c>
      <c r="B1" s="524"/>
      <c r="C1" s="524"/>
      <c r="D1" s="524"/>
      <c r="E1" s="524"/>
      <c r="F1" s="524"/>
      <c r="G1" s="524"/>
      <c r="H1" s="524"/>
      <c r="I1" s="524"/>
      <c r="J1" s="94"/>
    </row>
    <row r="2" spans="1:14" ht="26.25" x14ac:dyDescent="0.4">
      <c r="A2" s="136"/>
      <c r="B2" s="136"/>
      <c r="C2" s="136"/>
      <c r="D2" s="136"/>
      <c r="E2" s="136"/>
      <c r="F2" s="136"/>
      <c r="G2" s="136"/>
      <c r="H2" s="136"/>
      <c r="I2" s="136"/>
      <c r="J2" s="94"/>
    </row>
    <row r="3" spans="1:14" x14ac:dyDescent="0.25">
      <c r="A3" s="10" t="s">
        <v>266</v>
      </c>
    </row>
    <row r="4" spans="1:14" ht="29.65" customHeight="1" thickBot="1" x14ac:dyDescent="0.3">
      <c r="A4" s="537" t="s">
        <v>272</v>
      </c>
      <c r="B4" s="538"/>
      <c r="C4" s="539"/>
      <c r="D4" s="535" t="s">
        <v>245</v>
      </c>
      <c r="E4" s="536"/>
      <c r="F4" s="533" t="s">
        <v>246</v>
      </c>
      <c r="G4" s="534"/>
      <c r="I4" s="27"/>
    </row>
    <row r="5" spans="1:14" ht="30.75" thickBot="1" x14ac:dyDescent="0.3">
      <c r="A5" s="145" t="s">
        <v>249</v>
      </c>
      <c r="B5" s="165" t="s">
        <v>265</v>
      </c>
      <c r="C5" s="165" t="s">
        <v>264</v>
      </c>
      <c r="D5" s="158" t="s">
        <v>91</v>
      </c>
      <c r="E5" s="160" t="s">
        <v>37</v>
      </c>
      <c r="F5" s="194" t="s">
        <v>165</v>
      </c>
      <c r="G5" s="160" t="s">
        <v>37</v>
      </c>
      <c r="I5" s="27"/>
      <c r="K5" s="69"/>
      <c r="L5" s="68"/>
      <c r="M5" s="89"/>
    </row>
    <row r="6" spans="1:14" x14ac:dyDescent="0.25">
      <c r="A6" s="76" t="s">
        <v>252</v>
      </c>
      <c r="B6" s="166">
        <f>+'Data for 2nd TU'!H32</f>
        <v>24101335.616123002</v>
      </c>
      <c r="C6" s="166">
        <f>+'Data for 2nd TU'!I32</f>
        <v>24101335.616123002</v>
      </c>
      <c r="D6" s="337">
        <f>+'RPP 2nd TU'!B31</f>
        <v>9.4726937505514128E-2</v>
      </c>
      <c r="E6" s="338">
        <f>C6*D6</f>
        <v>2283045.7127079056</v>
      </c>
      <c r="F6" s="167"/>
      <c r="G6" s="167"/>
      <c r="K6" s="69"/>
      <c r="L6" s="68"/>
      <c r="M6" s="89"/>
    </row>
    <row r="7" spans="1:14" s="66" customFormat="1" x14ac:dyDescent="0.25">
      <c r="A7" s="76" t="s">
        <v>160</v>
      </c>
      <c r="B7" s="143">
        <v>0</v>
      </c>
      <c r="C7" s="143">
        <f>-'Data for 2nd TU'!H8</f>
        <v>7273976.6299999999</v>
      </c>
      <c r="D7" s="485">
        <f>+'Data for 2nd TU'!G98</f>
        <v>2.8882191835131788E-2</v>
      </c>
      <c r="E7" s="143">
        <f>+C7*D7</f>
        <v>210088.38843192544</v>
      </c>
      <c r="F7" s="76"/>
      <c r="G7" s="143">
        <f>+'Data for 2nd TU'!I99</f>
        <v>244539.94</v>
      </c>
      <c r="I7"/>
      <c r="J7"/>
      <c r="K7" s="69"/>
      <c r="L7" s="69"/>
      <c r="N7" s="69"/>
    </row>
    <row r="8" spans="1:14" s="66" customFormat="1" ht="15.75" thickBot="1" x14ac:dyDescent="0.3">
      <c r="A8" s="76" t="s">
        <v>161</v>
      </c>
      <c r="B8" s="144">
        <f>+'Data for 2nd TU'!H33</f>
        <v>9172515.8777489997</v>
      </c>
      <c r="C8" s="144">
        <f>+'Data for 2nd TU'!H33</f>
        <v>9172515.8777489997</v>
      </c>
      <c r="D8" s="486">
        <f>+'Data for 2nd TU'!G98</f>
        <v>2.8882191835131788E-2</v>
      </c>
      <c r="E8" s="144">
        <f>+D8*C8</f>
        <v>264922.36319193884</v>
      </c>
      <c r="F8" s="176">
        <f>+'Data for 2nd TU'!G54</f>
        <v>5.3770000000000005E-2</v>
      </c>
      <c r="G8" s="144">
        <f>B8*F8</f>
        <v>493206.17874656379</v>
      </c>
      <c r="I8"/>
      <c r="J8"/>
      <c r="N8" s="67"/>
    </row>
    <row r="9" spans="1:14" s="66" customFormat="1" ht="15.75" thickBot="1" x14ac:dyDescent="0.3">
      <c r="A9" s="76"/>
      <c r="B9" s="177">
        <f>SUM(B6:B8)</f>
        <v>33273851.493872002</v>
      </c>
      <c r="C9" s="177">
        <f>SUM(C6:C8)</f>
        <v>40547828.123871997</v>
      </c>
      <c r="D9" s="90"/>
      <c r="E9" s="339">
        <f>SUM(E6:E8)</f>
        <v>2758056.4643317699</v>
      </c>
      <c r="F9" s="90"/>
      <c r="G9" s="178">
        <f>SUM(G6:G8)</f>
        <v>737746.11874656379</v>
      </c>
      <c r="I9"/>
      <c r="J9"/>
      <c r="K9" s="69"/>
      <c r="L9" s="82"/>
      <c r="M9" s="88"/>
    </row>
    <row r="10" spans="1:14" s="66" customFormat="1" ht="15.75" thickTop="1" x14ac:dyDescent="0.25">
      <c r="A10"/>
      <c r="B10" s="6"/>
      <c r="C10" s="6"/>
      <c r="D10"/>
      <c r="E10" s="6"/>
      <c r="F10"/>
      <c r="G10" s="6"/>
      <c r="I10"/>
      <c r="J10"/>
      <c r="K10" s="69"/>
      <c r="L10" s="82"/>
      <c r="M10" s="88"/>
    </row>
    <row r="11" spans="1:14" ht="15.75" thickBot="1" x14ac:dyDescent="0.3">
      <c r="A11" s="10" t="s">
        <v>267</v>
      </c>
      <c r="K11" s="69"/>
      <c r="L11" s="68"/>
      <c r="M11" s="88"/>
    </row>
    <row r="12" spans="1:14" s="66" customFormat="1" ht="16.5" thickBot="1" x14ac:dyDescent="0.3">
      <c r="A12" s="196"/>
      <c r="B12" s="197"/>
      <c r="C12" s="199"/>
      <c r="D12" s="525" t="s">
        <v>247</v>
      </c>
      <c r="E12" s="526"/>
      <c r="F12" s="526"/>
      <c r="G12" s="526"/>
      <c r="H12" s="526"/>
      <c r="I12" s="527"/>
      <c r="N12" s="67"/>
    </row>
    <row r="13" spans="1:14" s="66" customFormat="1" ht="29.65" customHeight="1" thickBot="1" x14ac:dyDescent="0.3">
      <c r="A13" s="540" t="s">
        <v>272</v>
      </c>
      <c r="B13" s="541"/>
      <c r="C13" s="542"/>
      <c r="D13" s="530" t="s">
        <v>163</v>
      </c>
      <c r="E13" s="532"/>
      <c r="F13" s="530" t="s">
        <v>164</v>
      </c>
      <c r="G13" s="531"/>
      <c r="H13" s="161" t="s">
        <v>283</v>
      </c>
      <c r="I13" s="198" t="s">
        <v>168</v>
      </c>
    </row>
    <row r="14" spans="1:14" s="66" customFormat="1" ht="48" customHeight="1" thickBot="1" x14ac:dyDescent="0.3">
      <c r="A14" s="145" t="s">
        <v>249</v>
      </c>
      <c r="B14" s="165" t="s">
        <v>262</v>
      </c>
      <c r="C14" s="165" t="s">
        <v>263</v>
      </c>
      <c r="D14" s="194" t="s">
        <v>281</v>
      </c>
      <c r="E14" s="160" t="s">
        <v>37</v>
      </c>
      <c r="F14" s="194" t="s">
        <v>282</v>
      </c>
      <c r="G14" s="160" t="s">
        <v>37</v>
      </c>
      <c r="H14" s="161" t="s">
        <v>37</v>
      </c>
      <c r="I14" s="162" t="s">
        <v>37</v>
      </c>
    </row>
    <row r="15" spans="1:14" s="66" customFormat="1" x14ac:dyDescent="0.25">
      <c r="A15" s="157" t="s">
        <v>253</v>
      </c>
      <c r="B15" s="168">
        <f>+'Data for 2nd TU'!H11</f>
        <v>23706604.409244686</v>
      </c>
      <c r="C15" s="169">
        <f>+'Data for 2nd TU'!I11</f>
        <v>23706604.409244686</v>
      </c>
      <c r="D15" s="170">
        <f>+'Data for 2nd TU'!G52</f>
        <v>3.779538801854293E-2</v>
      </c>
      <c r="E15" s="169">
        <f>C15*D15</f>
        <v>896000.31224950356</v>
      </c>
      <c r="F15" s="170">
        <f>+'Data for 2nd TU'!G57</f>
        <v>5.7119748290906137E-2</v>
      </c>
      <c r="G15" s="169">
        <f>B15*F15</f>
        <v>1354115.276688142</v>
      </c>
      <c r="H15" s="340">
        <f>+'RPP 2nd TU'!K31</f>
        <v>-296928.44069816615</v>
      </c>
      <c r="I15" s="341">
        <f>+E15+G15+H15</f>
        <v>1953187.1482394796</v>
      </c>
      <c r="J15" s="69"/>
      <c r="K15" s="69"/>
    </row>
    <row r="16" spans="1:14" s="66" customFormat="1" x14ac:dyDescent="0.25">
      <c r="A16" s="76" t="s">
        <v>160</v>
      </c>
      <c r="B16" s="171">
        <v>0</v>
      </c>
      <c r="C16" s="134">
        <f>-'Data for 2nd TU'!H8</f>
        <v>7273976.6299999999</v>
      </c>
      <c r="D16" s="172">
        <f>+'Data for 2nd TU'!G53</f>
        <v>3.1424393970720041E-2</v>
      </c>
      <c r="E16" s="134">
        <f>C16*D16</f>
        <v>228580.30735493047</v>
      </c>
      <c r="F16" s="172"/>
      <c r="G16" s="134"/>
      <c r="H16" s="173"/>
      <c r="I16" s="174">
        <f>+E16+G16+H16</f>
        <v>228580.30735493047</v>
      </c>
      <c r="J16" s="69"/>
      <c r="K16" s="84"/>
    </row>
    <row r="17" spans="1:12" s="66" customFormat="1" ht="15.75" thickBot="1" x14ac:dyDescent="0.3">
      <c r="A17" s="76" t="s">
        <v>161</v>
      </c>
      <c r="B17" s="171">
        <f>+'Data for 2nd TU'!H12</f>
        <v>9022288.5907553174</v>
      </c>
      <c r="C17" s="134">
        <f>+'Data for 2nd TU'!H12</f>
        <v>9022288.5907553174</v>
      </c>
      <c r="D17" s="176">
        <f>+'Data for 2nd TU'!G53</f>
        <v>3.1424393970720041E-2</v>
      </c>
      <c r="E17" s="134">
        <f>C17*D17</f>
        <v>283519.95119342761</v>
      </c>
      <c r="F17" s="176"/>
      <c r="G17" s="175"/>
      <c r="H17" s="173"/>
      <c r="I17" s="174">
        <f>+E17+G17+H17</f>
        <v>283519.95119342761</v>
      </c>
      <c r="J17" s="69"/>
    </row>
    <row r="18" spans="1:12" s="66" customFormat="1" ht="90.75" thickBot="1" x14ac:dyDescent="0.3">
      <c r="A18" s="77" t="s">
        <v>346</v>
      </c>
      <c r="B18" s="410"/>
      <c r="C18" s="411"/>
      <c r="D18" s="91"/>
      <c r="E18" s="411"/>
      <c r="F18" s="91"/>
      <c r="G18" s="413"/>
      <c r="H18"/>
      <c r="I18" s="412">
        <f>+E18+G18+H18</f>
        <v>0</v>
      </c>
      <c r="J18" s="489" t="s">
        <v>430</v>
      </c>
    </row>
    <row r="19" spans="1:12" s="66" customFormat="1" ht="15.75" thickBot="1" x14ac:dyDescent="0.3">
      <c r="A19" s="76"/>
      <c r="B19" s="177">
        <f>SUM(B15:B18)</f>
        <v>32728893.000000004</v>
      </c>
      <c r="C19" s="177">
        <f>SUM(C15:C18)</f>
        <v>40002869.630000003</v>
      </c>
      <c r="D19" s="90"/>
      <c r="E19" s="177">
        <f>SUM(E15:E18)</f>
        <v>1408100.5707978618</v>
      </c>
      <c r="F19" s="90"/>
      <c r="G19" s="414">
        <f>SUM(G15:G18)</f>
        <v>1354115.276688142</v>
      </c>
      <c r="H19" s="342">
        <f>SUM(H15:H18)</f>
        <v>-296928.44069816615</v>
      </c>
      <c r="I19" s="415">
        <f>SUM(I15:I18)</f>
        <v>2465287.4067878379</v>
      </c>
      <c r="J19" s="69"/>
      <c r="K19" s="69"/>
      <c r="L19" s="69"/>
    </row>
    <row r="20" spans="1:12" s="66" customFormat="1" ht="15.75" thickTop="1" x14ac:dyDescent="0.25">
      <c r="A20"/>
      <c r="B20"/>
      <c r="C20"/>
      <c r="D20"/>
      <c r="E20" s="241"/>
      <c r="F20" s="133"/>
      <c r="G20"/>
      <c r="H20"/>
      <c r="I20" s="446"/>
      <c r="J20" s="6" t="s">
        <v>90</v>
      </c>
      <c r="K20" s="69"/>
    </row>
    <row r="21" spans="1:12" s="66" customFormat="1" x14ac:dyDescent="0.25">
      <c r="A21" s="10" t="s">
        <v>268</v>
      </c>
      <c r="B21"/>
      <c r="C21"/>
      <c r="D21"/>
      <c r="E21"/>
      <c r="F21"/>
      <c r="G21"/>
      <c r="H21"/>
      <c r="I21"/>
      <c r="J21"/>
      <c r="K21" s="68"/>
    </row>
    <row r="22" spans="1:12" s="66" customFormat="1" ht="16.149999999999999" customHeight="1" thickBot="1" x14ac:dyDescent="0.3">
      <c r="A22" s="537" t="s">
        <v>272</v>
      </c>
      <c r="B22" s="538"/>
      <c r="C22" s="539"/>
      <c r="D22" s="528" t="s">
        <v>248</v>
      </c>
      <c r="E22" s="529"/>
      <c r="F22" s="41"/>
      <c r="G22"/>
      <c r="H22"/>
      <c r="I22"/>
      <c r="J22"/>
      <c r="K22" s="67"/>
    </row>
    <row r="23" spans="1:12" s="66" customFormat="1" ht="45" customHeight="1" thickBot="1" x14ac:dyDescent="0.3">
      <c r="A23" s="145" t="s">
        <v>249</v>
      </c>
      <c r="B23" s="165" t="s">
        <v>262</v>
      </c>
      <c r="C23" s="165" t="s">
        <v>263</v>
      </c>
      <c r="D23" s="194" t="s">
        <v>282</v>
      </c>
      <c r="E23" s="159" t="s">
        <v>37</v>
      </c>
      <c r="F23"/>
      <c r="I23"/>
      <c r="J23"/>
    </row>
    <row r="24" spans="1:12" s="66" customFormat="1" x14ac:dyDescent="0.25">
      <c r="A24" s="76" t="s">
        <v>160</v>
      </c>
      <c r="B24" s="171"/>
      <c r="C24" s="134"/>
      <c r="D24" s="172"/>
      <c r="E24" s="134">
        <f>+'Data for 2nd TU'!I99</f>
        <v>244539.94</v>
      </c>
      <c r="F24" s="410"/>
      <c r="I24"/>
      <c r="J24"/>
    </row>
    <row r="25" spans="1:12" s="66" customFormat="1" ht="15.75" thickBot="1" x14ac:dyDescent="0.3">
      <c r="A25" s="76" t="s">
        <v>161</v>
      </c>
      <c r="B25" s="171">
        <f>B17</f>
        <v>9022288.5907553174</v>
      </c>
      <c r="C25" s="134"/>
      <c r="D25" s="176">
        <f>+'Data for 2nd TU'!G57</f>
        <v>5.7119748290906137E-2</v>
      </c>
      <c r="E25" s="134">
        <f>+D25*B25</f>
        <v>515350.85331185797</v>
      </c>
      <c r="F25" s="41"/>
      <c r="I25"/>
      <c r="J25"/>
    </row>
    <row r="26" spans="1:12" s="66" customFormat="1" ht="120.75" thickBot="1" x14ac:dyDescent="0.3">
      <c r="A26" s="77" t="s">
        <v>346</v>
      </c>
      <c r="B26" s="416"/>
      <c r="C26" s="417"/>
      <c r="D26" s="91"/>
      <c r="E26" s="419"/>
      <c r="F26" s="489" t="s">
        <v>430</v>
      </c>
      <c r="I26"/>
      <c r="J26"/>
    </row>
    <row r="27" spans="1:12" s="66" customFormat="1" ht="15.75" thickBot="1" x14ac:dyDescent="0.3">
      <c r="A27" s="76"/>
      <c r="B27" s="144">
        <f>+B24+B25</f>
        <v>9022288.5907553174</v>
      </c>
      <c r="C27" s="144">
        <f>+C24+C25</f>
        <v>0</v>
      </c>
      <c r="D27" s="91"/>
      <c r="E27" s="418">
        <f>+E24+E25+E26</f>
        <v>759890.79331185797</v>
      </c>
      <c r="F27" s="41"/>
      <c r="H27" s="69"/>
      <c r="I27"/>
      <c r="J27"/>
      <c r="K27" s="67"/>
    </row>
    <row r="28" spans="1:12" s="66" customFormat="1" x14ac:dyDescent="0.25">
      <c r="A28"/>
      <c r="B28" s="6"/>
      <c r="C28" s="6"/>
      <c r="D28" s="9"/>
      <c r="E28" s="6"/>
      <c r="F28"/>
      <c r="H28" s="69"/>
      <c r="I28"/>
      <c r="J28"/>
      <c r="K28" s="67"/>
    </row>
    <row r="29" spans="1:12" s="66" customFormat="1" ht="15.75" thickBot="1" x14ac:dyDescent="0.3">
      <c r="A29" s="10" t="s">
        <v>269</v>
      </c>
      <c r="B29" s="9"/>
      <c r="C29" s="6"/>
      <c r="D29"/>
      <c r="E29"/>
      <c r="F29"/>
      <c r="G29"/>
      <c r="H29" s="6" t="s">
        <v>90</v>
      </c>
      <c r="I29"/>
      <c r="J29"/>
    </row>
    <row r="30" spans="1:12" s="66" customFormat="1" ht="15" customHeight="1" thickBot="1" x14ac:dyDescent="0.3">
      <c r="A30" s="37"/>
      <c r="B30" s="195"/>
      <c r="C30" s="548" t="s">
        <v>258</v>
      </c>
      <c r="D30" s="526"/>
      <c r="E30" s="526"/>
      <c r="F30" s="526"/>
      <c r="G30" s="526"/>
      <c r="H30" s="526"/>
      <c r="I30" s="527"/>
    </row>
    <row r="31" spans="1:12" s="66" customFormat="1" ht="15.75" thickBot="1" x14ac:dyDescent="0.3">
      <c r="A31" s="562"/>
      <c r="B31" s="563"/>
      <c r="C31" s="93"/>
      <c r="D31" s="27"/>
      <c r="F31" s="570"/>
      <c r="G31" s="571"/>
      <c r="H31" s="571"/>
      <c r="I31" s="572"/>
    </row>
    <row r="32" spans="1:12" s="66" customFormat="1" ht="15" customHeight="1" thickBot="1" x14ac:dyDescent="0.3">
      <c r="A32" s="564"/>
      <c r="B32" s="565"/>
      <c r="C32" s="546" t="s">
        <v>254</v>
      </c>
      <c r="D32" s="547"/>
      <c r="E32" s="343">
        <f>+I19-E9</f>
        <v>-292769.05754393199</v>
      </c>
      <c r="F32" s="552" t="s">
        <v>255</v>
      </c>
      <c r="G32" s="553"/>
      <c r="H32" s="553"/>
      <c r="I32" s="554"/>
      <c r="J32" s="69"/>
    </row>
    <row r="33" spans="1:10" s="66" customFormat="1" ht="16.5" thickTop="1" thickBot="1" x14ac:dyDescent="0.3">
      <c r="A33" s="566"/>
      <c r="B33" s="567"/>
      <c r="C33" s="92"/>
      <c r="E33" s="69"/>
      <c r="F33" s="549"/>
      <c r="G33" s="550"/>
      <c r="H33" s="550"/>
      <c r="I33" s="551"/>
    </row>
    <row r="34" spans="1:10" s="66" customFormat="1" ht="16.5" thickBot="1" x14ac:dyDescent="0.3">
      <c r="A34" s="145" t="s">
        <v>249</v>
      </c>
      <c r="B34" s="146" t="s">
        <v>261</v>
      </c>
      <c r="C34" s="147" t="s">
        <v>166</v>
      </c>
      <c r="D34" s="148" t="s">
        <v>167</v>
      </c>
      <c r="E34" s="149" t="s">
        <v>170</v>
      </c>
      <c r="F34" s="555" t="s">
        <v>169</v>
      </c>
      <c r="G34" s="556"/>
      <c r="H34" s="556"/>
      <c r="I34" s="557"/>
    </row>
    <row r="35" spans="1:10" s="66" customFormat="1" x14ac:dyDescent="0.25">
      <c r="A35" s="154" t="s">
        <v>252</v>
      </c>
      <c r="B35" s="155" t="s">
        <v>250</v>
      </c>
      <c r="C35" s="180">
        <f>+C15</f>
        <v>23706604.409244686</v>
      </c>
      <c r="D35" s="181">
        <f>((+I15)/C15)-D6</f>
        <v>-1.2336937043119361E-2</v>
      </c>
      <c r="E35" s="182">
        <f>+C35*D35</f>
        <v>-292466.88610298757</v>
      </c>
      <c r="F35" s="553" t="s">
        <v>256</v>
      </c>
      <c r="G35" s="553"/>
      <c r="H35" s="553"/>
      <c r="I35" s="554"/>
    </row>
    <row r="36" spans="1:10" s="66" customFormat="1" x14ac:dyDescent="0.25">
      <c r="A36" s="154" t="s">
        <v>252</v>
      </c>
      <c r="B36" s="155" t="s">
        <v>251</v>
      </c>
      <c r="C36" s="183">
        <f>+C15-C6</f>
        <v>-394731.20687831566</v>
      </c>
      <c r="D36" s="344">
        <f>D6</f>
        <v>9.4726937505514128E-2</v>
      </c>
      <c r="E36" s="345">
        <f>+C36*D36</f>
        <v>-37391.678365438376</v>
      </c>
      <c r="F36" s="553" t="s">
        <v>284</v>
      </c>
      <c r="G36" s="553"/>
      <c r="H36" s="553"/>
      <c r="I36" s="554"/>
    </row>
    <row r="37" spans="1:10" s="66" customFormat="1" x14ac:dyDescent="0.25">
      <c r="A37" s="156" t="s">
        <v>161</v>
      </c>
      <c r="B37" s="155" t="s">
        <v>162</v>
      </c>
      <c r="C37" s="183">
        <f>+C16+C17</f>
        <v>16296265.220755316</v>
      </c>
      <c r="D37" s="185">
        <f>+D16-D7</f>
        <v>2.5422021355882528E-3</v>
      </c>
      <c r="E37" s="184">
        <f>+C37*D37</f>
        <v>41428.400246316734</v>
      </c>
      <c r="F37" s="553" t="s">
        <v>256</v>
      </c>
      <c r="G37" s="553"/>
      <c r="H37" s="553"/>
      <c r="I37" s="554"/>
      <c r="J37"/>
    </row>
    <row r="38" spans="1:10" s="66" customFormat="1" ht="15.75" thickBot="1" x14ac:dyDescent="0.3">
      <c r="A38" s="154" t="s">
        <v>161</v>
      </c>
      <c r="B38" s="155" t="s">
        <v>251</v>
      </c>
      <c r="C38" s="186">
        <f>(+C17+C16)-(C8+C7)</f>
        <v>-150227.28699368238</v>
      </c>
      <c r="D38" s="187">
        <f>+D7</f>
        <v>2.8882191835131788E-2</v>
      </c>
      <c r="E38" s="188">
        <f>+C38*D38</f>
        <v>-4338.8933218229331</v>
      </c>
      <c r="F38" s="553" t="s">
        <v>284</v>
      </c>
      <c r="G38" s="553"/>
      <c r="H38" s="553"/>
      <c r="I38" s="554"/>
      <c r="J38"/>
    </row>
    <row r="39" spans="1:10" s="66" customFormat="1" ht="45.75" thickBot="1" x14ac:dyDescent="0.3">
      <c r="A39" s="156" t="s">
        <v>347</v>
      </c>
      <c r="B39" s="155"/>
      <c r="C39" s="420"/>
      <c r="D39" s="421"/>
      <c r="E39" s="424">
        <f>+G18</f>
        <v>0</v>
      </c>
      <c r="F39" s="560" t="s">
        <v>348</v>
      </c>
      <c r="G39" s="560"/>
      <c r="H39" s="560"/>
      <c r="I39" s="561"/>
      <c r="J39" s="489" t="s">
        <v>430</v>
      </c>
    </row>
    <row r="40" spans="1:10" s="66" customFormat="1" ht="15.75" thickBot="1" x14ac:dyDescent="0.3">
      <c r="A40" s="77"/>
      <c r="B40" s="76"/>
      <c r="C40" s="164" t="s">
        <v>260</v>
      </c>
      <c r="D40" s="151"/>
      <c r="E40" s="422">
        <f>SUM(E35:E39)</f>
        <v>-292769.05754393211</v>
      </c>
      <c r="F40" s="552"/>
      <c r="G40" s="553"/>
      <c r="H40" s="553"/>
      <c r="I40" s="554"/>
    </row>
    <row r="41" spans="1:10" s="66" customFormat="1" ht="15.75" thickTop="1" x14ac:dyDescent="0.25">
      <c r="B41"/>
      <c r="C41" s="179"/>
      <c r="D41"/>
      <c r="E41" s="6"/>
      <c r="F41" s="179"/>
      <c r="G41" s="179"/>
      <c r="H41" s="179"/>
      <c r="I41" s="179"/>
    </row>
    <row r="42" spans="1:10" s="66" customFormat="1" ht="15.75" thickBot="1" x14ac:dyDescent="0.3">
      <c r="A42" s="10" t="s">
        <v>270</v>
      </c>
      <c r="B42" s="6"/>
      <c r="C42" s="6"/>
      <c r="D42"/>
      <c r="E42"/>
      <c r="F42"/>
      <c r="G42"/>
      <c r="H42"/>
      <c r="J42"/>
    </row>
    <row r="43" spans="1:10" s="66" customFormat="1" ht="16.5" thickBot="1" x14ac:dyDescent="0.3">
      <c r="A43" s="37"/>
      <c r="B43" s="133"/>
      <c r="C43" s="548" t="s">
        <v>259</v>
      </c>
      <c r="D43" s="526"/>
      <c r="E43" s="526"/>
      <c r="F43" s="526" t="s">
        <v>169</v>
      </c>
      <c r="G43" s="526"/>
      <c r="H43" s="526"/>
      <c r="I43" s="527"/>
    </row>
    <row r="44" spans="1:10" s="66" customFormat="1" ht="15.75" thickBot="1" x14ac:dyDescent="0.3">
      <c r="A44" s="562"/>
      <c r="B44" s="563"/>
      <c r="C44" s="163"/>
      <c r="D44" s="27"/>
      <c r="E44"/>
      <c r="F44" s="549"/>
      <c r="G44" s="550"/>
      <c r="H44" s="550"/>
      <c r="I44" s="551"/>
    </row>
    <row r="45" spans="1:10" s="66" customFormat="1" ht="15" customHeight="1" thickBot="1" x14ac:dyDescent="0.3">
      <c r="A45" s="564"/>
      <c r="B45" s="565"/>
      <c r="C45" s="546" t="s">
        <v>254</v>
      </c>
      <c r="D45" s="547"/>
      <c r="E45" s="150">
        <f>+E27-G9</f>
        <v>22144.674565294175</v>
      </c>
      <c r="F45" s="552" t="s">
        <v>255</v>
      </c>
      <c r="G45" s="553"/>
      <c r="H45" s="553"/>
      <c r="I45" s="554"/>
    </row>
    <row r="46" spans="1:10" s="66" customFormat="1" ht="16.5" thickTop="1" thickBot="1" x14ac:dyDescent="0.3">
      <c r="A46" s="566"/>
      <c r="B46" s="567"/>
      <c r="C46" s="92"/>
      <c r="E46" s="69"/>
      <c r="F46" s="549"/>
      <c r="G46" s="550"/>
      <c r="H46" s="550"/>
      <c r="I46" s="551"/>
    </row>
    <row r="47" spans="1:10" s="66" customFormat="1" ht="16.5" thickBot="1" x14ac:dyDescent="0.3">
      <c r="A47" s="145" t="s">
        <v>249</v>
      </c>
      <c r="B47" s="146" t="s">
        <v>261</v>
      </c>
      <c r="C47" s="147" t="s">
        <v>166</v>
      </c>
      <c r="D47" s="148" t="s">
        <v>167</v>
      </c>
      <c r="E47" s="149" t="s">
        <v>170</v>
      </c>
      <c r="F47" s="555" t="s">
        <v>169</v>
      </c>
      <c r="G47" s="556"/>
      <c r="H47" s="556"/>
      <c r="I47" s="557"/>
    </row>
    <row r="48" spans="1:10" s="66" customFormat="1" x14ac:dyDescent="0.25">
      <c r="A48" s="152" t="s">
        <v>161</v>
      </c>
      <c r="B48" s="153" t="s">
        <v>250</v>
      </c>
      <c r="C48" s="189">
        <f>+B25</f>
        <v>9022288.5907553174</v>
      </c>
      <c r="D48" s="190">
        <f>+D25-F8</f>
        <v>3.3497482909061321E-3</v>
      </c>
      <c r="E48" s="182">
        <f>+D48*C48</f>
        <v>30222.395786944518</v>
      </c>
      <c r="F48" s="558" t="s">
        <v>257</v>
      </c>
      <c r="G48" s="558"/>
      <c r="H48" s="558"/>
      <c r="I48" s="559"/>
      <c r="J48" s="83"/>
    </row>
    <row r="49" spans="1:11" s="66" customFormat="1" ht="15.75" thickBot="1" x14ac:dyDescent="0.3">
      <c r="A49" s="154" t="s">
        <v>161</v>
      </c>
      <c r="B49" s="155" t="s">
        <v>251</v>
      </c>
      <c r="C49" s="191">
        <f>+B8-B25</f>
        <v>150227.28699368238</v>
      </c>
      <c r="D49" s="192">
        <f>-F8</f>
        <v>-5.3770000000000005E-2</v>
      </c>
      <c r="E49" s="193">
        <f>+C49*D49</f>
        <v>-8077.7212216503031</v>
      </c>
      <c r="F49" s="568" t="s">
        <v>284</v>
      </c>
      <c r="G49" s="568"/>
      <c r="H49" s="568"/>
      <c r="I49" s="569"/>
      <c r="J49" s="59"/>
    </row>
    <row r="50" spans="1:11" s="66" customFormat="1" ht="45" x14ac:dyDescent="0.25">
      <c r="A50" s="156" t="s">
        <v>347</v>
      </c>
      <c r="B50" s="155"/>
      <c r="C50" s="69"/>
      <c r="D50" s="423"/>
      <c r="E50" s="450">
        <f>+E26</f>
        <v>0</v>
      </c>
      <c r="F50" s="560" t="s">
        <v>349</v>
      </c>
      <c r="G50" s="560"/>
      <c r="H50" s="560"/>
      <c r="I50" s="561"/>
      <c r="J50" s="489" t="s">
        <v>430</v>
      </c>
    </row>
    <row r="51" spans="1:11" s="66" customFormat="1" ht="15.75" thickBot="1" x14ac:dyDescent="0.3">
      <c r="A51" s="77"/>
      <c r="B51" s="76"/>
      <c r="C51" s="164" t="s">
        <v>260</v>
      </c>
      <c r="D51" s="164"/>
      <c r="E51" s="425">
        <f>SUM(E48:E50)</f>
        <v>22144.674565294215</v>
      </c>
      <c r="F51" s="543"/>
      <c r="G51" s="544"/>
      <c r="H51" s="544"/>
      <c r="I51" s="545"/>
    </row>
    <row r="52" spans="1:11" s="66" customFormat="1" ht="15.75" thickTop="1" x14ac:dyDescent="0.25">
      <c r="A52"/>
      <c r="B52"/>
      <c r="C52"/>
    </row>
    <row r="62" spans="1:11" x14ac:dyDescent="0.25">
      <c r="I62" s="87"/>
      <c r="J62" s="65"/>
      <c r="K62" s="67"/>
    </row>
    <row r="63" spans="1:11" x14ac:dyDescent="0.25">
      <c r="I63" s="87"/>
      <c r="J63" s="65"/>
      <c r="K63" s="67"/>
    </row>
    <row r="64" spans="1:11" x14ac:dyDescent="0.25">
      <c r="I64" s="60"/>
      <c r="J64" s="53"/>
      <c r="K64" s="67"/>
    </row>
  </sheetData>
  <mergeCells count="34">
    <mergeCell ref="F50:I50"/>
    <mergeCell ref="C30:I30"/>
    <mergeCell ref="A31:B33"/>
    <mergeCell ref="A44:B46"/>
    <mergeCell ref="F49:I49"/>
    <mergeCell ref="F40:I40"/>
    <mergeCell ref="F31:I31"/>
    <mergeCell ref="F39:I39"/>
    <mergeCell ref="F51:I51"/>
    <mergeCell ref="C32:D32"/>
    <mergeCell ref="C45:D45"/>
    <mergeCell ref="C43:I43"/>
    <mergeCell ref="F44:I44"/>
    <mergeCell ref="F45:I45"/>
    <mergeCell ref="F46:I46"/>
    <mergeCell ref="F47:I47"/>
    <mergeCell ref="F48:I48"/>
    <mergeCell ref="F32:I32"/>
    <mergeCell ref="F33:I33"/>
    <mergeCell ref="F34:I34"/>
    <mergeCell ref="F35:I35"/>
    <mergeCell ref="F36:I36"/>
    <mergeCell ref="F37:I37"/>
    <mergeCell ref="F38:I38"/>
    <mergeCell ref="A1:I1"/>
    <mergeCell ref="D12:I12"/>
    <mergeCell ref="D22:E22"/>
    <mergeCell ref="F13:G13"/>
    <mergeCell ref="D13:E13"/>
    <mergeCell ref="F4:G4"/>
    <mergeCell ref="D4:E4"/>
    <mergeCell ref="A4:C4"/>
    <mergeCell ref="A13:C13"/>
    <mergeCell ref="A22:C22"/>
  </mergeCells>
  <pageMargins left="0.7" right="0.7" top="0.75" bottom="0.75" header="0.3" footer="0.3"/>
  <pageSetup paperSize="17"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88"/>
  <sheetViews>
    <sheetView workbookViewId="0">
      <selection sqref="A1:L188"/>
    </sheetView>
  </sheetViews>
  <sheetFormatPr defaultColWidth="9.28515625" defaultRowHeight="15" x14ac:dyDescent="0.25"/>
  <cols>
    <col min="1" max="1" width="4.5703125" customWidth="1"/>
    <col min="2" max="2" width="5" customWidth="1"/>
    <col min="3" max="3" width="65.28515625" customWidth="1"/>
    <col min="4" max="4" width="18.28515625" customWidth="1"/>
    <col min="5" max="5" width="14.7109375" bestFit="1" customWidth="1"/>
    <col min="7" max="7" width="14.7109375" bestFit="1" customWidth="1"/>
    <col min="15" max="15" width="15" bestFit="1" customWidth="1"/>
    <col min="16" max="16" width="13.28515625" bestFit="1" customWidth="1"/>
  </cols>
  <sheetData>
    <row r="1" spans="1:6" ht="15" customHeight="1" thickBot="1" x14ac:dyDescent="0.3">
      <c r="B1" s="515" t="s">
        <v>441</v>
      </c>
      <c r="C1" s="515"/>
    </row>
    <row r="2" spans="1:6" ht="15.75" thickTop="1" x14ac:dyDescent="0.25">
      <c r="B2" s="382" t="s">
        <v>350</v>
      </c>
      <c r="C2" s="377"/>
      <c r="D2" s="251"/>
      <c r="E2" s="260"/>
    </row>
    <row r="3" spans="1:6" x14ac:dyDescent="0.25">
      <c r="B3" s="254" t="s">
        <v>84</v>
      </c>
      <c r="D3" s="13"/>
      <c r="E3" s="255"/>
    </row>
    <row r="4" spans="1:6" s="20" customFormat="1" x14ac:dyDescent="0.25">
      <c r="B4" s="256"/>
      <c r="C4" s="20" t="s">
        <v>92</v>
      </c>
      <c r="D4" s="20" t="s">
        <v>93</v>
      </c>
      <c r="E4" s="257" t="s">
        <v>94</v>
      </c>
    </row>
    <row r="5" spans="1:6" s="20" customFormat="1" ht="17.25" x14ac:dyDescent="0.25">
      <c r="B5" s="254" t="s">
        <v>233</v>
      </c>
      <c r="D5" s="47">
        <f>+'Data for Settlement &amp; 1st TU'!D70</f>
        <v>179265.95</v>
      </c>
      <c r="E5" s="257"/>
    </row>
    <row r="6" spans="1:6" x14ac:dyDescent="0.25">
      <c r="A6" s="11"/>
      <c r="B6" s="254" t="s">
        <v>142</v>
      </c>
      <c r="D6" s="47">
        <f>+'Data for Settlement &amp; 1st TU'!D71</f>
        <v>1049041.18</v>
      </c>
      <c r="E6" s="258"/>
    </row>
    <row r="7" spans="1:6" x14ac:dyDescent="0.25">
      <c r="A7" s="11"/>
      <c r="B7" s="254" t="s">
        <v>351</v>
      </c>
      <c r="D7" s="426">
        <f>+'Data for Settlement &amp; 1st TU'!D72</f>
        <v>347189.35079786176</v>
      </c>
      <c r="E7" s="258"/>
    </row>
    <row r="8" spans="1:6" x14ac:dyDescent="0.25">
      <c r="A8" s="11"/>
      <c r="B8" s="254" t="s">
        <v>143</v>
      </c>
      <c r="D8" s="47">
        <f>+'Data for Settlement &amp; 1st TU'!D75</f>
        <v>1221838.3912524711</v>
      </c>
      <c r="E8" s="258"/>
    </row>
    <row r="9" spans="1:6" x14ac:dyDescent="0.25">
      <c r="A9" s="11"/>
      <c r="B9" s="254" t="s">
        <v>144</v>
      </c>
      <c r="D9" s="47">
        <f>+'Data for Settlement &amp; 1st TU'!D74</f>
        <v>244539.94</v>
      </c>
      <c r="E9" s="258"/>
    </row>
    <row r="10" spans="1:6" x14ac:dyDescent="0.25">
      <c r="A10" s="11"/>
      <c r="B10" s="254" t="s">
        <v>145</v>
      </c>
      <c r="D10" s="47">
        <f>+'Data for Settlement &amp; 1st TU'!D76</f>
        <v>465008.7539675291</v>
      </c>
      <c r="E10" s="258"/>
    </row>
    <row r="11" spans="1:6" x14ac:dyDescent="0.25">
      <c r="A11" s="11"/>
      <c r="B11" s="254"/>
      <c r="C11" t="s">
        <v>383</v>
      </c>
      <c r="D11" s="47"/>
      <c r="E11" s="429">
        <f>-'Data for Settlement &amp; 1st TU'!D64*'Data for Settlement &amp; 1st TU'!B33</f>
        <v>269573.88086933416</v>
      </c>
    </row>
    <row r="12" spans="1:6" x14ac:dyDescent="0.25">
      <c r="A12" s="11"/>
      <c r="B12" s="254"/>
      <c r="C12" t="s">
        <v>428</v>
      </c>
      <c r="D12" s="47"/>
      <c r="E12" s="429">
        <f>-'Data for Settlement &amp; 1st TU'!D64*'Data for Settlement &amp; 1st TU'!B34</f>
        <v>102594.75831066597</v>
      </c>
    </row>
    <row r="13" spans="1:6" x14ac:dyDescent="0.25">
      <c r="B13" s="254"/>
      <c r="C13" t="s">
        <v>146</v>
      </c>
      <c r="E13" s="346">
        <f>-'RPP Settlement &amp; 1st TU'!K16</f>
        <v>-127735.98340613898</v>
      </c>
      <c r="F13" s="106" t="s">
        <v>396</v>
      </c>
    </row>
    <row r="14" spans="1:6" x14ac:dyDescent="0.25">
      <c r="B14" s="254"/>
      <c r="C14" t="s">
        <v>213</v>
      </c>
      <c r="E14" s="374">
        <f>-'Data for Settlement &amp; 1st TU'!D78</f>
        <v>167395.91</v>
      </c>
    </row>
    <row r="15" spans="1:6" x14ac:dyDescent="0.25">
      <c r="B15" s="254"/>
      <c r="C15" t="s">
        <v>352</v>
      </c>
      <c r="E15" s="427">
        <f>'Data for Settlement &amp; 1st TU'!D72</f>
        <v>347189.35079786176</v>
      </c>
    </row>
    <row r="16" spans="1:6" x14ac:dyDescent="0.25">
      <c r="B16" s="254"/>
      <c r="C16" t="s">
        <v>1</v>
      </c>
      <c r="D16" s="47"/>
      <c r="E16" s="346">
        <f>+'Data for Settlement &amp; 1st TU'!D80-E15</f>
        <v>2747865.6494461391</v>
      </c>
    </row>
    <row r="17" spans="1:6" ht="15.75" thickBot="1" x14ac:dyDescent="0.3">
      <c r="B17" s="254"/>
      <c r="D17" s="45">
        <f>SUM(D5:D16)</f>
        <v>3506883.5660178619</v>
      </c>
      <c r="E17" s="259">
        <f>SUM(E5:E16)</f>
        <v>3506883.5660178619</v>
      </c>
    </row>
    <row r="18" spans="1:6" ht="52.15" customHeight="1" thickTop="1" thickBot="1" x14ac:dyDescent="0.3">
      <c r="A18" s="11"/>
      <c r="B18" s="574" t="s">
        <v>353</v>
      </c>
      <c r="C18" s="575"/>
      <c r="D18" s="575"/>
      <c r="E18" s="576"/>
    </row>
    <row r="19" spans="1:6" ht="15.75" thickTop="1" x14ac:dyDescent="0.25">
      <c r="A19" s="11"/>
    </row>
    <row r="20" spans="1:6" x14ac:dyDescent="0.25">
      <c r="A20" s="11"/>
    </row>
    <row r="21" spans="1:6" x14ac:dyDescent="0.25">
      <c r="B21" s="383" t="s">
        <v>350</v>
      </c>
      <c r="C21" s="124"/>
      <c r="D21" s="124"/>
      <c r="E21" s="124"/>
    </row>
    <row r="22" spans="1:6" x14ac:dyDescent="0.25">
      <c r="A22" s="70"/>
      <c r="B22" s="124" t="s">
        <v>85</v>
      </c>
      <c r="C22" s="124"/>
      <c r="D22" s="125"/>
      <c r="E22" s="125"/>
    </row>
    <row r="23" spans="1:6" s="20" customFormat="1" x14ac:dyDescent="0.25">
      <c r="B23" s="126"/>
      <c r="C23" s="126" t="s">
        <v>92</v>
      </c>
      <c r="D23" s="126" t="s">
        <v>93</v>
      </c>
      <c r="E23" s="126" t="s">
        <v>94</v>
      </c>
    </row>
    <row r="24" spans="1:6" x14ac:dyDescent="0.25">
      <c r="A24" s="11"/>
      <c r="B24" s="124" t="s">
        <v>4</v>
      </c>
      <c r="C24" s="124"/>
      <c r="D24" s="347">
        <f>SUM(E25:E28)</f>
        <v>3537612.8914544689</v>
      </c>
      <c r="E24" s="347"/>
      <c r="F24" s="8"/>
    </row>
    <row r="25" spans="1:6" x14ac:dyDescent="0.25">
      <c r="A25" s="11"/>
      <c r="B25" s="124"/>
      <c r="C25" s="124" t="s">
        <v>147</v>
      </c>
      <c r="D25" s="347"/>
      <c r="E25" s="347">
        <f>+'Data for Settlement &amp; 1st TU'!D95</f>
        <v>2283045.7127079051</v>
      </c>
      <c r="F25" s="8"/>
    </row>
    <row r="26" spans="1:6" x14ac:dyDescent="0.25">
      <c r="B26" s="124"/>
      <c r="C26" s="124" t="s">
        <v>40</v>
      </c>
      <c r="D26" s="347"/>
      <c r="E26" s="375">
        <f>+'Data for Settlement &amp; 1st TU'!D99</f>
        <v>516821.05999999994</v>
      </c>
      <c r="F26" s="8"/>
    </row>
    <row r="27" spans="1:6" x14ac:dyDescent="0.25">
      <c r="B27" s="124"/>
      <c r="C27" s="124" t="s">
        <v>148</v>
      </c>
      <c r="D27" s="347"/>
      <c r="E27" s="375">
        <f>+'Data for Settlement &amp; 1st TU'!D100</f>
        <v>244539.94</v>
      </c>
      <c r="F27" s="8"/>
    </row>
    <row r="28" spans="1:6" x14ac:dyDescent="0.25">
      <c r="B28" s="124"/>
      <c r="C28" s="124" t="s">
        <v>149</v>
      </c>
      <c r="D28" s="347"/>
      <c r="E28" s="375">
        <f>+'Data for Settlement &amp; 1st TU'!D101</f>
        <v>493206.17874656379</v>
      </c>
      <c r="F28" s="8"/>
    </row>
    <row r="29" spans="1:6" ht="15.75" thickBot="1" x14ac:dyDescent="0.3">
      <c r="B29" s="124"/>
      <c r="C29" s="124"/>
      <c r="D29" s="348">
        <f>SUM(D24:D27)</f>
        <v>3537612.8914544689</v>
      </c>
      <c r="E29" s="348">
        <f>SUM(E24:E28)</f>
        <v>3537612.8914544689</v>
      </c>
    </row>
    <row r="30" spans="1:6" ht="79.900000000000006" customHeight="1" thickTop="1" x14ac:dyDescent="0.25">
      <c r="B30" s="583" t="s">
        <v>354</v>
      </c>
      <c r="C30" s="583"/>
      <c r="D30" s="583"/>
      <c r="E30" s="583"/>
    </row>
    <row r="31" spans="1:6" ht="15" customHeight="1" x14ac:dyDescent="0.25">
      <c r="B31" s="99"/>
      <c r="C31" s="99"/>
      <c r="D31" s="99"/>
      <c r="E31" s="99"/>
      <c r="F31" s="8"/>
    </row>
    <row r="32" spans="1:6" ht="15.75" thickBot="1" x14ac:dyDescent="0.3">
      <c r="D32" s="8"/>
      <c r="E32" s="12"/>
      <c r="F32" s="8"/>
    </row>
    <row r="33" spans="1:6" ht="15.75" thickTop="1" x14ac:dyDescent="0.25">
      <c r="B33" s="382" t="s">
        <v>350</v>
      </c>
      <c r="C33" s="251"/>
      <c r="D33" s="251"/>
      <c r="E33" s="260"/>
    </row>
    <row r="34" spans="1:6" x14ac:dyDescent="0.25">
      <c r="A34" s="70"/>
      <c r="B34" s="254" t="s">
        <v>355</v>
      </c>
      <c r="D34" s="13"/>
      <c r="E34" s="255"/>
    </row>
    <row r="35" spans="1:6" s="20" customFormat="1" x14ac:dyDescent="0.25">
      <c r="B35" s="256"/>
      <c r="C35" s="20" t="s">
        <v>92</v>
      </c>
      <c r="D35" s="20" t="s">
        <v>93</v>
      </c>
      <c r="E35" s="257" t="s">
        <v>94</v>
      </c>
    </row>
    <row r="36" spans="1:6" s="20" customFormat="1" x14ac:dyDescent="0.25">
      <c r="B36" s="254" t="s">
        <v>285</v>
      </c>
      <c r="D36" s="281">
        <f>'T-Accounts'!M52</f>
        <v>28197.424779034685</v>
      </c>
      <c r="E36" s="257"/>
      <c r="F36" s="130"/>
    </row>
    <row r="37" spans="1:6" x14ac:dyDescent="0.25">
      <c r="A37" s="11"/>
      <c r="B37" s="254"/>
      <c r="C37" t="s">
        <v>182</v>
      </c>
      <c r="D37" s="47"/>
      <c r="E37" s="258">
        <f>D36</f>
        <v>28197.424779034685</v>
      </c>
      <c r="F37" s="8"/>
    </row>
    <row r="38" spans="1:6" x14ac:dyDescent="0.25">
      <c r="A38" s="11"/>
      <c r="B38" s="254" t="s">
        <v>395</v>
      </c>
      <c r="C38" s="20"/>
      <c r="D38" s="437">
        <f>+'T-Accounts'!D52</f>
        <v>414360.46643143333</v>
      </c>
      <c r="E38" s="257"/>
      <c r="F38" s="8"/>
    </row>
    <row r="39" spans="1:6" x14ac:dyDescent="0.25">
      <c r="A39" s="11"/>
      <c r="B39" s="254"/>
      <c r="C39" t="s">
        <v>192</v>
      </c>
      <c r="D39" s="47"/>
      <c r="E39" s="429">
        <f>D38</f>
        <v>414360.46643143333</v>
      </c>
      <c r="F39" s="8"/>
    </row>
    <row r="40" spans="1:6" x14ac:dyDescent="0.25">
      <c r="A40" s="11"/>
      <c r="B40" s="254"/>
      <c r="D40" s="47"/>
      <c r="E40" s="258"/>
      <c r="F40" s="8"/>
    </row>
    <row r="41" spans="1:6" ht="15.75" thickBot="1" x14ac:dyDescent="0.3">
      <c r="A41" s="11"/>
      <c r="B41" s="254"/>
      <c r="D41" s="45">
        <f>SUM(D36:D37)</f>
        <v>28197.424779034685</v>
      </c>
      <c r="E41" s="349">
        <f>SUM(E36:E37)</f>
        <v>28197.424779034685</v>
      </c>
      <c r="F41" s="8"/>
    </row>
    <row r="42" spans="1:6" ht="15.75" thickTop="1" x14ac:dyDescent="0.25">
      <c r="A42" s="11"/>
      <c r="B42" s="584" t="s">
        <v>394</v>
      </c>
      <c r="C42" s="518"/>
      <c r="D42" s="518"/>
      <c r="E42" s="585"/>
      <c r="F42" s="8"/>
    </row>
    <row r="43" spans="1:6" ht="15.75" thickBot="1" x14ac:dyDescent="0.3">
      <c r="A43" s="11"/>
      <c r="B43" s="577"/>
      <c r="C43" s="578"/>
      <c r="D43" s="578"/>
      <c r="E43" s="579"/>
      <c r="F43" s="8"/>
    </row>
    <row r="44" spans="1:6" ht="16.5" thickTop="1" thickBot="1" x14ac:dyDescent="0.3">
      <c r="A44" s="11"/>
      <c r="D44" s="137"/>
    </row>
    <row r="45" spans="1:6" ht="15.75" thickTop="1" x14ac:dyDescent="0.25">
      <c r="A45" s="11"/>
      <c r="B45" s="382" t="s">
        <v>356</v>
      </c>
      <c r="C45" s="251"/>
      <c r="D45" s="282"/>
      <c r="E45" s="283"/>
      <c r="F45" s="8"/>
    </row>
    <row r="46" spans="1:6" x14ac:dyDescent="0.25">
      <c r="B46" s="254" t="s">
        <v>357</v>
      </c>
      <c r="D46" s="13"/>
      <c r="E46" s="255"/>
    </row>
    <row r="47" spans="1:6" s="20" customFormat="1" x14ac:dyDescent="0.25">
      <c r="B47" s="256"/>
      <c r="C47" s="20" t="s">
        <v>92</v>
      </c>
      <c r="D47" s="20" t="s">
        <v>93</v>
      </c>
      <c r="E47" s="257" t="s">
        <v>94</v>
      </c>
    </row>
    <row r="48" spans="1:6" x14ac:dyDescent="0.25">
      <c r="B48" s="254" t="s">
        <v>153</v>
      </c>
      <c r="D48" s="350">
        <f>E13</f>
        <v>-127735.98340613898</v>
      </c>
      <c r="E48" s="258"/>
      <c r="F48" s="106" t="s">
        <v>397</v>
      </c>
    </row>
    <row r="49" spans="2:5" x14ac:dyDescent="0.25">
      <c r="B49" s="254" t="s">
        <v>229</v>
      </c>
      <c r="D49" s="376">
        <f>E14</f>
        <v>167395.91</v>
      </c>
      <c r="E49" s="258"/>
    </row>
    <row r="50" spans="2:5" x14ac:dyDescent="0.25">
      <c r="B50" s="254" t="s">
        <v>358</v>
      </c>
      <c r="D50" s="428">
        <f t="shared" ref="D50:D51" si="0">E15</f>
        <v>347189.35079786176</v>
      </c>
      <c r="E50" s="258"/>
    </row>
    <row r="51" spans="2:5" x14ac:dyDescent="0.25">
      <c r="B51" s="254" t="s">
        <v>41</v>
      </c>
      <c r="D51" s="350">
        <f t="shared" si="0"/>
        <v>2747865.6494461391</v>
      </c>
      <c r="E51" s="258"/>
    </row>
    <row r="52" spans="2:5" x14ac:dyDescent="0.25">
      <c r="B52" s="254" t="s">
        <v>385</v>
      </c>
      <c r="D52" s="428">
        <f>E11</f>
        <v>269573.88086933416</v>
      </c>
      <c r="E52" s="258"/>
    </row>
    <row r="53" spans="2:5" x14ac:dyDescent="0.25">
      <c r="B53" s="254" t="s">
        <v>429</v>
      </c>
      <c r="D53" s="428">
        <f>E12</f>
        <v>102594.75831066597</v>
      </c>
      <c r="E53" s="258"/>
    </row>
    <row r="54" spans="2:5" x14ac:dyDescent="0.25">
      <c r="B54" s="254"/>
      <c r="C54" t="s">
        <v>230</v>
      </c>
      <c r="D54" s="47"/>
      <c r="E54" s="258">
        <f>D5</f>
        <v>179265.95</v>
      </c>
    </row>
    <row r="55" spans="2:5" x14ac:dyDescent="0.25">
      <c r="B55" s="254"/>
      <c r="C55" t="s">
        <v>231</v>
      </c>
      <c r="D55" s="47"/>
      <c r="E55" s="258">
        <f>D6</f>
        <v>1049041.18</v>
      </c>
    </row>
    <row r="56" spans="2:5" x14ac:dyDescent="0.25">
      <c r="B56" s="254"/>
      <c r="C56" t="s">
        <v>359</v>
      </c>
      <c r="D56" s="47"/>
      <c r="E56" s="429">
        <f>D7</f>
        <v>347189.35079786176</v>
      </c>
    </row>
    <row r="57" spans="2:5" x14ac:dyDescent="0.25">
      <c r="B57" s="254"/>
      <c r="C57" t="s">
        <v>151</v>
      </c>
      <c r="D57" s="47"/>
      <c r="E57" s="258">
        <f t="shared" ref="E57:E59" si="1">D8</f>
        <v>1221838.3912524711</v>
      </c>
    </row>
    <row r="58" spans="2:5" x14ac:dyDescent="0.25">
      <c r="B58" s="254"/>
      <c r="C58" t="s">
        <v>150</v>
      </c>
      <c r="D58" s="47"/>
      <c r="E58" s="258">
        <f t="shared" si="1"/>
        <v>244539.94</v>
      </c>
    </row>
    <row r="59" spans="2:5" x14ac:dyDescent="0.25">
      <c r="B59" s="254"/>
      <c r="C59" t="s">
        <v>152</v>
      </c>
      <c r="D59" s="47"/>
      <c r="E59" s="258">
        <f t="shared" si="1"/>
        <v>465008.7539675291</v>
      </c>
    </row>
    <row r="60" spans="2:5" ht="15.75" thickBot="1" x14ac:dyDescent="0.3">
      <c r="B60" s="254"/>
      <c r="D60" s="45">
        <f>SUM(D48:D59)</f>
        <v>3506883.5660178619</v>
      </c>
      <c r="E60" s="349">
        <f>SUM(E48:E59)</f>
        <v>3506883.5660178619</v>
      </c>
    </row>
    <row r="61" spans="2:5" ht="16.5" thickTop="1" thickBot="1" x14ac:dyDescent="0.3">
      <c r="B61" s="574" t="s">
        <v>154</v>
      </c>
      <c r="C61" s="575"/>
      <c r="D61" s="575"/>
      <c r="E61" s="576"/>
    </row>
    <row r="62" spans="2:5" ht="15.75" thickTop="1" x14ac:dyDescent="0.25"/>
    <row r="63" spans="2:5" x14ac:dyDescent="0.25">
      <c r="B63" s="75"/>
      <c r="C63" s="75"/>
      <c r="D63" s="75"/>
      <c r="E63" s="75"/>
    </row>
    <row r="64" spans="2:5" x14ac:dyDescent="0.25">
      <c r="B64" s="383" t="s">
        <v>356</v>
      </c>
      <c r="C64" s="378"/>
      <c r="D64" s="124"/>
      <c r="E64" s="124"/>
    </row>
    <row r="65" spans="1:14" x14ac:dyDescent="0.25">
      <c r="B65" s="124" t="s">
        <v>183</v>
      </c>
      <c r="C65" s="124"/>
      <c r="D65" s="125"/>
      <c r="E65" s="125"/>
    </row>
    <row r="66" spans="1:14" x14ac:dyDescent="0.25">
      <c r="B66" s="126"/>
      <c r="C66" s="126" t="s">
        <v>92</v>
      </c>
      <c r="D66" s="126" t="s">
        <v>93</v>
      </c>
      <c r="E66" s="126" t="s">
        <v>94</v>
      </c>
      <c r="F66" s="20"/>
    </row>
    <row r="67" spans="1:14" x14ac:dyDescent="0.25">
      <c r="B67" s="124"/>
      <c r="C67" s="124"/>
      <c r="D67" s="124"/>
      <c r="E67" s="124"/>
    </row>
    <row r="68" spans="1:14" x14ac:dyDescent="0.25">
      <c r="B68" s="124" t="s">
        <v>155</v>
      </c>
      <c r="C68" s="124"/>
      <c r="D68" s="347">
        <f>+E25</f>
        <v>2283045.7127079051</v>
      </c>
      <c r="E68" s="129"/>
    </row>
    <row r="69" spans="1:14" x14ac:dyDescent="0.25">
      <c r="B69" s="124" t="s">
        <v>43</v>
      </c>
      <c r="C69" s="124"/>
      <c r="D69" s="129">
        <f>+E26</f>
        <v>516821.05999999994</v>
      </c>
      <c r="E69" s="129"/>
    </row>
    <row r="70" spans="1:14" x14ac:dyDescent="0.25">
      <c r="B70" s="124" t="s">
        <v>156</v>
      </c>
      <c r="C70" s="124"/>
      <c r="D70" s="129">
        <f>+E27</f>
        <v>244539.94</v>
      </c>
      <c r="E70" s="129"/>
    </row>
    <row r="71" spans="1:14" x14ac:dyDescent="0.25">
      <c r="B71" s="124" t="s">
        <v>157</v>
      </c>
      <c r="C71" s="124"/>
      <c r="D71" s="129">
        <f>+E28</f>
        <v>493206.17874656379</v>
      </c>
      <c r="E71" s="129"/>
    </row>
    <row r="72" spans="1:14" x14ac:dyDescent="0.25">
      <c r="B72" s="124"/>
      <c r="C72" s="124" t="s">
        <v>42</v>
      </c>
      <c r="D72" s="129"/>
      <c r="E72" s="347">
        <f>+D24</f>
        <v>3537612.8914544689</v>
      </c>
    </row>
    <row r="73" spans="1:14" ht="15.75" thickBot="1" x14ac:dyDescent="0.3">
      <c r="B73" s="124"/>
      <c r="C73" s="124"/>
      <c r="D73" s="351">
        <f>SUM(D68:D72)</f>
        <v>3537612.8914544689</v>
      </c>
      <c r="E73" s="351">
        <f>SUM(E68:E72)</f>
        <v>3537612.8914544689</v>
      </c>
    </row>
    <row r="74" spans="1:14" ht="32.65" customHeight="1" thickTop="1" x14ac:dyDescent="0.25">
      <c r="B74" s="583" t="s">
        <v>360</v>
      </c>
      <c r="C74" s="583"/>
      <c r="D74" s="583"/>
      <c r="E74" s="583"/>
    </row>
    <row r="75" spans="1:14" x14ac:dyDescent="0.25">
      <c r="D75" s="8"/>
      <c r="E75" s="8"/>
    </row>
    <row r="76" spans="1:14" ht="15.75" thickBot="1" x14ac:dyDescent="0.3">
      <c r="D76" s="137"/>
    </row>
    <row r="77" spans="1:14" ht="15.75" thickTop="1" x14ac:dyDescent="0.25">
      <c r="B77" s="382" t="s">
        <v>361</v>
      </c>
      <c r="C77" s="251"/>
      <c r="D77" s="252"/>
      <c r="E77" s="253"/>
      <c r="F77" s="8"/>
    </row>
    <row r="78" spans="1:14" x14ac:dyDescent="0.25">
      <c r="B78" s="254" t="s">
        <v>363</v>
      </c>
      <c r="D78" s="13"/>
      <c r="E78" s="255"/>
      <c r="F78" s="8"/>
    </row>
    <row r="79" spans="1:14" ht="18.75" x14ac:dyDescent="0.3">
      <c r="A79" s="20"/>
      <c r="B79" s="256"/>
      <c r="C79" s="20" t="s">
        <v>92</v>
      </c>
      <c r="D79" s="20" t="s">
        <v>93</v>
      </c>
      <c r="E79" s="257" t="s">
        <v>94</v>
      </c>
      <c r="F79" s="8"/>
      <c r="M79" s="22"/>
      <c r="N79" s="9"/>
    </row>
    <row r="80" spans="1:14" ht="18.75" x14ac:dyDescent="0.3">
      <c r="A80" s="20"/>
      <c r="B80" s="254" t="s">
        <v>234</v>
      </c>
      <c r="C80" s="20"/>
      <c r="D80" s="47">
        <f>+'Data for Settlement &amp; 1st TU'!I70</f>
        <v>179265.95</v>
      </c>
      <c r="E80" s="257"/>
      <c r="F80" s="8"/>
      <c r="M80" s="22"/>
      <c r="N80" s="9"/>
    </row>
    <row r="81" spans="1:16" ht="15" customHeight="1" x14ac:dyDescent="0.3">
      <c r="B81" s="254" t="s">
        <v>142</v>
      </c>
      <c r="D81" s="47">
        <f>+'Data for Settlement &amp; 1st TU'!I71</f>
        <v>1049041.18</v>
      </c>
      <c r="E81" s="258"/>
      <c r="F81" s="8"/>
      <c r="M81" s="22"/>
      <c r="N81" s="9"/>
    </row>
    <row r="82" spans="1:16" ht="15" customHeight="1" x14ac:dyDescent="0.3">
      <c r="B82" s="254" t="s">
        <v>362</v>
      </c>
      <c r="D82" s="426">
        <f>+'Data for Settlement &amp; 1st TU'!I72</f>
        <v>347189.35079786176</v>
      </c>
      <c r="E82" s="258"/>
      <c r="F82" s="8"/>
      <c r="M82" s="22"/>
      <c r="N82" s="9"/>
    </row>
    <row r="83" spans="1:16" ht="15.75" customHeight="1" x14ac:dyDescent="0.3">
      <c r="B83" s="254" t="s">
        <v>144</v>
      </c>
      <c r="D83" s="47">
        <f>+'Data for Settlement &amp; 1st TU'!I74</f>
        <v>244539.94</v>
      </c>
      <c r="E83" s="258"/>
      <c r="F83" s="8"/>
      <c r="M83" s="22"/>
      <c r="N83" s="9"/>
    </row>
    <row r="84" spans="1:16" x14ac:dyDescent="0.25">
      <c r="B84" s="254" t="s">
        <v>143</v>
      </c>
      <c r="D84" s="47">
        <f>+'Data for Settlement &amp; 1st TU'!I75-'Data for Settlement &amp; 1st TU'!J64</f>
        <v>1751938.1206718744</v>
      </c>
      <c r="E84" s="258"/>
      <c r="F84" s="8"/>
      <c r="M84" s="71"/>
      <c r="N84" s="72"/>
    </row>
    <row r="85" spans="1:16" x14ac:dyDescent="0.25">
      <c r="B85" s="254" t="s">
        <v>145</v>
      </c>
      <c r="D85" s="47">
        <f>+'Data for Settlement &amp; 1st TU'!I76-'Data for Settlement &amp; 1st TU'!J65</f>
        <v>666754.75934812601</v>
      </c>
      <c r="E85" s="258"/>
      <c r="M85" s="23"/>
      <c r="N85" s="20"/>
      <c r="O85" s="73"/>
      <c r="P85" s="48"/>
    </row>
    <row r="86" spans="1:16" x14ac:dyDescent="0.25">
      <c r="B86" s="254"/>
      <c r="C86" t="s">
        <v>383</v>
      </c>
      <c r="D86" s="47"/>
      <c r="E86" s="429">
        <f>-'Data for Settlement &amp; 1st TU'!J64</f>
        <v>397822.84398373228</v>
      </c>
      <c r="F86" s="106"/>
      <c r="M86" s="23"/>
      <c r="N86" s="20"/>
      <c r="O86" s="73"/>
      <c r="P86" s="48"/>
    </row>
    <row r="87" spans="1:16" x14ac:dyDescent="0.25">
      <c r="B87" s="254"/>
      <c r="C87" t="s">
        <v>384</v>
      </c>
      <c r="D87" s="47"/>
      <c r="E87" s="429">
        <f>-'Data for Settlement &amp; 1st TU'!J65</f>
        <v>151403.90603626805</v>
      </c>
      <c r="F87" s="106"/>
      <c r="M87" s="23"/>
      <c r="N87" s="20"/>
      <c r="O87" s="73"/>
      <c r="P87" s="48"/>
    </row>
    <row r="88" spans="1:16" x14ac:dyDescent="0.25">
      <c r="B88" s="254"/>
      <c r="C88" t="s">
        <v>146</v>
      </c>
      <c r="D88" s="47"/>
      <c r="E88" s="346">
        <f>-'Data for Settlement &amp; 1st TU'!D77</f>
        <v>-127735.98340613898</v>
      </c>
      <c r="F88" s="511" t="s">
        <v>396</v>
      </c>
      <c r="M88" s="23"/>
      <c r="N88" s="20"/>
      <c r="O88" s="73"/>
      <c r="P88" s="48"/>
    </row>
    <row r="89" spans="1:16" s="20" customFormat="1" x14ac:dyDescent="0.25">
      <c r="A89"/>
      <c r="B89" s="254"/>
      <c r="C89" t="s">
        <v>312</v>
      </c>
      <c r="E89" s="258">
        <f>-'Data for Settlement &amp; 1st TU'!I78</f>
        <v>167395.91</v>
      </c>
    </row>
    <row r="90" spans="1:16" s="20" customFormat="1" x14ac:dyDescent="0.25">
      <c r="A90"/>
      <c r="B90" s="254"/>
      <c r="C90" t="s">
        <v>352</v>
      </c>
      <c r="E90" s="429">
        <f>+D82</f>
        <v>347189.35079786176</v>
      </c>
    </row>
    <row r="91" spans="1:16" x14ac:dyDescent="0.25">
      <c r="B91" s="254"/>
      <c r="C91" t="s">
        <v>1</v>
      </c>
      <c r="D91" s="47"/>
      <c r="E91" s="427">
        <f>SUM(D80:D85)-E86-E87-E88-E89-E90</f>
        <v>3302653.2734061391</v>
      </c>
      <c r="N91" s="72"/>
      <c r="O91" s="6"/>
      <c r="P91" s="47"/>
    </row>
    <row r="92" spans="1:16" ht="15.75" thickBot="1" x14ac:dyDescent="0.3">
      <c r="B92" s="254"/>
      <c r="D92" s="45">
        <f>SUM(D80:D91)</f>
        <v>4238729.3008178622</v>
      </c>
      <c r="E92" s="259">
        <f>SUM(E80:E91)</f>
        <v>4238729.3008178622</v>
      </c>
      <c r="N92" s="72"/>
      <c r="O92" s="6"/>
      <c r="P92" s="47"/>
    </row>
    <row r="93" spans="1:16" ht="78.599999999999994" customHeight="1" thickTop="1" thickBot="1" x14ac:dyDescent="0.3">
      <c r="B93" s="577" t="s">
        <v>364</v>
      </c>
      <c r="C93" s="578"/>
      <c r="D93" s="578"/>
      <c r="E93" s="579"/>
      <c r="N93" s="72"/>
      <c r="O93" s="6"/>
      <c r="P93" s="47"/>
    </row>
    <row r="94" spans="1:16" ht="15.75" thickTop="1" x14ac:dyDescent="0.25">
      <c r="B94" s="99"/>
      <c r="C94" s="99"/>
      <c r="D94" s="99"/>
      <c r="E94" s="99"/>
      <c r="N94" s="72"/>
      <c r="O94" s="6"/>
      <c r="P94" s="47"/>
    </row>
    <row r="95" spans="1:16" ht="15.75" thickBot="1" x14ac:dyDescent="0.3">
      <c r="N95" s="9"/>
      <c r="O95" s="6"/>
      <c r="P95" s="47"/>
    </row>
    <row r="96" spans="1:16" ht="20.25" customHeight="1" thickTop="1" x14ac:dyDescent="0.25">
      <c r="A96" s="8"/>
      <c r="B96" s="382" t="s">
        <v>365</v>
      </c>
      <c r="C96" s="251"/>
      <c r="D96" s="251"/>
      <c r="E96" s="260"/>
      <c r="N96" s="9"/>
      <c r="O96" s="6"/>
      <c r="P96" s="47"/>
    </row>
    <row r="97" spans="1:16" ht="19.5" customHeight="1" x14ac:dyDescent="0.25">
      <c r="A97" s="8"/>
      <c r="B97" s="254" t="s">
        <v>243</v>
      </c>
      <c r="D97" s="13"/>
      <c r="E97" s="255"/>
      <c r="G97" s="95"/>
      <c r="N97" s="9"/>
      <c r="O97" s="6"/>
      <c r="P97" s="47"/>
    </row>
    <row r="98" spans="1:16" ht="15.75" customHeight="1" x14ac:dyDescent="0.25">
      <c r="A98" s="20"/>
      <c r="B98" s="256"/>
      <c r="C98" s="20" t="s">
        <v>92</v>
      </c>
      <c r="D98" s="20" t="s">
        <v>93</v>
      </c>
      <c r="E98" s="257" t="s">
        <v>94</v>
      </c>
      <c r="N98" s="9"/>
      <c r="O98" s="6"/>
      <c r="P98" s="47"/>
    </row>
    <row r="99" spans="1:16" s="20" customFormat="1" x14ac:dyDescent="0.25">
      <c r="A99" s="8"/>
      <c r="B99" s="584" t="s">
        <v>5</v>
      </c>
      <c r="C99" s="518"/>
      <c r="D99" s="352">
        <f>+E100</f>
        <v>424664.4241043051</v>
      </c>
      <c r="E99" s="355"/>
    </row>
    <row r="100" spans="1:16" x14ac:dyDescent="0.25">
      <c r="A100" s="8"/>
      <c r="B100" s="254"/>
      <c r="C100" t="s">
        <v>6</v>
      </c>
      <c r="D100" s="106"/>
      <c r="E100" s="353">
        <f>-'RPP Settlement &amp; 1st TU'!K46</f>
        <v>424664.4241043051</v>
      </c>
      <c r="F100" s="8"/>
    </row>
    <row r="101" spans="1:16" ht="15.75" thickBot="1" x14ac:dyDescent="0.3">
      <c r="A101" s="8"/>
      <c r="B101" s="254"/>
      <c r="D101" s="312">
        <f>SUM(D99:D100)</f>
        <v>424664.4241043051</v>
      </c>
      <c r="E101" s="354">
        <f>SUM(E99:E100)</f>
        <v>424664.4241043051</v>
      </c>
      <c r="F101" s="8"/>
    </row>
    <row r="102" spans="1:16" ht="35.65" customHeight="1" thickTop="1" thickBot="1" x14ac:dyDescent="0.3">
      <c r="A102" s="8"/>
      <c r="B102" s="577" t="s">
        <v>366</v>
      </c>
      <c r="C102" s="578"/>
      <c r="D102" s="578"/>
      <c r="E102" s="579"/>
      <c r="F102" s="8"/>
    </row>
    <row r="103" spans="1:16" ht="15.75" thickTop="1" x14ac:dyDescent="0.25">
      <c r="A103" s="8"/>
      <c r="B103" s="99"/>
      <c r="C103" s="99"/>
      <c r="D103" s="99"/>
      <c r="E103" s="99"/>
      <c r="F103" s="8"/>
    </row>
    <row r="104" spans="1:16" x14ac:dyDescent="0.25">
      <c r="A104" s="8"/>
      <c r="B104" s="99"/>
      <c r="C104" s="99"/>
      <c r="D104" s="99"/>
      <c r="E104" s="99"/>
    </row>
    <row r="105" spans="1:16" x14ac:dyDescent="0.25">
      <c r="B105" s="383" t="s">
        <v>365</v>
      </c>
      <c r="C105" s="124"/>
      <c r="D105" s="128"/>
      <c r="E105" s="128"/>
    </row>
    <row r="106" spans="1:16" x14ac:dyDescent="0.25">
      <c r="A106" s="70"/>
      <c r="B106" s="124" t="s">
        <v>367</v>
      </c>
      <c r="C106" s="124"/>
      <c r="D106" s="125"/>
      <c r="E106" s="125"/>
    </row>
    <row r="107" spans="1:16" x14ac:dyDescent="0.25">
      <c r="A107" s="20"/>
      <c r="B107" s="126"/>
      <c r="C107" s="126" t="s">
        <v>92</v>
      </c>
      <c r="D107" s="126" t="s">
        <v>93</v>
      </c>
      <c r="E107" s="126" t="s">
        <v>94</v>
      </c>
    </row>
    <row r="108" spans="1:16" x14ac:dyDescent="0.25">
      <c r="A108" s="11"/>
      <c r="B108" s="124" t="s">
        <v>4</v>
      </c>
      <c r="C108" s="124"/>
      <c r="D108" s="347">
        <f>SUM(E109:E112)</f>
        <v>1870171.2615391666</v>
      </c>
      <c r="E108" s="347"/>
    </row>
    <row r="109" spans="1:16" x14ac:dyDescent="0.25">
      <c r="A109" s="11"/>
      <c r="B109" s="124"/>
      <c r="C109" s="124" t="s">
        <v>147</v>
      </c>
      <c r="D109" s="347"/>
      <c r="E109" s="347">
        <f>'Data for Settlement &amp; 1st TU'!O95</f>
        <v>1141522.8563539525</v>
      </c>
    </row>
    <row r="110" spans="1:16" x14ac:dyDescent="0.25">
      <c r="A110" s="11"/>
      <c r="B110" s="124"/>
      <c r="C110" s="124" t="s">
        <v>40</v>
      </c>
      <c r="D110" s="347"/>
      <c r="E110" s="375">
        <f>'Data for Settlement &amp; 1st TU'!O99</f>
        <v>237505.37581193214</v>
      </c>
    </row>
    <row r="111" spans="1:16" x14ac:dyDescent="0.25">
      <c r="A111" s="11"/>
      <c r="B111" s="124"/>
      <c r="C111" s="124" t="s">
        <v>148</v>
      </c>
      <c r="D111" s="347"/>
      <c r="E111" s="375">
        <f>'Data for Settlement &amp; 1st TU'!O100</f>
        <v>244539.94</v>
      </c>
    </row>
    <row r="112" spans="1:16" x14ac:dyDescent="0.25">
      <c r="A112" s="11"/>
      <c r="B112" s="124"/>
      <c r="C112" s="124" t="s">
        <v>149</v>
      </c>
      <c r="D112" s="347"/>
      <c r="E112" s="375">
        <f>'Data for Settlement &amp; 1st TU'!O101</f>
        <v>246603.08937328189</v>
      </c>
    </row>
    <row r="113" spans="1:16" ht="15.75" thickBot="1" x14ac:dyDescent="0.3">
      <c r="B113" s="124"/>
      <c r="C113" s="124"/>
      <c r="D113" s="348">
        <f>SUM(D108:D112)</f>
        <v>1870171.2615391666</v>
      </c>
      <c r="E113" s="348">
        <f>SUM(E108:E112)</f>
        <v>1870171.2615391666</v>
      </c>
    </row>
    <row r="114" spans="1:16" ht="78" customHeight="1" thickTop="1" x14ac:dyDescent="0.25">
      <c r="B114" s="586" t="s">
        <v>376</v>
      </c>
      <c r="C114" s="586"/>
      <c r="D114" s="586"/>
      <c r="E114" s="586"/>
    </row>
    <row r="115" spans="1:16" s="109" customFormat="1" x14ac:dyDescent="0.25">
      <c r="B115" s="131"/>
      <c r="C115" s="131"/>
      <c r="D115" s="131"/>
      <c r="E115" s="131"/>
      <c r="F115" s="50"/>
    </row>
    <row r="116" spans="1:16" x14ac:dyDescent="0.25">
      <c r="C116" s="75"/>
      <c r="D116" s="75"/>
      <c r="E116" s="75"/>
      <c r="F116" s="8"/>
    </row>
    <row r="117" spans="1:16" x14ac:dyDescent="0.25">
      <c r="B117" s="383" t="s">
        <v>368</v>
      </c>
      <c r="C117" s="124"/>
      <c r="D117" s="128"/>
      <c r="E117" s="128"/>
      <c r="F117" s="8"/>
    </row>
    <row r="118" spans="1:16" x14ac:dyDescent="0.25">
      <c r="B118" s="124" t="s">
        <v>369</v>
      </c>
      <c r="C118" s="124"/>
      <c r="D118" s="125"/>
      <c r="E118" s="125"/>
      <c r="F118" s="8"/>
    </row>
    <row r="119" spans="1:16" x14ac:dyDescent="0.25">
      <c r="B119" s="126"/>
      <c r="C119" s="126" t="s">
        <v>92</v>
      </c>
      <c r="D119" s="126" t="s">
        <v>93</v>
      </c>
      <c r="E119" s="126" t="s">
        <v>94</v>
      </c>
      <c r="F119" s="8"/>
    </row>
    <row r="120" spans="1:16" x14ac:dyDescent="0.25">
      <c r="A120" s="11"/>
      <c r="B120" s="124" t="s">
        <v>4</v>
      </c>
      <c r="C120" s="124"/>
      <c r="D120" s="347">
        <f>SUM(E121:E123)</f>
        <v>1625631.3215391666</v>
      </c>
      <c r="E120" s="347"/>
      <c r="F120" s="8"/>
    </row>
    <row r="121" spans="1:16" x14ac:dyDescent="0.25">
      <c r="B121" s="124"/>
      <c r="C121" s="124" t="s">
        <v>232</v>
      </c>
      <c r="D121" s="347"/>
      <c r="E121" s="347">
        <f>'Data for Settlement &amp; 1st TU'!P95</f>
        <v>1141522.8563539525</v>
      </c>
      <c r="F121" s="8"/>
      <c r="I121" s="573"/>
      <c r="J121" s="573"/>
      <c r="K121" s="573"/>
      <c r="L121" s="573"/>
    </row>
    <row r="122" spans="1:16" x14ac:dyDescent="0.25">
      <c r="B122" s="124"/>
      <c r="C122" s="124" t="s">
        <v>188</v>
      </c>
      <c r="D122" s="347"/>
      <c r="E122" s="375">
        <f>'Data for Settlement &amp; 1st TU'!P99</f>
        <v>237505.37581193214</v>
      </c>
      <c r="F122" s="8"/>
    </row>
    <row r="123" spans="1:16" x14ac:dyDescent="0.25">
      <c r="B123" s="124"/>
      <c r="C123" s="124" t="s">
        <v>189</v>
      </c>
      <c r="D123" s="347"/>
      <c r="E123" s="375">
        <f>'Data for Settlement &amp; 1st TU'!P101</f>
        <v>246603.08937328189</v>
      </c>
      <c r="F123" s="8"/>
    </row>
    <row r="124" spans="1:16" ht="15.75" thickBot="1" x14ac:dyDescent="0.3">
      <c r="B124" s="124"/>
      <c r="C124" s="124"/>
      <c r="D124" s="348">
        <f>SUM(D120:D123)</f>
        <v>1625631.3215391666</v>
      </c>
      <c r="E124" s="348">
        <f>SUM(E120:E123)</f>
        <v>1625631.3215391666</v>
      </c>
    </row>
    <row r="125" spans="1:16" ht="106.5" customHeight="1" thickTop="1" x14ac:dyDescent="0.25">
      <c r="B125" s="586" t="s">
        <v>382</v>
      </c>
      <c r="C125" s="586"/>
      <c r="D125" s="586"/>
      <c r="E125" s="586"/>
      <c r="F125" s="8"/>
    </row>
    <row r="126" spans="1:16" x14ac:dyDescent="0.25">
      <c r="B126" s="99"/>
      <c r="C126" s="99"/>
      <c r="D126" s="99"/>
      <c r="E126" s="99"/>
      <c r="F126" s="8"/>
      <c r="N126" s="9"/>
      <c r="O126" s="6"/>
      <c r="P126" s="47"/>
    </row>
    <row r="127" spans="1:16" ht="15.75" thickBot="1" x14ac:dyDescent="0.3">
      <c r="B127" s="99"/>
      <c r="C127" s="99"/>
      <c r="D127" s="99"/>
      <c r="E127" s="99"/>
      <c r="F127" s="8"/>
      <c r="N127" s="9"/>
      <c r="O127" s="6"/>
      <c r="P127" s="47"/>
    </row>
    <row r="128" spans="1:16" ht="15.75" thickTop="1" x14ac:dyDescent="0.25">
      <c r="A128" s="8"/>
      <c r="B128" s="382" t="s">
        <v>368</v>
      </c>
      <c r="C128" s="273"/>
      <c r="D128" s="273"/>
      <c r="E128" s="274"/>
      <c r="F128" s="8"/>
    </row>
    <row r="129" spans="1:16" ht="18" customHeight="1" x14ac:dyDescent="0.25">
      <c r="A129" s="8"/>
      <c r="B129" s="254" t="s">
        <v>387</v>
      </c>
      <c r="C129" s="99"/>
      <c r="D129" s="99"/>
      <c r="E129" s="275"/>
      <c r="N129" s="9"/>
      <c r="O129" s="6"/>
      <c r="P129" s="47"/>
    </row>
    <row r="130" spans="1:16" x14ac:dyDescent="0.25">
      <c r="A130" s="20"/>
      <c r="B130" s="256"/>
      <c r="C130" s="20" t="s">
        <v>92</v>
      </c>
      <c r="D130" s="20" t="s">
        <v>93</v>
      </c>
      <c r="E130" s="257" t="s">
        <v>94</v>
      </c>
      <c r="M130" s="74"/>
      <c r="N130" s="9"/>
      <c r="O130" s="6"/>
      <c r="P130" s="47"/>
    </row>
    <row r="131" spans="1:16" x14ac:dyDescent="0.25">
      <c r="A131" s="11"/>
      <c r="B131" s="254" t="s">
        <v>0</v>
      </c>
      <c r="D131" s="428">
        <f>+E133</f>
        <v>0</v>
      </c>
      <c r="E131" s="429">
        <f>+D133</f>
        <v>121591.40888750181</v>
      </c>
    </row>
    <row r="132" spans="1:16" x14ac:dyDescent="0.25">
      <c r="A132" s="11"/>
      <c r="B132" s="254" t="s">
        <v>184</v>
      </c>
      <c r="D132" s="47">
        <f>'T-Accounts'!M77</f>
        <v>50342.099344328977</v>
      </c>
      <c r="E132" s="258"/>
      <c r="F132" s="106"/>
    </row>
    <row r="133" spans="1:16" s="20" customFormat="1" x14ac:dyDescent="0.25">
      <c r="A133" s="11"/>
      <c r="B133" s="254"/>
      <c r="C133" t="s">
        <v>192</v>
      </c>
      <c r="D133" s="428">
        <f>'T-Accounts'!D77</f>
        <v>121591.40888750181</v>
      </c>
      <c r="E133" s="427"/>
      <c r="F133" s="106"/>
    </row>
    <row r="134" spans="1:16" x14ac:dyDescent="0.25">
      <c r="B134" s="254"/>
      <c r="C134" t="s">
        <v>195</v>
      </c>
      <c r="E134" s="271">
        <f>+D132</f>
        <v>50342.099344328977</v>
      </c>
      <c r="F134" s="106"/>
    </row>
    <row r="135" spans="1:16" ht="15.75" thickBot="1" x14ac:dyDescent="0.3">
      <c r="A135" s="8"/>
      <c r="B135" s="254"/>
      <c r="D135" s="312">
        <f>SUM(D131:D134)</f>
        <v>171933.50823183078</v>
      </c>
      <c r="E135" s="349">
        <f>SUM(E131:E134)</f>
        <v>171933.50823183078</v>
      </c>
    </row>
    <row r="136" spans="1:16" ht="16.5" thickTop="1" thickBot="1" x14ac:dyDescent="0.3">
      <c r="A136" s="8"/>
      <c r="B136" s="276" t="s">
        <v>370</v>
      </c>
      <c r="C136" s="277"/>
      <c r="D136" s="278"/>
      <c r="E136" s="279"/>
    </row>
    <row r="137" spans="1:16" ht="15.75" thickTop="1" x14ac:dyDescent="0.25">
      <c r="A137" s="8"/>
      <c r="B137" s="99"/>
      <c r="C137" s="99"/>
      <c r="D137" s="99"/>
      <c r="E137" s="99"/>
    </row>
    <row r="138" spans="1:16" x14ac:dyDescent="0.25">
      <c r="A138" s="8"/>
      <c r="B138" s="99"/>
      <c r="C138" s="99"/>
      <c r="D138" s="99"/>
      <c r="E138" s="99"/>
    </row>
    <row r="139" spans="1:16" x14ac:dyDescent="0.25">
      <c r="B139" s="383" t="s">
        <v>371</v>
      </c>
      <c r="C139" s="124"/>
      <c r="D139" s="128"/>
      <c r="E139" s="128"/>
    </row>
    <row r="140" spans="1:16" x14ac:dyDescent="0.25">
      <c r="A140" s="70"/>
      <c r="B140" s="124" t="s">
        <v>372</v>
      </c>
      <c r="C140" s="124"/>
      <c r="D140" s="125"/>
      <c r="E140" s="125"/>
    </row>
    <row r="141" spans="1:16" x14ac:dyDescent="0.25">
      <c r="A141" s="20"/>
      <c r="B141" s="126"/>
      <c r="C141" s="126" t="s">
        <v>92</v>
      </c>
      <c r="D141" s="126" t="s">
        <v>93</v>
      </c>
      <c r="E141" s="126" t="s">
        <v>94</v>
      </c>
    </row>
    <row r="142" spans="1:16" x14ac:dyDescent="0.25">
      <c r="A142" s="11"/>
      <c r="B142" s="124" t="s">
        <v>155</v>
      </c>
      <c r="C142" s="124"/>
      <c r="D142" s="347">
        <f>'Data for Settlement &amp; 1st TU'!P95</f>
        <v>1141522.8563539525</v>
      </c>
      <c r="E142" s="129"/>
    </row>
    <row r="143" spans="1:16" x14ac:dyDescent="0.25">
      <c r="A143" s="11"/>
      <c r="B143" s="124" t="s">
        <v>43</v>
      </c>
      <c r="C143" s="124"/>
      <c r="D143" s="129">
        <f>'Data for Settlement &amp; 1st TU'!P99</f>
        <v>237505.37581193214</v>
      </c>
      <c r="E143" s="129"/>
    </row>
    <row r="144" spans="1:16" x14ac:dyDescent="0.25">
      <c r="B144" s="124" t="s">
        <v>157</v>
      </c>
      <c r="C144" s="124"/>
      <c r="D144" s="129">
        <f>'Data for Settlement &amp; 1st TU'!P101</f>
        <v>246603.08937328189</v>
      </c>
      <c r="E144" s="129"/>
    </row>
    <row r="145" spans="1:7" x14ac:dyDescent="0.25">
      <c r="B145" s="124"/>
      <c r="C145" s="124" t="s">
        <v>42</v>
      </c>
      <c r="D145" s="129"/>
      <c r="E145" s="347">
        <f>'Data for Settlement &amp; 1st TU'!P104</f>
        <v>1625631.3215391666</v>
      </c>
    </row>
    <row r="146" spans="1:7" ht="15.75" thickBot="1" x14ac:dyDescent="0.3">
      <c r="B146" s="124"/>
      <c r="C146" s="124"/>
      <c r="D146" s="351">
        <f>SUM(D142:D145)</f>
        <v>1625631.3215391666</v>
      </c>
      <c r="E146" s="348">
        <f>SUM(E142:E145)</f>
        <v>1625631.3215391666</v>
      </c>
    </row>
    <row r="147" spans="1:7" ht="16.899999999999999" customHeight="1" thickTop="1" x14ac:dyDescent="0.25">
      <c r="B147" s="583" t="s">
        <v>373</v>
      </c>
      <c r="C147" s="583"/>
      <c r="D147" s="583"/>
      <c r="E147" s="583"/>
    </row>
    <row r="148" spans="1:7" x14ac:dyDescent="0.25">
      <c r="C148" s="75"/>
      <c r="D148" s="75"/>
      <c r="E148" s="75"/>
      <c r="F148" s="8"/>
    </row>
    <row r="149" spans="1:7" x14ac:dyDescent="0.25">
      <c r="C149" s="75"/>
      <c r="D149" s="75"/>
      <c r="E149" s="75"/>
      <c r="F149" s="8"/>
    </row>
    <row r="150" spans="1:7" x14ac:dyDescent="0.25">
      <c r="A150" s="8"/>
      <c r="B150" s="383" t="s">
        <v>374</v>
      </c>
      <c r="C150" s="124"/>
      <c r="D150" s="124"/>
      <c r="E150" s="124"/>
    </row>
    <row r="151" spans="1:7" x14ac:dyDescent="0.25">
      <c r="A151" s="8"/>
      <c r="B151" s="124" t="s">
        <v>214</v>
      </c>
      <c r="C151" s="124"/>
      <c r="D151" s="124"/>
      <c r="E151" s="124"/>
    </row>
    <row r="152" spans="1:7" x14ac:dyDescent="0.25">
      <c r="A152" s="20"/>
      <c r="B152" s="126"/>
      <c r="C152" s="126" t="s">
        <v>92</v>
      </c>
      <c r="D152" s="126" t="s">
        <v>93</v>
      </c>
      <c r="E152" s="126" t="s">
        <v>94</v>
      </c>
    </row>
    <row r="153" spans="1:7" x14ac:dyDescent="0.25">
      <c r="A153" s="8"/>
      <c r="B153" s="124" t="s">
        <v>4</v>
      </c>
      <c r="C153" s="124"/>
      <c r="D153" s="356">
        <f>'Data for 2nd TU'!L94+'Data for 2nd TU'!L101</f>
        <v>1625631.3215391666</v>
      </c>
      <c r="E153" s="124"/>
    </row>
    <row r="154" spans="1:7" x14ac:dyDescent="0.25">
      <c r="A154" s="8"/>
      <c r="B154" s="124"/>
      <c r="C154" s="124" t="s">
        <v>147</v>
      </c>
      <c r="D154" s="124"/>
      <c r="E154" s="356">
        <f>'Data for 2nd TU'!L94</f>
        <v>1141522.8563539525</v>
      </c>
      <c r="G154" s="59"/>
    </row>
    <row r="155" spans="1:7" x14ac:dyDescent="0.25">
      <c r="A155" s="8"/>
      <c r="B155" s="124"/>
      <c r="C155" s="124" t="s">
        <v>40</v>
      </c>
      <c r="D155" s="124"/>
      <c r="E155" s="127">
        <f>'Data for 2nd TU'!L98</f>
        <v>237505.37581193214</v>
      </c>
      <c r="G155" s="59"/>
    </row>
    <row r="156" spans="1:7" ht="14.65" customHeight="1" x14ac:dyDescent="0.25">
      <c r="A156" s="8"/>
      <c r="B156" s="124"/>
      <c r="C156" s="124" t="s">
        <v>149</v>
      </c>
      <c r="D156" s="124"/>
      <c r="E156" s="127">
        <f>'Data for 2nd TU'!L100</f>
        <v>246603.08937328189</v>
      </c>
      <c r="G156" s="59"/>
    </row>
    <row r="157" spans="1:7" ht="15.75" thickBot="1" x14ac:dyDescent="0.3">
      <c r="A157" s="8"/>
      <c r="B157" s="124"/>
      <c r="C157" s="124"/>
      <c r="D157" s="348">
        <f>SUM(D153:D156)</f>
        <v>1625631.3215391666</v>
      </c>
      <c r="E157" s="348">
        <f>SUM(E153:E156)</f>
        <v>1625631.3215391666</v>
      </c>
    </row>
    <row r="158" spans="1:7" ht="80.650000000000006" customHeight="1" thickTop="1" x14ac:dyDescent="0.25">
      <c r="A158" s="8"/>
      <c r="B158" s="586" t="s">
        <v>375</v>
      </c>
      <c r="C158" s="586"/>
      <c r="D158" s="586"/>
      <c r="E158" s="586"/>
    </row>
    <row r="159" spans="1:7" x14ac:dyDescent="0.25">
      <c r="A159" s="8"/>
    </row>
    <row r="160" spans="1:7" ht="15.75" thickBot="1" x14ac:dyDescent="0.3">
      <c r="A160" s="8"/>
    </row>
    <row r="161" spans="1:5" ht="18" customHeight="1" thickTop="1" x14ac:dyDescent="0.25">
      <c r="A161" s="8"/>
      <c r="B161" s="384" t="s">
        <v>374</v>
      </c>
      <c r="C161" s="251"/>
      <c r="D161" s="251"/>
      <c r="E161" s="260"/>
    </row>
    <row r="162" spans="1:5" ht="15.75" customHeight="1" x14ac:dyDescent="0.25">
      <c r="A162" s="8"/>
      <c r="B162" s="262" t="s">
        <v>215</v>
      </c>
      <c r="C162" s="263"/>
      <c r="D162" s="264"/>
      <c r="E162" s="265"/>
    </row>
    <row r="163" spans="1:5" ht="18.75" customHeight="1" x14ac:dyDescent="0.25">
      <c r="A163" s="8"/>
      <c r="B163" s="266"/>
      <c r="C163" s="267" t="s">
        <v>92</v>
      </c>
      <c r="D163" s="267" t="s">
        <v>93</v>
      </c>
      <c r="E163" s="268" t="s">
        <v>94</v>
      </c>
    </row>
    <row r="164" spans="1:5" ht="16.5" customHeight="1" x14ac:dyDescent="0.25">
      <c r="A164" s="8"/>
      <c r="B164" s="262" t="s">
        <v>0</v>
      </c>
      <c r="C164" s="263"/>
      <c r="D164" s="357">
        <f>E165</f>
        <v>0</v>
      </c>
      <c r="E164" s="358"/>
    </row>
    <row r="165" spans="1:5" ht="18" customHeight="1" x14ac:dyDescent="0.25">
      <c r="A165" s="8"/>
      <c r="B165" s="269"/>
      <c r="C165" s="270" t="s">
        <v>1</v>
      </c>
      <c r="D165" s="357"/>
      <c r="E165" s="358">
        <f>+'RPP 2nd TU'!K46</f>
        <v>0</v>
      </c>
    </row>
    <row r="166" spans="1:5" ht="18.75" customHeight="1" thickBot="1" x14ac:dyDescent="0.3">
      <c r="A166" s="8"/>
      <c r="B166" s="262"/>
      <c r="C166" s="263"/>
      <c r="D166" s="359">
        <f>SUM(D164:D165)</f>
        <v>0</v>
      </c>
      <c r="E166" s="385">
        <f>SUM(E164:E165)</f>
        <v>0</v>
      </c>
    </row>
    <row r="167" spans="1:5" ht="81" customHeight="1" thickTop="1" thickBot="1" x14ac:dyDescent="0.3">
      <c r="A167" s="8"/>
      <c r="B167" s="580" t="s">
        <v>440</v>
      </c>
      <c r="C167" s="581"/>
      <c r="D167" s="581"/>
      <c r="E167" s="582"/>
    </row>
    <row r="168" spans="1:5" ht="15.75" thickTop="1" x14ac:dyDescent="0.25">
      <c r="A168" s="8"/>
      <c r="B168" s="132"/>
      <c r="C168" s="132"/>
      <c r="D168" s="132"/>
      <c r="E168" s="132"/>
    </row>
    <row r="169" spans="1:5" ht="15.75" thickBot="1" x14ac:dyDescent="0.3">
      <c r="A169" s="8"/>
    </row>
    <row r="170" spans="1:5" ht="15.75" thickTop="1" x14ac:dyDescent="0.25">
      <c r="B170" s="384" t="s">
        <v>374</v>
      </c>
      <c r="C170" s="251"/>
      <c r="D170" s="251"/>
      <c r="E170" s="260"/>
    </row>
    <row r="171" spans="1:5" x14ac:dyDescent="0.25">
      <c r="B171" s="254" t="s">
        <v>216</v>
      </c>
      <c r="E171" s="261"/>
    </row>
    <row r="172" spans="1:5" x14ac:dyDescent="0.25">
      <c r="A172" s="20"/>
      <c r="B172" s="256"/>
      <c r="C172" s="20" t="s">
        <v>92</v>
      </c>
      <c r="D172" s="20" t="s">
        <v>93</v>
      </c>
      <c r="E172" s="257" t="s">
        <v>94</v>
      </c>
    </row>
    <row r="173" spans="1:5" x14ac:dyDescent="0.25">
      <c r="B173" s="254" t="s">
        <v>44</v>
      </c>
      <c r="C173" s="5"/>
      <c r="D173" s="5">
        <f>+'RPP vs non-RPP TU JE'!I7</f>
        <v>0</v>
      </c>
      <c r="E173" s="271"/>
    </row>
    <row r="174" spans="1:5" x14ac:dyDescent="0.25">
      <c r="B174" s="254"/>
      <c r="C174" t="s">
        <v>45</v>
      </c>
      <c r="E174" s="271">
        <f>+D173</f>
        <v>0</v>
      </c>
    </row>
    <row r="175" spans="1:5" ht="15.75" thickBot="1" x14ac:dyDescent="0.3">
      <c r="B175" s="254"/>
      <c r="D175" s="45">
        <f>SUM(D173:D174)</f>
        <v>0</v>
      </c>
      <c r="E175" s="259">
        <f>SUM(E173:E174)</f>
        <v>0</v>
      </c>
    </row>
    <row r="176" spans="1:5" ht="32.25" customHeight="1" thickTop="1" thickBot="1" x14ac:dyDescent="0.3">
      <c r="B176" s="577" t="s">
        <v>378</v>
      </c>
      <c r="C176" s="578"/>
      <c r="D176" s="578"/>
      <c r="E176" s="579"/>
    </row>
    <row r="177" spans="2:6" ht="15.75" thickTop="1" x14ac:dyDescent="0.25">
      <c r="B177" s="99"/>
      <c r="C177" s="99"/>
      <c r="D177" s="99"/>
      <c r="E177" s="99"/>
    </row>
    <row r="178" spans="2:6" ht="15.75" thickBot="1" x14ac:dyDescent="0.3"/>
    <row r="179" spans="2:6" ht="15.75" thickTop="1" x14ac:dyDescent="0.25">
      <c r="B179" s="384" t="s">
        <v>374</v>
      </c>
      <c r="C179" s="273"/>
      <c r="D179" s="273"/>
      <c r="E179" s="274"/>
    </row>
    <row r="180" spans="2:6" x14ac:dyDescent="0.25">
      <c r="B180" s="254" t="s">
        <v>379</v>
      </c>
      <c r="C180" s="99"/>
      <c r="D180" s="99"/>
      <c r="E180" s="275"/>
    </row>
    <row r="181" spans="2:6" x14ac:dyDescent="0.25">
      <c r="B181" s="256"/>
      <c r="C181" s="20" t="s">
        <v>92</v>
      </c>
      <c r="D181" s="20" t="s">
        <v>93</v>
      </c>
      <c r="E181" s="257" t="s">
        <v>94</v>
      </c>
    </row>
    <row r="182" spans="2:6" x14ac:dyDescent="0.25">
      <c r="B182" s="254" t="s">
        <v>0</v>
      </c>
      <c r="D182" s="350">
        <f>'T-Accounts'!D42</f>
        <v>0</v>
      </c>
      <c r="E182" s="258"/>
      <c r="F182" s="106"/>
    </row>
    <row r="183" spans="2:6" x14ac:dyDescent="0.25">
      <c r="B183" s="254" t="s">
        <v>242</v>
      </c>
      <c r="D183" s="47">
        <f>'T-Accounts'!M65</f>
        <v>0</v>
      </c>
      <c r="E183" s="258"/>
      <c r="F183" s="106"/>
    </row>
    <row r="184" spans="2:6" x14ac:dyDescent="0.25">
      <c r="B184" s="254"/>
      <c r="C184" t="s">
        <v>192</v>
      </c>
      <c r="D184" s="47"/>
      <c r="E184" s="346">
        <f>D182</f>
        <v>0</v>
      </c>
    </row>
    <row r="185" spans="2:6" x14ac:dyDescent="0.25">
      <c r="B185" s="254"/>
      <c r="C185" t="s">
        <v>193</v>
      </c>
      <c r="E185" s="271">
        <f>D183</f>
        <v>0</v>
      </c>
    </row>
    <row r="186" spans="2:6" ht="15.75" thickBot="1" x14ac:dyDescent="0.3">
      <c r="B186" s="254"/>
      <c r="D186" s="312">
        <f>SUM(D182:D185)</f>
        <v>0</v>
      </c>
      <c r="E186" s="354">
        <f>SUM(E182:E185)</f>
        <v>0</v>
      </c>
    </row>
    <row r="187" spans="2:6" ht="16.5" thickTop="1" thickBot="1" x14ac:dyDescent="0.3">
      <c r="B187" s="276" t="s">
        <v>380</v>
      </c>
      <c r="C187" s="277"/>
      <c r="D187" s="277"/>
      <c r="E187" s="280"/>
    </row>
    <row r="188" spans="2:6" ht="15.75" thickTop="1" x14ac:dyDescent="0.25"/>
  </sheetData>
  <mergeCells count="15">
    <mergeCell ref="B176:E176"/>
    <mergeCell ref="B158:E158"/>
    <mergeCell ref="B99:C99"/>
    <mergeCell ref="B30:E30"/>
    <mergeCell ref="B102:E102"/>
    <mergeCell ref="B74:E74"/>
    <mergeCell ref="B125:E125"/>
    <mergeCell ref="B114:E114"/>
    <mergeCell ref="I121:L121"/>
    <mergeCell ref="B18:E18"/>
    <mergeCell ref="B93:E93"/>
    <mergeCell ref="B61:E61"/>
    <mergeCell ref="B167:E167"/>
    <mergeCell ref="B147:E147"/>
    <mergeCell ref="B42:E43"/>
  </mergeCells>
  <pageMargins left="0.70866141732283472" right="0.70866141732283472" top="0.74803149606299213" bottom="0.74803149606299213" header="0.31496062992125984" footer="0.31496062992125984"/>
  <pageSetup scale="75" fitToHeight="4" orientation="portrait" horizontalDpi="4294967293" r:id="rId1"/>
  <rowBreaks count="3" manualBreakCount="3">
    <brk id="63" max="11" man="1"/>
    <brk id="102" max="11" man="1"/>
    <brk id="147"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Summary of Updates</vt:lpstr>
      <vt:lpstr>Data for Settlement &amp; 1st TU</vt:lpstr>
      <vt:lpstr>RPP Settlement &amp; 1st TU</vt:lpstr>
      <vt:lpstr>Data for 2nd TU</vt:lpstr>
      <vt:lpstr>RPP 2nd TU</vt:lpstr>
      <vt:lpstr>RPP vs non-RPP TU JE</vt:lpstr>
      <vt:lpstr>Rate Application Related</vt:lpstr>
      <vt:lpstr>Final RSVA Balances</vt:lpstr>
      <vt:lpstr>JEs</vt:lpstr>
      <vt:lpstr>T-Accounts</vt:lpstr>
      <vt:lpstr>'Data for 2nd TU'!Print_Area</vt:lpstr>
      <vt:lpstr>'Data for Settlement &amp; 1st TU'!Print_Area</vt:lpstr>
      <vt:lpstr>'Final RSVA Balances'!Print_Area</vt:lpstr>
      <vt:lpstr>JEs!Print_Area</vt:lpstr>
      <vt:lpstr>'Rate Application Related'!Print_Area</vt:lpstr>
      <vt:lpstr>'RPP 2nd TU'!Print_Area</vt:lpstr>
      <vt:lpstr>'RPP Settlement &amp; 1st TU'!Print_Area</vt:lpstr>
      <vt:lpstr>'RPP vs non-RPP TU JE'!Print_Area</vt:lpstr>
      <vt:lpstr>'Summary of Updates'!Print_Area</vt:lpstr>
      <vt:lpstr>'T-Accounts'!Print_Area</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Rajvinder Sabharwal</dc:creator>
  <cp:lastModifiedBy>Barber, Rodney</cp:lastModifiedBy>
  <cp:lastPrinted>2019-02-21T20:35:44Z</cp:lastPrinted>
  <dcterms:created xsi:type="dcterms:W3CDTF">2018-09-11T21:06:14Z</dcterms:created>
  <dcterms:modified xsi:type="dcterms:W3CDTF">2025-10-17T15:28:38Z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24.1</vt:lpwstr>
  </property>
</Properties>
</file>