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6 Rates\1 - Application\"/>
    </mc:Choice>
  </mc:AlternateContent>
  <xr:revisionPtr revIDLastSave="0" documentId="13_ncr:1_{357F81FC-24E3-4E51-AB6D-8197998C83A6}" xr6:coauthVersionLast="47" xr6:coauthVersionMax="47" xr10:uidLastSave="{00000000-0000-0000-0000-000000000000}"/>
  <bookViews>
    <workbookView xWindow="28680" yWindow="-120" windowWidth="29040" windowHeight="15720" tabRatio="830" activeTab="1" xr2:uid="{0FD6F116-BFD0-43D4-B859-8718EA42C03C}"/>
  </bookViews>
  <sheets>
    <sheet name="Input Data" sheetId="22" r:id="rId1"/>
    <sheet name="Power Purchased True-Up" sheetId="23" r:id="rId2"/>
    <sheet name="2023-24 Overcollection" sheetId="24" r:id="rId3"/>
    <sheet name="Summary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4" l="1"/>
  <c r="I32" i="24"/>
  <c r="I31" i="24"/>
  <c r="I20" i="24"/>
  <c r="I19" i="24"/>
  <c r="J19" i="24"/>
  <c r="J18" i="24"/>
  <c r="J30" i="24"/>
  <c r="Z15" i="23"/>
  <c r="O38" i="23"/>
  <c r="O34" i="23"/>
  <c r="I25" i="23"/>
  <c r="O25" i="23" s="1"/>
  <c r="I26" i="23"/>
  <c r="O26" i="23" s="1"/>
  <c r="D38" i="25"/>
  <c r="E63" i="23"/>
  <c r="E64" i="23"/>
  <c r="E51" i="23"/>
  <c r="E50" i="23"/>
  <c r="T55" i="22"/>
  <c r="J22" i="24"/>
  <c r="J21" i="24"/>
  <c r="J20" i="24"/>
  <c r="O10" i="24"/>
  <c r="C37" i="25"/>
  <c r="V55" i="22" l="1"/>
  <c r="Z54" i="22"/>
  <c r="Z53" i="22"/>
  <c r="Z52" i="22"/>
  <c r="Z51" i="22"/>
  <c r="Z49" i="22"/>
  <c r="Z48" i="22"/>
  <c r="Z47" i="22"/>
  <c r="Z46" i="22"/>
  <c r="Z45" i="22"/>
  <c r="Z44" i="22"/>
  <c r="Z43" i="22"/>
  <c r="Y54" i="22"/>
  <c r="Y53" i="22"/>
  <c r="Y52" i="22"/>
  <c r="Y51" i="22"/>
  <c r="Y49" i="22"/>
  <c r="Y48" i="22"/>
  <c r="Y47" i="22"/>
  <c r="Y46" i="22"/>
  <c r="Y45" i="22"/>
  <c r="Y44" i="22"/>
  <c r="Y43" i="22"/>
  <c r="X54" i="22"/>
  <c r="X53" i="22"/>
  <c r="X52" i="22"/>
  <c r="X51" i="22"/>
  <c r="X49" i="22"/>
  <c r="X48" i="22"/>
  <c r="X47" i="22"/>
  <c r="X46" i="22"/>
  <c r="X45" i="22"/>
  <c r="X44" i="22"/>
  <c r="X43" i="22"/>
  <c r="W54" i="22"/>
  <c r="W53" i="22"/>
  <c r="W52" i="22"/>
  <c r="W51" i="22"/>
  <c r="O21" i="24"/>
  <c r="I18" i="24"/>
  <c r="I38" i="22" l="1"/>
  <c r="V53" i="22"/>
  <c r="V43" i="22"/>
  <c r="I24" i="23"/>
  <c r="I23" i="23"/>
  <c r="V44" i="22"/>
  <c r="V45" i="22"/>
  <c r="V46" i="22"/>
  <c r="V47" i="22"/>
  <c r="V48" i="22"/>
  <c r="V49" i="22"/>
  <c r="V50" i="22"/>
  <c r="V51" i="22"/>
  <c r="V52" i="22"/>
  <c r="V54" i="22"/>
  <c r="I17" i="23" l="1"/>
  <c r="J54" i="22"/>
  <c r="D21" i="25" l="1"/>
  <c r="J47" i="22"/>
  <c r="I11" i="24"/>
  <c r="F34" i="22" l="1"/>
  <c r="G34" i="22"/>
  <c r="H34" i="22"/>
  <c r="I34" i="22"/>
  <c r="Z6" i="22"/>
  <c r="Z5" i="22"/>
  <c r="W11" i="22"/>
  <c r="W10" i="22"/>
  <c r="W9" i="22"/>
  <c r="W8" i="22"/>
  <c r="W7" i="22"/>
  <c r="W6" i="22"/>
  <c r="W5" i="22"/>
  <c r="I10" i="23" l="1"/>
  <c r="I14" i="23"/>
  <c r="I20" i="23"/>
  <c r="I21" i="23"/>
  <c r="I22" i="23"/>
  <c r="I28" i="23"/>
  <c r="O28" i="23" s="1"/>
  <c r="I29" i="23"/>
  <c r="O29" i="23" s="1"/>
  <c r="I30" i="23"/>
  <c r="O30" i="23" s="1"/>
  <c r="I11" i="23"/>
  <c r="I12" i="23"/>
  <c r="I13" i="23"/>
  <c r="I15" i="23"/>
  <c r="I16" i="23"/>
  <c r="I61" i="23" l="1"/>
  <c r="O61" i="23" s="1"/>
  <c r="I66" i="23"/>
  <c r="O66" i="23" s="1"/>
  <c r="I45" i="23"/>
  <c r="O45" i="23" s="1"/>
  <c r="I27" i="23"/>
  <c r="O27" i="23" s="1"/>
  <c r="I19" i="23"/>
  <c r="I39" i="23"/>
  <c r="O39" i="23" s="1"/>
  <c r="I55" i="23"/>
  <c r="O55" i="23" s="1"/>
  <c r="I42" i="23"/>
  <c r="O42" i="23" s="1"/>
  <c r="I38" i="23"/>
  <c r="I51" i="23"/>
  <c r="O51" i="23" s="1"/>
  <c r="I41" i="23"/>
  <c r="O41" i="23" s="1"/>
  <c r="I54" i="23"/>
  <c r="O54" i="23" s="1"/>
  <c r="I67" i="23"/>
  <c r="O67" i="23" s="1"/>
  <c r="I37" i="23"/>
  <c r="O37" i="23" s="1"/>
  <c r="I50" i="23"/>
  <c r="O50" i="23" s="1"/>
  <c r="I33" i="23"/>
  <c r="O33" i="23" s="1"/>
  <c r="I46" i="23"/>
  <c r="O46" i="23" s="1"/>
  <c r="I43" i="23"/>
  <c r="O43" i="23" s="1"/>
  <c r="I35" i="23"/>
  <c r="O35" i="23" s="1"/>
  <c r="I48" i="23"/>
  <c r="O48" i="23" s="1"/>
  <c r="I47" i="23"/>
  <c r="O47" i="23" s="1"/>
  <c r="I34" i="23"/>
  <c r="I60" i="23"/>
  <c r="O60" i="23" s="1"/>
  <c r="I40" i="23"/>
  <c r="O40" i="23" s="1"/>
  <c r="I53" i="23"/>
  <c r="O53" i="23" s="1"/>
  <c r="I36" i="23"/>
  <c r="O36" i="23" s="1"/>
  <c r="I49" i="23"/>
  <c r="O49" i="23" s="1"/>
  <c r="I32" i="23"/>
  <c r="O32" i="23" s="1"/>
  <c r="I52" i="23" l="1"/>
  <c r="O52" i="23" s="1"/>
  <c r="I56" i="23"/>
  <c r="O56" i="23" s="1"/>
  <c r="I59" i="23"/>
  <c r="O59" i="23" s="1"/>
  <c r="I58" i="23"/>
  <c r="O58" i="23" s="1"/>
  <c r="I62" i="23"/>
  <c r="O62" i="23" s="1"/>
  <c r="I69" i="23"/>
  <c r="O69" i="23" s="1"/>
  <c r="I63" i="23"/>
  <c r="O63" i="23" s="1"/>
  <c r="I64" i="23"/>
  <c r="O64" i="23" s="1"/>
  <c r="I68" i="23"/>
  <c r="O68" i="23" s="1"/>
  <c r="I65" i="23" l="1"/>
  <c r="O65" i="23" s="1"/>
  <c r="I43" i="22" l="1"/>
  <c r="C35" i="25" l="1"/>
  <c r="H33" i="25"/>
  <c r="G33" i="25"/>
  <c r="F33" i="25"/>
  <c r="E33" i="25"/>
  <c r="D33" i="25"/>
  <c r="N34" i="22"/>
  <c r="N38" i="22" s="1"/>
  <c r="AL6" i="22"/>
  <c r="L59" i="23" s="1"/>
  <c r="AL8" i="22"/>
  <c r="L61" i="23" s="1"/>
  <c r="N47" i="22"/>
  <c r="N48" i="22"/>
  <c r="N49" i="22"/>
  <c r="AL12" i="22"/>
  <c r="L65" i="23" s="1"/>
  <c r="N51" i="22"/>
  <c r="N52" i="22"/>
  <c r="AL15" i="22"/>
  <c r="L68" i="23" s="1"/>
  <c r="N54" i="22"/>
  <c r="AL5" i="22"/>
  <c r="L58" i="23" s="1"/>
  <c r="M44" i="22"/>
  <c r="AI7" i="22"/>
  <c r="L47" i="23" s="1"/>
  <c r="M46" i="22"/>
  <c r="M47" i="22"/>
  <c r="AI10" i="22"/>
  <c r="L50" i="23" s="1"/>
  <c r="N50" i="23" s="1"/>
  <c r="AI11" i="22"/>
  <c r="L51" i="23" s="1"/>
  <c r="N51" i="23" s="1"/>
  <c r="M50" i="22"/>
  <c r="M51" i="22"/>
  <c r="AI14" i="22"/>
  <c r="L54" i="23" s="1"/>
  <c r="M53" i="22"/>
  <c r="M54" i="22"/>
  <c r="I52" i="22"/>
  <c r="I53" i="22"/>
  <c r="I54" i="22"/>
  <c r="J34" i="22"/>
  <c r="J38" i="22" s="1"/>
  <c r="L54" i="22"/>
  <c r="Z16" i="22"/>
  <c r="L17" i="23" s="1"/>
  <c r="L52" i="22"/>
  <c r="Z14" i="22"/>
  <c r="L15" i="23" s="1"/>
  <c r="L50" i="22"/>
  <c r="Z12" i="22"/>
  <c r="L13" i="23" s="1"/>
  <c r="N13" i="23" s="1"/>
  <c r="P13" i="23" s="1"/>
  <c r="L48" i="22"/>
  <c r="Z10" i="22"/>
  <c r="L11" i="23" s="1"/>
  <c r="M11" i="23" s="1"/>
  <c r="L46" i="22"/>
  <c r="Z8" i="22"/>
  <c r="D21" i="24" s="1"/>
  <c r="L44" i="22"/>
  <c r="D19" i="24"/>
  <c r="E19" i="24" s="1"/>
  <c r="F43" i="24"/>
  <c r="E43" i="24"/>
  <c r="D43" i="24"/>
  <c r="H42" i="24"/>
  <c r="I42" i="24" s="1"/>
  <c r="H41" i="24"/>
  <c r="I41" i="24" s="1"/>
  <c r="H40" i="24"/>
  <c r="I40" i="24" s="1"/>
  <c r="H39" i="24"/>
  <c r="I39" i="24" s="1"/>
  <c r="H38" i="24"/>
  <c r="I38" i="24" s="1"/>
  <c r="H37" i="24"/>
  <c r="I37" i="24" s="1"/>
  <c r="H36" i="24"/>
  <c r="I36" i="24" s="1"/>
  <c r="H35" i="24"/>
  <c r="I35" i="24" s="1"/>
  <c r="H34" i="24"/>
  <c r="I34" i="24" s="1"/>
  <c r="H33" i="24"/>
  <c r="I33" i="24" s="1"/>
  <c r="H32" i="24"/>
  <c r="H31" i="24"/>
  <c r="H29" i="24"/>
  <c r="F29" i="24"/>
  <c r="E29" i="24"/>
  <c r="H28" i="24"/>
  <c r="F28" i="24"/>
  <c r="E28" i="24"/>
  <c r="H27" i="24"/>
  <c r="F27" i="24"/>
  <c r="E27" i="24"/>
  <c r="H26" i="24"/>
  <c r="F26" i="24"/>
  <c r="E26" i="24"/>
  <c r="H25" i="24"/>
  <c r="F25" i="24"/>
  <c r="E25" i="24"/>
  <c r="H24" i="24"/>
  <c r="F24" i="24"/>
  <c r="E24" i="24"/>
  <c r="H23" i="24"/>
  <c r="F23" i="24"/>
  <c r="E23" i="24"/>
  <c r="H22" i="24"/>
  <c r="F22" i="24"/>
  <c r="E22" i="24"/>
  <c r="H21" i="24"/>
  <c r="H20" i="24"/>
  <c r="H19" i="24"/>
  <c r="H18" i="24"/>
  <c r="J17" i="24"/>
  <c r="H16" i="24"/>
  <c r="H15" i="24"/>
  <c r="H14" i="24"/>
  <c r="H13" i="24"/>
  <c r="D13" i="24"/>
  <c r="H12" i="24"/>
  <c r="H11" i="24"/>
  <c r="H10" i="24"/>
  <c r="F10" i="24"/>
  <c r="E10" i="24"/>
  <c r="H9" i="24"/>
  <c r="F9" i="24"/>
  <c r="E9" i="24"/>
  <c r="H8" i="24"/>
  <c r="F8" i="24"/>
  <c r="E8" i="24"/>
  <c r="H7" i="24"/>
  <c r="F7" i="24"/>
  <c r="E7" i="24"/>
  <c r="H6" i="24"/>
  <c r="F6" i="24"/>
  <c r="E6" i="24"/>
  <c r="H5" i="24"/>
  <c r="F5" i="24"/>
  <c r="G5" i="24" s="1"/>
  <c r="E5" i="24"/>
  <c r="S69" i="23"/>
  <c r="S68" i="23"/>
  <c r="S67" i="23"/>
  <c r="S66" i="23"/>
  <c r="S65" i="23"/>
  <c r="S64" i="23"/>
  <c r="S63" i="23"/>
  <c r="S62" i="23"/>
  <c r="S61" i="23"/>
  <c r="S60" i="23"/>
  <c r="D60" i="23"/>
  <c r="H4" i="25" s="1"/>
  <c r="S59" i="23"/>
  <c r="S58" i="23"/>
  <c r="S56" i="23"/>
  <c r="S55" i="23"/>
  <c r="S54" i="23"/>
  <c r="S53" i="23"/>
  <c r="S52" i="23"/>
  <c r="S51" i="23"/>
  <c r="S50" i="23"/>
  <c r="S49" i="23"/>
  <c r="S48" i="23"/>
  <c r="S47" i="23"/>
  <c r="D47" i="23"/>
  <c r="G4" i="25" s="1"/>
  <c r="S46" i="23"/>
  <c r="S45" i="23"/>
  <c r="S43" i="23"/>
  <c r="S42" i="23"/>
  <c r="S41" i="23"/>
  <c r="S40" i="23"/>
  <c r="S39" i="23"/>
  <c r="S38" i="23"/>
  <c r="S37" i="23"/>
  <c r="S36" i="23"/>
  <c r="S35" i="23"/>
  <c r="S34" i="23"/>
  <c r="D34" i="23"/>
  <c r="S33" i="23"/>
  <c r="S32" i="23"/>
  <c r="S30" i="23"/>
  <c r="S29" i="23"/>
  <c r="S28" i="23"/>
  <c r="S27" i="23"/>
  <c r="S26" i="23"/>
  <c r="S25" i="23"/>
  <c r="F25" i="23"/>
  <c r="S24" i="23"/>
  <c r="S23" i="23"/>
  <c r="S22" i="23"/>
  <c r="S21" i="23"/>
  <c r="D21" i="23"/>
  <c r="S20" i="23"/>
  <c r="S19" i="23"/>
  <c r="O18" i="23"/>
  <c r="S17" i="23"/>
  <c r="S16" i="23"/>
  <c r="S15" i="23"/>
  <c r="D15" i="23"/>
  <c r="D12" i="25" s="1"/>
  <c r="S14" i="23"/>
  <c r="S13" i="23"/>
  <c r="S12" i="23"/>
  <c r="F12" i="23"/>
  <c r="S11" i="23"/>
  <c r="S10" i="23"/>
  <c r="D8" i="23"/>
  <c r="D4" i="25" s="1"/>
  <c r="K54" i="22"/>
  <c r="H54" i="22"/>
  <c r="G54" i="22"/>
  <c r="F54" i="22"/>
  <c r="E54" i="22"/>
  <c r="D54" i="22"/>
  <c r="C54" i="22"/>
  <c r="N53" i="22"/>
  <c r="K53" i="22"/>
  <c r="H53" i="22"/>
  <c r="G53" i="22"/>
  <c r="F53" i="22"/>
  <c r="E53" i="22"/>
  <c r="D53" i="22"/>
  <c r="C53" i="22"/>
  <c r="J52" i="22"/>
  <c r="H52" i="22"/>
  <c r="G52" i="22"/>
  <c r="F52" i="22"/>
  <c r="E52" i="22"/>
  <c r="D52" i="22"/>
  <c r="C52" i="22"/>
  <c r="K51" i="22"/>
  <c r="I51" i="22"/>
  <c r="H51" i="22"/>
  <c r="G51" i="22"/>
  <c r="F51" i="22"/>
  <c r="E51" i="22"/>
  <c r="D51" i="22"/>
  <c r="C51" i="22"/>
  <c r="K50" i="22"/>
  <c r="J50" i="22"/>
  <c r="I50" i="22"/>
  <c r="H50" i="22"/>
  <c r="G50" i="22"/>
  <c r="F50" i="22"/>
  <c r="E50" i="22"/>
  <c r="D50" i="22"/>
  <c r="C50" i="22"/>
  <c r="I49" i="22"/>
  <c r="H49" i="22"/>
  <c r="G49" i="22"/>
  <c r="F49" i="22"/>
  <c r="E49" i="22"/>
  <c r="D49" i="22"/>
  <c r="C49" i="22"/>
  <c r="K48" i="22"/>
  <c r="W48" i="22" s="1"/>
  <c r="J48" i="22"/>
  <c r="I48" i="22"/>
  <c r="H48" i="22"/>
  <c r="G48" i="22"/>
  <c r="F48" i="22"/>
  <c r="E48" i="22"/>
  <c r="D48" i="22"/>
  <c r="C48" i="22"/>
  <c r="P48" i="22" s="1"/>
  <c r="I47" i="22"/>
  <c r="H47" i="22"/>
  <c r="G47" i="22"/>
  <c r="F47" i="22"/>
  <c r="E47" i="22"/>
  <c r="D47" i="22"/>
  <c r="C47" i="22"/>
  <c r="K46" i="22"/>
  <c r="W46" i="22" s="1"/>
  <c r="J46" i="22"/>
  <c r="I46" i="22"/>
  <c r="H46" i="22"/>
  <c r="G46" i="22"/>
  <c r="F46" i="22"/>
  <c r="E46" i="22"/>
  <c r="D46" i="22"/>
  <c r="C46" i="22"/>
  <c r="P46" i="22" s="1"/>
  <c r="M45" i="22"/>
  <c r="I45" i="22"/>
  <c r="H45" i="22"/>
  <c r="G45" i="22"/>
  <c r="F45" i="22"/>
  <c r="E45" i="22"/>
  <c r="D45" i="22"/>
  <c r="C45" i="22"/>
  <c r="P45" i="22" s="1"/>
  <c r="N44" i="22"/>
  <c r="J44" i="22"/>
  <c r="I44" i="22"/>
  <c r="H44" i="22"/>
  <c r="G44" i="22"/>
  <c r="F44" i="22"/>
  <c r="E44" i="22"/>
  <c r="D44" i="22"/>
  <c r="C44" i="22"/>
  <c r="K43" i="22"/>
  <c r="W43" i="22" s="1"/>
  <c r="H43" i="22"/>
  <c r="G43" i="22"/>
  <c r="F43" i="22"/>
  <c r="E43" i="22"/>
  <c r="D43" i="22"/>
  <c r="C43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K34" i="22"/>
  <c r="U17" i="22"/>
  <c r="T17" i="22"/>
  <c r="R17" i="22"/>
  <c r="Q17" i="22"/>
  <c r="O17" i="22"/>
  <c r="N17" i="22"/>
  <c r="L17" i="22"/>
  <c r="K17" i="22"/>
  <c r="I17" i="22"/>
  <c r="H17" i="22"/>
  <c r="F17" i="22"/>
  <c r="G17" i="22" s="1"/>
  <c r="E17" i="22"/>
  <c r="C17" i="22"/>
  <c r="D17" i="22" s="1"/>
  <c r="W16" i="22"/>
  <c r="D16" i="24" s="1"/>
  <c r="W15" i="22"/>
  <c r="D15" i="24" s="1"/>
  <c r="W14" i="22"/>
  <c r="D14" i="24" s="1"/>
  <c r="W12" i="22"/>
  <c r="F3" i="22"/>
  <c r="I3" i="22" s="1"/>
  <c r="L3" i="22" s="1"/>
  <c r="O3" i="22" s="1"/>
  <c r="R3" i="22" s="1"/>
  <c r="U3" i="22" s="1"/>
  <c r="H8" i="25" l="1"/>
  <c r="H7" i="25"/>
  <c r="H12" i="25"/>
  <c r="G8" i="25"/>
  <c r="G7" i="25"/>
  <c r="G12" i="25"/>
  <c r="W50" i="22"/>
  <c r="Y50" i="22"/>
  <c r="Z50" i="22"/>
  <c r="X50" i="22"/>
  <c r="E4" i="25"/>
  <c r="F4" i="25"/>
  <c r="G6" i="24"/>
  <c r="G7" i="24" s="1"/>
  <c r="G8" i="24" s="1"/>
  <c r="G9" i="24" s="1"/>
  <c r="G10" i="24" s="1"/>
  <c r="N50" i="22"/>
  <c r="K38" i="22"/>
  <c r="D54" i="23" s="1"/>
  <c r="D42" i="23"/>
  <c r="D29" i="23"/>
  <c r="M52" i="22"/>
  <c r="P51" i="22"/>
  <c r="P53" i="22"/>
  <c r="N43" i="22"/>
  <c r="M48" i="22"/>
  <c r="AL14" i="22"/>
  <c r="L67" i="23" s="1"/>
  <c r="N67" i="23" s="1"/>
  <c r="J17" i="22"/>
  <c r="S49" i="22"/>
  <c r="T50" i="22"/>
  <c r="AI6" i="22"/>
  <c r="L46" i="23" s="1"/>
  <c r="M46" i="23" s="1"/>
  <c r="AL10" i="22"/>
  <c r="L63" i="23" s="1"/>
  <c r="N63" i="23" s="1"/>
  <c r="S17" i="22"/>
  <c r="P43" i="22"/>
  <c r="P44" i="22"/>
  <c r="T45" i="22"/>
  <c r="S47" i="22"/>
  <c r="P50" i="22"/>
  <c r="AJ17" i="22"/>
  <c r="E21" i="24"/>
  <c r="F21" i="24"/>
  <c r="G55" i="22"/>
  <c r="T47" i="22"/>
  <c r="T49" i="22"/>
  <c r="T52" i="22"/>
  <c r="AI15" i="22"/>
  <c r="L55" i="23" s="1"/>
  <c r="M55" i="23" s="1"/>
  <c r="AL11" i="22"/>
  <c r="L64" i="23" s="1"/>
  <c r="M64" i="23" s="1"/>
  <c r="M17" i="22"/>
  <c r="D55" i="22"/>
  <c r="H55" i="22"/>
  <c r="Q43" i="22"/>
  <c r="T44" i="22"/>
  <c r="N45" i="22"/>
  <c r="N46" i="22"/>
  <c r="Q47" i="22"/>
  <c r="T48" i="22"/>
  <c r="M49" i="22"/>
  <c r="S51" i="22"/>
  <c r="R51" i="22"/>
  <c r="T53" i="22"/>
  <c r="R53" i="22"/>
  <c r="U54" i="22"/>
  <c r="AI8" i="22"/>
  <c r="L48" i="23" s="1"/>
  <c r="M48" i="23" s="1"/>
  <c r="AI12" i="22"/>
  <c r="L52" i="23" s="1"/>
  <c r="M52" i="23" s="1"/>
  <c r="AI16" i="22"/>
  <c r="L56" i="23" s="1"/>
  <c r="N56" i="23" s="1"/>
  <c r="AL16" i="22"/>
  <c r="L69" i="23" s="1"/>
  <c r="M69" i="23" s="1"/>
  <c r="R45" i="22"/>
  <c r="Q49" i="22"/>
  <c r="R49" i="22"/>
  <c r="Q51" i="22"/>
  <c r="S53" i="22"/>
  <c r="Q53" i="22"/>
  <c r="AL7" i="22"/>
  <c r="L60" i="23" s="1"/>
  <c r="M60" i="23" s="1"/>
  <c r="P17" i="22"/>
  <c r="T43" i="22"/>
  <c r="R43" i="22"/>
  <c r="S45" i="22"/>
  <c r="Q45" i="22"/>
  <c r="T46" i="22"/>
  <c r="P47" i="22"/>
  <c r="R47" i="22"/>
  <c r="P49" i="22"/>
  <c r="T51" i="22"/>
  <c r="P52" i="22"/>
  <c r="U53" i="22"/>
  <c r="P54" i="22"/>
  <c r="AG17" i="22"/>
  <c r="AI5" i="22"/>
  <c r="L45" i="23" s="1"/>
  <c r="AI9" i="22"/>
  <c r="L49" i="23" s="1"/>
  <c r="M49" i="23" s="1"/>
  <c r="AI13" i="22"/>
  <c r="L53" i="23" s="1"/>
  <c r="M53" i="23" s="1"/>
  <c r="AL9" i="22"/>
  <c r="L62" i="23" s="1"/>
  <c r="N62" i="23" s="1"/>
  <c r="AL13" i="22"/>
  <c r="L66" i="23" s="1"/>
  <c r="N66" i="23" s="1"/>
  <c r="M34" i="22"/>
  <c r="M38" i="22" s="1"/>
  <c r="M43" i="22"/>
  <c r="F19" i="24"/>
  <c r="L34" i="22"/>
  <c r="K44" i="22"/>
  <c r="W44" i="22" s="1"/>
  <c r="K45" i="22"/>
  <c r="W45" i="22" s="1"/>
  <c r="K52" i="22"/>
  <c r="AF7" i="22"/>
  <c r="L34" i="23" s="1"/>
  <c r="N34" i="23" s="1"/>
  <c r="L45" i="22"/>
  <c r="AF11" i="22"/>
  <c r="L38" i="23" s="1"/>
  <c r="M38" i="23" s="1"/>
  <c r="L49" i="22"/>
  <c r="AF15" i="22"/>
  <c r="L42" i="23" s="1"/>
  <c r="N42" i="23" s="1"/>
  <c r="L53" i="22"/>
  <c r="AC7" i="22"/>
  <c r="L21" i="23" s="1"/>
  <c r="N21" i="23" s="1"/>
  <c r="P21" i="23" s="1"/>
  <c r="AF8" i="22"/>
  <c r="L35" i="23" s="1"/>
  <c r="AC11" i="22"/>
  <c r="L25" i="23" s="1"/>
  <c r="N25" i="23" s="1"/>
  <c r="AF12" i="22"/>
  <c r="L39" i="23" s="1"/>
  <c r="N39" i="23" s="1"/>
  <c r="AC15" i="22"/>
  <c r="L29" i="23" s="1"/>
  <c r="N29" i="23" s="1"/>
  <c r="AF16" i="22"/>
  <c r="L43" i="23" s="1"/>
  <c r="K49" i="22"/>
  <c r="W49" i="22" s="1"/>
  <c r="AD17" i="22"/>
  <c r="AF5" i="22"/>
  <c r="L43" i="22"/>
  <c r="AF9" i="22"/>
  <c r="L36" i="23" s="1"/>
  <c r="M36" i="23" s="1"/>
  <c r="L47" i="22"/>
  <c r="AF13" i="22"/>
  <c r="L40" i="23" s="1"/>
  <c r="M40" i="23" s="1"/>
  <c r="L51" i="22"/>
  <c r="AA17" i="22"/>
  <c r="K47" i="22"/>
  <c r="W47" i="22" s="1"/>
  <c r="AC5" i="22"/>
  <c r="AF6" i="22"/>
  <c r="L33" i="23" s="1"/>
  <c r="N33" i="23" s="1"/>
  <c r="AC9" i="22"/>
  <c r="L23" i="23" s="1"/>
  <c r="M23" i="23" s="1"/>
  <c r="AF10" i="22"/>
  <c r="L37" i="23" s="1"/>
  <c r="M37" i="23" s="1"/>
  <c r="AC13" i="22"/>
  <c r="L27" i="23" s="1"/>
  <c r="AF14" i="22"/>
  <c r="L41" i="23" s="1"/>
  <c r="N41" i="23" s="1"/>
  <c r="D18" i="24"/>
  <c r="AC6" i="22"/>
  <c r="L20" i="23" s="1"/>
  <c r="M20" i="23" s="1"/>
  <c r="Z7" i="22"/>
  <c r="D20" i="24" s="1"/>
  <c r="AC8" i="22"/>
  <c r="L22" i="23" s="1"/>
  <c r="Z9" i="22"/>
  <c r="L10" i="23" s="1"/>
  <c r="M10" i="23" s="1"/>
  <c r="AC10" i="22"/>
  <c r="L24" i="23" s="1"/>
  <c r="M24" i="23" s="1"/>
  <c r="Z11" i="22"/>
  <c r="L12" i="23" s="1"/>
  <c r="AC12" i="22"/>
  <c r="L26" i="23" s="1"/>
  <c r="M26" i="23" s="1"/>
  <c r="Z13" i="22"/>
  <c r="L14" i="23" s="1"/>
  <c r="N14" i="23" s="1"/>
  <c r="P14" i="23" s="1"/>
  <c r="AC14" i="22"/>
  <c r="L28" i="23" s="1"/>
  <c r="N28" i="23" s="1"/>
  <c r="Z15" i="22"/>
  <c r="L16" i="23" s="1"/>
  <c r="N16" i="23" s="1"/>
  <c r="P16" i="23" s="1"/>
  <c r="AC16" i="22"/>
  <c r="L30" i="23" s="1"/>
  <c r="M30" i="23" s="1"/>
  <c r="X17" i="22"/>
  <c r="J43" i="22"/>
  <c r="J45" i="22"/>
  <c r="J49" i="22"/>
  <c r="J51" i="22"/>
  <c r="J53" i="22"/>
  <c r="U46" i="22"/>
  <c r="U50" i="22"/>
  <c r="T54" i="22"/>
  <c r="R54" i="22"/>
  <c r="M51" i="23"/>
  <c r="E55" i="22"/>
  <c r="D12" i="24"/>
  <c r="V12" i="22"/>
  <c r="N15" i="23"/>
  <c r="P15" i="23" s="1"/>
  <c r="M15" i="23"/>
  <c r="N17" i="23"/>
  <c r="P17" i="23" s="1"/>
  <c r="M17" i="23"/>
  <c r="U43" i="22"/>
  <c r="Q44" i="22"/>
  <c r="U45" i="22"/>
  <c r="Q46" i="22"/>
  <c r="U47" i="22"/>
  <c r="Q48" i="22"/>
  <c r="U49" i="22"/>
  <c r="Q50" i="22"/>
  <c r="U51" i="22"/>
  <c r="Q52" i="22"/>
  <c r="Q54" i="22"/>
  <c r="I55" i="22"/>
  <c r="M61" i="23"/>
  <c r="N61" i="23"/>
  <c r="U44" i="22"/>
  <c r="U48" i="22"/>
  <c r="U52" i="22"/>
  <c r="N65" i="23"/>
  <c r="M65" i="23"/>
  <c r="E15" i="24"/>
  <c r="F15" i="24"/>
  <c r="F55" i="22"/>
  <c r="S44" i="22"/>
  <c r="R44" i="22"/>
  <c r="S46" i="22"/>
  <c r="R46" i="22"/>
  <c r="S48" i="22"/>
  <c r="R48" i="22"/>
  <c r="S50" i="22"/>
  <c r="R50" i="22"/>
  <c r="S52" i="22"/>
  <c r="R52" i="22"/>
  <c r="S54" i="22"/>
  <c r="N11" i="23"/>
  <c r="P11" i="23" s="1"/>
  <c r="M13" i="23"/>
  <c r="N58" i="23"/>
  <c r="M58" i="23"/>
  <c r="N68" i="23"/>
  <c r="M68" i="23"/>
  <c r="O43" i="22"/>
  <c r="S43" i="22"/>
  <c r="O44" i="22"/>
  <c r="O45" i="22"/>
  <c r="O46" i="22"/>
  <c r="O47" i="22"/>
  <c r="O48" i="22"/>
  <c r="O49" i="22"/>
  <c r="O50" i="22"/>
  <c r="O51" i="22"/>
  <c r="O52" i="22"/>
  <c r="O53" i="22"/>
  <c r="O54" i="22"/>
  <c r="C55" i="22"/>
  <c r="M50" i="23"/>
  <c r="N59" i="23"/>
  <c r="M59" i="23"/>
  <c r="N47" i="23"/>
  <c r="M47" i="23"/>
  <c r="F14" i="24"/>
  <c r="E14" i="24"/>
  <c r="N54" i="23"/>
  <c r="M54" i="23"/>
  <c r="F16" i="24"/>
  <c r="E16" i="24"/>
  <c r="I43" i="24"/>
  <c r="F13" i="24"/>
  <c r="E13" i="24"/>
  <c r="E12" i="25" l="1"/>
  <c r="F12" i="25"/>
  <c r="M63" i="23"/>
  <c r="N46" i="23"/>
  <c r="N38" i="23"/>
  <c r="M66" i="23"/>
  <c r="M62" i="23"/>
  <c r="N55" i="23"/>
  <c r="N69" i="23"/>
  <c r="M67" i="23"/>
  <c r="N49" i="23"/>
  <c r="N48" i="23"/>
  <c r="L38" i="22"/>
  <c r="D67" i="23" s="1"/>
  <c r="N55" i="22"/>
  <c r="N24" i="23"/>
  <c r="M28" i="23"/>
  <c r="N23" i="23"/>
  <c r="N64" i="23"/>
  <c r="L70" i="23"/>
  <c r="Z60" i="23" s="1"/>
  <c r="N53" i="23"/>
  <c r="N60" i="23"/>
  <c r="M16" i="23"/>
  <c r="N45" i="23"/>
  <c r="L57" i="23"/>
  <c r="Z47" i="23" s="1"/>
  <c r="M45" i="23"/>
  <c r="N36" i="23"/>
  <c r="N26" i="23"/>
  <c r="D7" i="23"/>
  <c r="P55" i="22"/>
  <c r="S55" i="22"/>
  <c r="M25" i="23"/>
  <c r="N20" i="23"/>
  <c r="P20" i="23" s="1"/>
  <c r="E18" i="24"/>
  <c r="F18" i="24"/>
  <c r="M56" i="23"/>
  <c r="R55" i="22"/>
  <c r="M55" i="22"/>
  <c r="N52" i="23"/>
  <c r="F20" i="24"/>
  <c r="E20" i="24"/>
  <c r="Q55" i="22"/>
  <c r="D30" i="24"/>
  <c r="O20" i="24" s="1"/>
  <c r="AL17" i="22"/>
  <c r="AK17" i="22" s="1"/>
  <c r="AI17" i="22"/>
  <c r="AH17" i="22" s="1"/>
  <c r="M41" i="23"/>
  <c r="M33" i="23"/>
  <c r="M39" i="23"/>
  <c r="AF17" i="22"/>
  <c r="AE17" i="22" s="1"/>
  <c r="M29" i="23"/>
  <c r="J55" i="22"/>
  <c r="M42" i="23"/>
  <c r="N10" i="23"/>
  <c r="P10" i="23" s="1"/>
  <c r="N40" i="23"/>
  <c r="Z17" i="22"/>
  <c r="Y17" i="22" s="1"/>
  <c r="M27" i="23"/>
  <c r="N27" i="23"/>
  <c r="M14" i="23"/>
  <c r="AC17" i="22"/>
  <c r="AB17" i="22" s="1"/>
  <c r="L18" i="23"/>
  <c r="Z8" i="23" s="1"/>
  <c r="M22" i="23"/>
  <c r="N22" i="23"/>
  <c r="P22" i="23" s="1"/>
  <c r="N30" i="23"/>
  <c r="N37" i="23"/>
  <c r="M21" i="23"/>
  <c r="M12" i="23"/>
  <c r="N12" i="23"/>
  <c r="P12" i="23" s="1"/>
  <c r="L19" i="23"/>
  <c r="L31" i="23" s="1"/>
  <c r="Z21" i="23" s="1"/>
  <c r="L32" i="23"/>
  <c r="L44" i="23" s="1"/>
  <c r="Z34" i="23" s="1"/>
  <c r="M34" i="23"/>
  <c r="L55" i="22"/>
  <c r="M43" i="23"/>
  <c r="N43" i="23"/>
  <c r="N35" i="23"/>
  <c r="M35" i="23"/>
  <c r="K55" i="22"/>
  <c r="F12" i="24"/>
  <c r="E12" i="24"/>
  <c r="I5" i="24"/>
  <c r="O55" i="22"/>
  <c r="U55" i="22"/>
  <c r="D20" i="23" s="1"/>
  <c r="M70" i="23" l="1"/>
  <c r="Z61" i="23" s="1"/>
  <c r="D22" i="23"/>
  <c r="E5" i="25"/>
  <c r="D9" i="23"/>
  <c r="E10" i="23" s="1"/>
  <c r="E13" i="23" s="1"/>
  <c r="D5" i="25"/>
  <c r="G18" i="24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M57" i="23"/>
  <c r="Z48" i="23" s="1"/>
  <c r="N70" i="23"/>
  <c r="Y62" i="23" s="1"/>
  <c r="H20" i="25" s="1"/>
  <c r="N57" i="23"/>
  <c r="Y49" i="23" s="1"/>
  <c r="G20" i="25" s="1"/>
  <c r="I31" i="23"/>
  <c r="I18" i="23"/>
  <c r="M32" i="23"/>
  <c r="M44" i="23" s="1"/>
  <c r="Z35" i="23" s="1"/>
  <c r="M18" i="23"/>
  <c r="Z9" i="23" s="1"/>
  <c r="F30" i="24"/>
  <c r="O22" i="24" s="1"/>
  <c r="E23" i="23"/>
  <c r="E7" i="25" s="1"/>
  <c r="W55" i="22"/>
  <c r="D46" i="23" s="1"/>
  <c r="E30" i="24"/>
  <c r="Z55" i="22"/>
  <c r="M19" i="23"/>
  <c r="M31" i="23" s="1"/>
  <c r="Z22" i="23" s="1"/>
  <c r="N19" i="23"/>
  <c r="N31" i="23" s="1"/>
  <c r="Y23" i="23" s="1"/>
  <c r="E20" i="25" s="1"/>
  <c r="N18" i="23"/>
  <c r="Y10" i="23" s="1"/>
  <c r="Z12" i="23" s="1"/>
  <c r="X55" i="22"/>
  <c r="D59" i="23" s="1"/>
  <c r="D33" i="23"/>
  <c r="D35" i="23" s="1"/>
  <c r="E36" i="23" s="1"/>
  <c r="Y55" i="22"/>
  <c r="N32" i="23"/>
  <c r="N44" i="23" s="1"/>
  <c r="Y36" i="23" s="1"/>
  <c r="F20" i="25" s="1"/>
  <c r="P18" i="23"/>
  <c r="I6" i="24"/>
  <c r="D7" i="25" l="1"/>
  <c r="D35" i="25" s="1"/>
  <c r="E17" i="23"/>
  <c r="J10" i="23" s="1"/>
  <c r="D61" i="23"/>
  <c r="H5" i="25"/>
  <c r="D48" i="23"/>
  <c r="E49" i="23" s="1"/>
  <c r="G5" i="25"/>
  <c r="F5" i="25"/>
  <c r="D20" i="25"/>
  <c r="D22" i="25" s="1"/>
  <c r="I44" i="23"/>
  <c r="D10" i="25"/>
  <c r="D14" i="25" s="1"/>
  <c r="E35" i="25"/>
  <c r="E62" i="23"/>
  <c r="H35" i="25" s="1"/>
  <c r="G35" i="25"/>
  <c r="P19" i="23"/>
  <c r="I7" i="24"/>
  <c r="J11" i="23" l="1"/>
  <c r="K10" i="23"/>
  <c r="Q10" i="23" s="1"/>
  <c r="R10" i="23" s="1"/>
  <c r="T11" i="23" s="1"/>
  <c r="F7" i="25"/>
  <c r="F35" i="25" s="1"/>
  <c r="D36" i="25"/>
  <c r="J12" i="23"/>
  <c r="K11" i="23"/>
  <c r="Q11" i="23" s="1"/>
  <c r="I8" i="24"/>
  <c r="R11" i="23" l="1"/>
  <c r="I57" i="23"/>
  <c r="K12" i="23"/>
  <c r="Q12" i="23" s="1"/>
  <c r="R12" i="23" s="1"/>
  <c r="J13" i="23"/>
  <c r="I9" i="24"/>
  <c r="T12" i="23"/>
  <c r="I70" i="23" l="1"/>
  <c r="J14" i="23"/>
  <c r="K13" i="23"/>
  <c r="Q13" i="23" s="1"/>
  <c r="R13" i="23" s="1"/>
  <c r="T14" i="23" s="1"/>
  <c r="I21" i="24"/>
  <c r="T13" i="23"/>
  <c r="I10" i="24"/>
  <c r="I22" i="24" l="1"/>
  <c r="J15" i="23"/>
  <c r="K14" i="23"/>
  <c r="Q14" i="23" s="1"/>
  <c r="R14" i="23" s="1"/>
  <c r="T15" i="23" s="1"/>
  <c r="J16" i="23" l="1"/>
  <c r="K15" i="23"/>
  <c r="Q15" i="23" s="1"/>
  <c r="R15" i="23" s="1"/>
  <c r="T16" i="23" s="1"/>
  <c r="I23" i="24"/>
  <c r="I24" i="24" l="1"/>
  <c r="K16" i="23"/>
  <c r="J17" i="23"/>
  <c r="I25" i="24" l="1"/>
  <c r="K17" i="23"/>
  <c r="Q17" i="23" s="1"/>
  <c r="J19" i="23"/>
  <c r="Q16" i="23"/>
  <c r="J20" i="23" l="1"/>
  <c r="K19" i="23"/>
  <c r="Q19" i="23" s="1"/>
  <c r="R19" i="23" s="1"/>
  <c r="T20" i="23" s="1"/>
  <c r="K18" i="23"/>
  <c r="Z13" i="23" s="1"/>
  <c r="R16" i="23"/>
  <c r="T17" i="23" s="1"/>
  <c r="T18" i="23" s="1"/>
  <c r="Q18" i="23"/>
  <c r="I26" i="24"/>
  <c r="Z14" i="23" l="1"/>
  <c r="E37" i="23" s="1"/>
  <c r="R17" i="23"/>
  <c r="U25" i="23"/>
  <c r="U29" i="23"/>
  <c r="U26" i="23"/>
  <c r="U19" i="23"/>
  <c r="U28" i="23"/>
  <c r="U20" i="23"/>
  <c r="U21" i="23"/>
  <c r="U30" i="23"/>
  <c r="U23" i="23"/>
  <c r="U27" i="23"/>
  <c r="U22" i="23"/>
  <c r="U24" i="23"/>
  <c r="D24" i="25"/>
  <c r="D37" i="25" s="1"/>
  <c r="I27" i="24"/>
  <c r="D28" i="25"/>
  <c r="D39" i="25"/>
  <c r="J21" i="23"/>
  <c r="K20" i="23"/>
  <c r="Q20" i="23" s="1"/>
  <c r="R20" i="23" s="1"/>
  <c r="T21" i="23" s="1"/>
  <c r="D43" i="25" l="1"/>
  <c r="D27" i="25"/>
  <c r="U31" i="23"/>
  <c r="E38" i="23" s="1"/>
  <c r="I28" i="24"/>
  <c r="K21" i="23"/>
  <c r="Q21" i="23" s="1"/>
  <c r="R21" i="23" s="1"/>
  <c r="T22" i="23" s="1"/>
  <c r="J22" i="23"/>
  <c r="K22" i="23" s="1"/>
  <c r="Q22" i="23" s="1"/>
  <c r="F41" i="25" l="1"/>
  <c r="R22" i="23"/>
  <c r="T23" i="23" s="1"/>
  <c r="I29" i="24"/>
  <c r="I30" i="24" s="1"/>
  <c r="E40" i="25"/>
  <c r="F42" i="25" s="1"/>
  <c r="D29" i="25"/>
  <c r="D30" i="25" s="1"/>
  <c r="F8" i="25" s="1"/>
  <c r="J32" i="24" l="1"/>
  <c r="J42" i="24"/>
  <c r="J31" i="24"/>
  <c r="J38" i="24"/>
  <c r="J35" i="24"/>
  <c r="J40" i="24"/>
  <c r="J34" i="24"/>
  <c r="J36" i="24"/>
  <c r="J41" i="24"/>
  <c r="J37" i="24"/>
  <c r="J33" i="24"/>
  <c r="J39" i="24"/>
  <c r="J43" i="24" l="1"/>
  <c r="E39" i="23" l="1"/>
  <c r="F9" i="25" s="1"/>
  <c r="F10" i="25" s="1"/>
  <c r="F14" i="25" s="1"/>
  <c r="P37" i="23"/>
  <c r="P39" i="23"/>
  <c r="P45" i="23"/>
  <c r="P42" i="23"/>
  <c r="P40" i="23"/>
  <c r="P36" i="23"/>
  <c r="P48" i="23"/>
  <c r="P41" i="23"/>
  <c r="P47" i="23"/>
  <c r="P46" i="23"/>
  <c r="P43" i="23"/>
  <c r="P38" i="23"/>
  <c r="E40" i="23" l="1"/>
  <c r="E43" i="23" s="1"/>
  <c r="J36" i="23" s="1"/>
  <c r="J37" i="23" s="1"/>
  <c r="J38" i="23" s="1"/>
  <c r="K37" i="23" l="1"/>
  <c r="Q37" i="23" s="1"/>
  <c r="K36" i="23"/>
  <c r="Q36" i="23" s="1"/>
  <c r="J39" i="23"/>
  <c r="K38" i="23"/>
  <c r="Q38" i="23" s="1"/>
  <c r="J40" i="23" l="1"/>
  <c r="K39" i="23"/>
  <c r="Q39" i="23" s="1"/>
  <c r="K40" i="23" l="1"/>
  <c r="Q40" i="23" s="1"/>
  <c r="J41" i="23"/>
  <c r="J42" i="23" l="1"/>
  <c r="K41" i="23"/>
  <c r="Q41" i="23" s="1"/>
  <c r="K42" i="23" l="1"/>
  <c r="Q42" i="23" s="1"/>
  <c r="J43" i="23"/>
  <c r="J45" i="23" l="1"/>
  <c r="K43" i="23"/>
  <c r="Q43" i="23" s="1"/>
  <c r="K45" i="23" l="1"/>
  <c r="Q45" i="23" s="1"/>
  <c r="J46" i="23"/>
  <c r="R45" i="23" l="1"/>
  <c r="T46" i="23" s="1"/>
  <c r="K46" i="23"/>
  <c r="Q46" i="23" s="1"/>
  <c r="J47" i="23"/>
  <c r="R46" i="23" l="1"/>
  <c r="T47" i="23" s="1"/>
  <c r="K47" i="23"/>
  <c r="Q47" i="23" s="1"/>
  <c r="J48" i="23"/>
  <c r="K48" i="23" s="1"/>
  <c r="Q48" i="23" s="1"/>
  <c r="R47" i="23" l="1"/>
  <c r="T48" i="23" s="1"/>
  <c r="D11" i="24"/>
  <c r="D17" i="24" s="1"/>
  <c r="O7" i="24" s="1"/>
  <c r="V11" i="22"/>
  <c r="W17" i="22"/>
  <c r="V17" i="22" s="1"/>
  <c r="R48" i="23" l="1"/>
  <c r="T49" i="23" s="1"/>
  <c r="E11" i="24"/>
  <c r="E17" i="24" s="1"/>
  <c r="O8" i="24" s="1"/>
  <c r="F11" i="24"/>
  <c r="G11" i="24" s="1"/>
  <c r="G12" i="24" s="1"/>
  <c r="G13" i="24" s="1"/>
  <c r="G14" i="24" s="1"/>
  <c r="G15" i="24" s="1"/>
  <c r="G16" i="24" s="1"/>
  <c r="F17" i="24" l="1"/>
  <c r="O9" i="24" s="1"/>
  <c r="I12" i="24" l="1"/>
  <c r="I13" i="24" l="1"/>
  <c r="I14" i="24" l="1"/>
  <c r="I15" i="24" l="1"/>
  <c r="I16" i="24" l="1"/>
  <c r="I17" i="24" s="1"/>
  <c r="J23" i="24" l="1"/>
  <c r="J28" i="24"/>
  <c r="J29" i="24"/>
  <c r="J26" i="24"/>
  <c r="J24" i="24"/>
  <c r="J27" i="24"/>
  <c r="J25" i="24"/>
  <c r="E26" i="23" l="1"/>
  <c r="O23" i="23" l="1"/>
  <c r="P23" i="23" s="1"/>
  <c r="O24" i="23"/>
  <c r="E9" i="25"/>
  <c r="E10" i="25" s="1"/>
  <c r="E14" i="25" s="1"/>
  <c r="P25" i="23"/>
  <c r="P26" i="23"/>
  <c r="P32" i="23"/>
  <c r="P28" i="23"/>
  <c r="P34" i="23"/>
  <c r="P27" i="23"/>
  <c r="P24" i="23"/>
  <c r="P30" i="23"/>
  <c r="P29" i="23"/>
  <c r="E27" i="23"/>
  <c r="E30" i="23" s="1"/>
  <c r="J23" i="23" s="1"/>
  <c r="K23" i="23" s="1"/>
  <c r="P35" i="23"/>
  <c r="P33" i="23"/>
  <c r="Q23" i="23" l="1"/>
  <c r="O44" i="23"/>
  <c r="Y37" i="23" s="1"/>
  <c r="O31" i="23"/>
  <c r="Y24" i="23" s="1"/>
  <c r="Z25" i="23" s="1"/>
  <c r="P44" i="23"/>
  <c r="P31" i="23"/>
  <c r="J24" i="23"/>
  <c r="J25" i="23" s="1"/>
  <c r="J26" i="23" s="1"/>
  <c r="R23" i="23"/>
  <c r="T24" i="23" s="1"/>
  <c r="K25" i="23" l="1"/>
  <c r="Q25" i="23" s="1"/>
  <c r="E21" i="25"/>
  <c r="E22" i="25" s="1"/>
  <c r="Z38" i="23"/>
  <c r="F36" i="25" s="1"/>
  <c r="F21" i="25"/>
  <c r="K24" i="23"/>
  <c r="Q24" i="23" s="1"/>
  <c r="R24" i="23" s="1"/>
  <c r="T25" i="23" s="1"/>
  <c r="K26" i="23"/>
  <c r="J27" i="23"/>
  <c r="E36" i="25" l="1"/>
  <c r="R25" i="23"/>
  <c r="T26" i="23" s="1"/>
  <c r="Q26" i="23"/>
  <c r="J28" i="23"/>
  <c r="K27" i="23"/>
  <c r="Q27" i="23" s="1"/>
  <c r="J29" i="23" l="1"/>
  <c r="K28" i="23"/>
  <c r="R26" i="23"/>
  <c r="T27" i="23" s="1"/>
  <c r="R27" i="23" l="1"/>
  <c r="T28" i="23" s="1"/>
  <c r="Q28" i="23"/>
  <c r="J30" i="23"/>
  <c r="K29" i="23"/>
  <c r="Q29" i="23" s="1"/>
  <c r="R28" i="23" l="1"/>
  <c r="T29" i="23" s="1"/>
  <c r="J32" i="23"/>
  <c r="K30" i="23"/>
  <c r="R29" i="23" l="1"/>
  <c r="T30" i="23" s="1"/>
  <c r="T31" i="23" s="1"/>
  <c r="Q30" i="23"/>
  <c r="K31" i="23"/>
  <c r="Z26" i="23" s="1"/>
  <c r="E24" i="25" s="1"/>
  <c r="E27" i="25" s="1"/>
  <c r="K32" i="23"/>
  <c r="J33" i="23"/>
  <c r="Z27" i="23" l="1"/>
  <c r="K33" i="23"/>
  <c r="Q33" i="23" s="1"/>
  <c r="J34" i="23"/>
  <c r="Q32" i="23"/>
  <c r="R30" i="23"/>
  <c r="Q31" i="23"/>
  <c r="E28" i="25"/>
  <c r="E39" i="25"/>
  <c r="F22" i="25" l="1"/>
  <c r="U38" i="23"/>
  <c r="U36" i="23"/>
  <c r="U35" i="23"/>
  <c r="U41" i="23"/>
  <c r="U34" i="23"/>
  <c r="U37" i="23"/>
  <c r="U32" i="23"/>
  <c r="U43" i="23"/>
  <c r="U42" i="23"/>
  <c r="U40" i="23"/>
  <c r="U33" i="23"/>
  <c r="U39" i="23"/>
  <c r="J35" i="23"/>
  <c r="K35" i="23" s="1"/>
  <c r="Q35" i="23" s="1"/>
  <c r="K34" i="23"/>
  <c r="R32" i="23"/>
  <c r="T33" i="23" s="1"/>
  <c r="E37" i="25"/>
  <c r="E38" i="25" s="1"/>
  <c r="G41" i="25" l="1"/>
  <c r="E43" i="25"/>
  <c r="U44" i="23"/>
  <c r="R33" i="23"/>
  <c r="T34" i="23" s="1"/>
  <c r="Q34" i="23"/>
  <c r="K44" i="23"/>
  <c r="Z39" i="23" s="1"/>
  <c r="F24" i="25" s="1"/>
  <c r="F27" i="25" s="1"/>
  <c r="R34" i="23" l="1"/>
  <c r="Q44" i="23"/>
  <c r="Z40" i="23"/>
  <c r="F40" i="25"/>
  <c r="G42" i="25" s="1"/>
  <c r="E29" i="25"/>
  <c r="E30" i="25" s="1"/>
  <c r="G10" i="25" s="1"/>
  <c r="G14" i="25" s="1"/>
  <c r="Z28" i="23"/>
  <c r="P52" i="23" l="1"/>
  <c r="P51" i="23"/>
  <c r="P53" i="23"/>
  <c r="P61" i="23"/>
  <c r="P54" i="23"/>
  <c r="P55" i="23"/>
  <c r="P59" i="23"/>
  <c r="P50" i="23"/>
  <c r="P56" i="23"/>
  <c r="P60" i="23"/>
  <c r="U55" i="23"/>
  <c r="U53" i="23"/>
  <c r="U45" i="23"/>
  <c r="U51" i="23"/>
  <c r="U56" i="23"/>
  <c r="U46" i="23"/>
  <c r="U47" i="23"/>
  <c r="U49" i="23"/>
  <c r="U54" i="23"/>
  <c r="U50" i="23"/>
  <c r="U48" i="23"/>
  <c r="U52" i="23"/>
  <c r="T35" i="23"/>
  <c r="R35" i="23"/>
  <c r="F37" i="25"/>
  <c r="E52" i="23"/>
  <c r="E55" i="23" s="1"/>
  <c r="J49" i="23" s="1"/>
  <c r="O57" i="23" l="1"/>
  <c r="Y50" i="23" s="1"/>
  <c r="G21" i="25" s="1"/>
  <c r="T36" i="23"/>
  <c r="R36" i="23"/>
  <c r="F38" i="25"/>
  <c r="P58" i="23"/>
  <c r="U57" i="23"/>
  <c r="K49" i="23"/>
  <c r="J50" i="23"/>
  <c r="P49" i="23"/>
  <c r="P57" i="23" s="1"/>
  <c r="H41" i="25" l="1"/>
  <c r="G22" i="25"/>
  <c r="Z51" i="23"/>
  <c r="T37" i="23"/>
  <c r="R37" i="23"/>
  <c r="K50" i="23"/>
  <c r="Q50" i="23" s="1"/>
  <c r="J51" i="23"/>
  <c r="G40" i="25"/>
  <c r="F29" i="25"/>
  <c r="Q49" i="23"/>
  <c r="R49" i="23" l="1"/>
  <c r="T50" i="23" s="1"/>
  <c r="T38" i="23"/>
  <c r="R38" i="23"/>
  <c r="G36" i="25"/>
  <c r="J52" i="23"/>
  <c r="K51" i="23"/>
  <c r="Q51" i="23" s="1"/>
  <c r="R50" i="23" l="1"/>
  <c r="T51" i="23" s="1"/>
  <c r="R39" i="23"/>
  <c r="T39" i="23"/>
  <c r="J53" i="23"/>
  <c r="K52" i="23"/>
  <c r="R51" i="23" l="1"/>
  <c r="T52" i="23" s="1"/>
  <c r="J54" i="23"/>
  <c r="K53" i="23"/>
  <c r="Q53" i="23" s="1"/>
  <c r="R40" i="23"/>
  <c r="T40" i="23"/>
  <c r="Q52" i="23"/>
  <c r="R41" i="23" l="1"/>
  <c r="T41" i="23"/>
  <c r="R52" i="23"/>
  <c r="T53" i="23" s="1"/>
  <c r="J55" i="23"/>
  <c r="K54" i="23"/>
  <c r="R53" i="23" l="1"/>
  <c r="T54" i="23" s="1"/>
  <c r="Q54" i="23"/>
  <c r="J56" i="23"/>
  <c r="K55" i="23"/>
  <c r="Q55" i="23" s="1"/>
  <c r="T42" i="23"/>
  <c r="R42" i="23"/>
  <c r="T43" i="23" l="1"/>
  <c r="T44" i="23" s="1"/>
  <c r="R43" i="23"/>
  <c r="J58" i="23"/>
  <c r="K56" i="23"/>
  <c r="R54" i="23"/>
  <c r="T55" i="23" s="1"/>
  <c r="R55" i="23" l="1"/>
  <c r="T56" i="23" s="1"/>
  <c r="T57" i="23" s="1"/>
  <c r="Q56" i="23"/>
  <c r="Q57" i="23" s="1"/>
  <c r="K57" i="23"/>
  <c r="Z52" i="23" s="1"/>
  <c r="G24" i="25" s="1"/>
  <c r="K58" i="23"/>
  <c r="J59" i="23"/>
  <c r="Z41" i="23"/>
  <c r="F28" i="25"/>
  <c r="F30" i="25" s="1"/>
  <c r="H10" i="25" s="1"/>
  <c r="H14" i="25" s="1"/>
  <c r="F39" i="25"/>
  <c r="H42" i="25" l="1"/>
  <c r="F43" i="25"/>
  <c r="P66" i="23"/>
  <c r="P68" i="23"/>
  <c r="P63" i="23"/>
  <c r="P67" i="23"/>
  <c r="P65" i="23"/>
  <c r="P69" i="23"/>
  <c r="P64" i="23"/>
  <c r="G28" i="25"/>
  <c r="G39" i="25"/>
  <c r="Z53" i="23"/>
  <c r="J60" i="23"/>
  <c r="K59" i="23"/>
  <c r="Q59" i="23" s="1"/>
  <c r="R56" i="23"/>
  <c r="E65" i="23"/>
  <c r="E68" i="23" s="1"/>
  <c r="J62" i="23" s="1"/>
  <c r="Q58" i="23"/>
  <c r="K62" i="23" l="1"/>
  <c r="J63" i="23"/>
  <c r="K60" i="23"/>
  <c r="J61" i="23"/>
  <c r="K61" i="23" s="1"/>
  <c r="Q61" i="23" s="1"/>
  <c r="P62" i="23"/>
  <c r="O70" i="23"/>
  <c r="G37" i="25"/>
  <c r="G27" i="25"/>
  <c r="U62" i="23"/>
  <c r="U58" i="23"/>
  <c r="U59" i="23"/>
  <c r="U68" i="23"/>
  <c r="U60" i="23"/>
  <c r="U61" i="23"/>
  <c r="U64" i="23"/>
  <c r="U66" i="23"/>
  <c r="U63" i="23"/>
  <c r="U65" i="23"/>
  <c r="U69" i="23"/>
  <c r="U67" i="23"/>
  <c r="R58" i="23"/>
  <c r="T59" i="23" s="1"/>
  <c r="Y63" i="23" l="1"/>
  <c r="Z64" i="23" s="1"/>
  <c r="R59" i="23"/>
  <c r="T60" i="23" s="1"/>
  <c r="Q62" i="23"/>
  <c r="P70" i="23"/>
  <c r="G38" i="25"/>
  <c r="G43" i="25" s="1"/>
  <c r="J64" i="23"/>
  <c r="K63" i="23"/>
  <c r="Q63" i="23" s="1"/>
  <c r="U70" i="23"/>
  <c r="Q60" i="23"/>
  <c r="H21" i="25" l="1"/>
  <c r="H22" i="25" s="1"/>
  <c r="H36" i="25"/>
  <c r="R60" i="23"/>
  <c r="G29" i="25"/>
  <c r="G30" i="25" s="1"/>
  <c r="H40" i="25"/>
  <c r="Z54" i="23"/>
  <c r="J65" i="23"/>
  <c r="K64" i="23"/>
  <c r="T61" i="23" l="1"/>
  <c r="R61" i="23"/>
  <c r="Q64" i="23"/>
  <c r="K65" i="23"/>
  <c r="Q65" i="23" s="1"/>
  <c r="J66" i="23"/>
  <c r="T62" i="23" l="1"/>
  <c r="R62" i="23"/>
  <c r="J67" i="23"/>
  <c r="K66" i="23"/>
  <c r="Q66" i="23" s="1"/>
  <c r="J68" i="23" l="1"/>
  <c r="K67" i="23"/>
  <c r="T63" i="23"/>
  <c r="R63" i="23"/>
  <c r="K68" i="23" l="1"/>
  <c r="Q68" i="23" s="1"/>
  <c r="J69" i="23"/>
  <c r="K69" i="23" s="1"/>
  <c r="Q69" i="23" s="1"/>
  <c r="T64" i="23"/>
  <c r="R64" i="23"/>
  <c r="Q67" i="23"/>
  <c r="K70" i="23" l="1"/>
  <c r="Z65" i="23" s="1"/>
  <c r="H24" i="25" s="1"/>
  <c r="T65" i="23"/>
  <c r="R65" i="23"/>
  <c r="Q70" i="23"/>
  <c r="H29" i="25" s="1"/>
  <c r="Z66" i="23" l="1"/>
  <c r="H37" i="25"/>
  <c r="H27" i="25"/>
  <c r="T66" i="23"/>
  <c r="R66" i="23"/>
  <c r="T67" i="23" l="1"/>
  <c r="R67" i="23"/>
  <c r="H38" i="25"/>
  <c r="T68" i="23" l="1"/>
  <c r="R68" i="23"/>
  <c r="T69" i="23" l="1"/>
  <c r="T70" i="23" s="1"/>
  <c r="R69" i="23"/>
  <c r="H39" i="25" l="1"/>
  <c r="H43" i="25" s="1"/>
  <c r="Z67" i="23"/>
  <c r="H28" i="25"/>
  <c r="H30" i="25" s="1"/>
</calcChain>
</file>

<file path=xl/sharedStrings.xml><?xml version="1.0" encoding="utf-8"?>
<sst xmlns="http://schemas.openxmlformats.org/spreadsheetml/2006/main" count="551" uniqueCount="267">
  <si>
    <t xml:space="preserve">January </t>
  </si>
  <si>
    <t xml:space="preserve">February 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</si>
  <si>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</si>
  <si>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</si>
  <si>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</si>
  <si>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</si>
  <si>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</si>
  <si>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</si>
  <si>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</si>
  <si>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</si>
  <si>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</si>
  <si>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</si>
  <si>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GA ($/kWh)</t>
  </si>
  <si>
    <t>Brookfield kWh</t>
  </si>
  <si>
    <t>Total</t>
  </si>
  <si>
    <t>GA Savings</t>
  </si>
  <si>
    <t>Rate ($/kWh)</t>
  </si>
  <si>
    <t>Customer Volumes (kWh)</t>
  </si>
  <si>
    <t>Variance</t>
  </si>
  <si>
    <t>Interest</t>
  </si>
  <si>
    <t>Cumulative Variance</t>
  </si>
  <si>
    <t>Interest $</t>
  </si>
  <si>
    <t>Interest %</t>
  </si>
  <si>
    <t>A</t>
  </si>
  <si>
    <t>B</t>
  </si>
  <si>
    <t>D</t>
  </si>
  <si>
    <t>G</t>
  </si>
  <si>
    <t>J</t>
  </si>
  <si>
    <t>C = A * B</t>
  </si>
  <si>
    <t>E = D / 2</t>
  </si>
  <si>
    <t>F = D / 2</t>
  </si>
  <si>
    <t>Paid to Brookfield</t>
  </si>
  <si>
    <t>Owed to Customers</t>
  </si>
  <si>
    <t>Credited to Customers</t>
  </si>
  <si>
    <t>Interest on Variance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</si>
  <si>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</si>
  <si>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</si>
  <si>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</si>
  <si>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</si>
  <si>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</si>
  <si>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</si>
  <si>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</si>
  <si>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</si>
  <si>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</si>
  <si>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</si>
  <si>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</si>
  <si>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</si>
  <si>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</si>
  <si>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</si>
  <si>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</si>
  <si>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</si>
  <si>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RPP Report</t>
  </si>
  <si>
    <t>Waltham Volumes (kWh)</t>
  </si>
  <si>
    <t>$/MWh</t>
  </si>
  <si>
    <t>Oct. 2019 Report</t>
  </si>
  <si>
    <t>Oct. 2020 Report</t>
  </si>
  <si>
    <t>Oct. 2021 Report</t>
  </si>
  <si>
    <t>Oct. 2022 Report</t>
  </si>
  <si>
    <t>DVA Variance Interest Rates</t>
  </si>
  <si>
    <t>Apr. 2018 Report</t>
  </si>
  <si>
    <t>Q1 2019</t>
  </si>
  <si>
    <t>Q2 2019</t>
  </si>
  <si>
    <t>Q3 2019</t>
  </si>
  <si>
    <t>Q4 2019</t>
  </si>
  <si>
    <t>Actual customer share of GA savings</t>
  </si>
  <si>
    <t>Variance Total</t>
  </si>
  <si>
    <t>Global Adjustment Forecast</t>
  </si>
  <si>
    <t>Customer Share</t>
  </si>
  <si>
    <t>Variance Disposition</t>
  </si>
  <si>
    <t>Variances</t>
  </si>
  <si>
    <t>H = F + G</t>
  </si>
  <si>
    <t>I = H - C</t>
  </si>
  <si>
    <t>K</t>
  </si>
  <si>
    <t>L = J * L</t>
  </si>
  <si>
    <t>Variance Disposal (2-year lag)</t>
  </si>
  <si>
    <t>Actual</t>
  </si>
  <si>
    <t>Forecast (actual of last year)</t>
  </si>
  <si>
    <t>Forecast (RPP Report)</t>
  </si>
  <si>
    <t>Actual (calculated below)</t>
  </si>
  <si>
    <t>(= GA$/kWh * Forecast volumes * 0.5)</t>
  </si>
  <si>
    <t>Forecast Global Adjustment ($/kWh)</t>
  </si>
  <si>
    <t>Forecast Waltham Volumes (kWh)</t>
  </si>
  <si>
    <t>Forecast Total Customer kWh</t>
  </si>
  <si>
    <t>Difference between forecast and actual</t>
  </si>
  <si>
    <t>Year-End Balance</t>
  </si>
  <si>
    <t>Interest (in year)</t>
  </si>
  <si>
    <t>Lagged Interest</t>
  </si>
  <si>
    <t>Oct. 2023 RPP Report</t>
  </si>
  <si>
    <t>2022 Actual Volumes (RRR values in IRM model)</t>
  </si>
  <si>
    <t>2023 Actual Volumes (RRR values in IRM model)</t>
  </si>
  <si>
    <t>Brookfield GA</t>
  </si>
  <si>
    <t>Calendar Year</t>
  </si>
  <si>
    <t>Purchased Power-Adjustment</t>
  </si>
  <si>
    <t>Summary</t>
  </si>
  <si>
    <t>GA Savings on Waltham Energy</t>
  </si>
  <si>
    <t>Forecast rate (changes each May)</t>
  </si>
  <si>
    <t>Actual amount credited to customers</t>
  </si>
  <si>
    <t>Actual avoided GA (Waltham volumes * GA $/kWh)</t>
  </si>
  <si>
    <t>Actual half paid to Brookfield</t>
  </si>
  <si>
    <t>Actual half to be credited to customers</t>
  </si>
  <si>
    <t>Difference between what was actually credited to customers and what should be</t>
  </si>
  <si>
    <t>Cumulative variance used to calculate variances</t>
  </si>
  <si>
    <t>OEB's DVA interest rate</t>
  </si>
  <si>
    <t>Monthly interest on variances</t>
  </si>
  <si>
    <t>Total GA avoided (Waltham kWh * GA $/kWh)</t>
  </si>
  <si>
    <t>Amount that should be credited to customers</t>
  </si>
  <si>
    <t>Amount to be credited to customers including variances</t>
  </si>
  <si>
    <t>Forecast GA ($/kWh)</t>
  </si>
  <si>
    <t>Total Customer Volumes (kWh)</t>
  </si>
  <si>
    <t>Variance from previous years ($)</t>
  </si>
  <si>
    <t>Interest on variance ($)</t>
  </si>
  <si>
    <t>GA Paid on Waltham energy</t>
  </si>
  <si>
    <t xml:space="preserve">2023/24 Overcollection </t>
  </si>
  <si>
    <t>Cumulative Credit</t>
  </si>
  <si>
    <t>Customer Share Owed to Customers</t>
  </si>
  <si>
    <t>Amount to be credited to customers in 2025</t>
  </si>
  <si>
    <t>Interest on balance owed to customers in 2025</t>
  </si>
  <si>
    <t>Amount to be credited to customers in 2026</t>
  </si>
  <si>
    <t>Interest on balance owed to customers in 2026</t>
  </si>
  <si>
    <t>Month</t>
  </si>
  <si>
    <t>Total Forecast GA Savings ($)</t>
  </si>
  <si>
    <t>Forecast net GA Savings ($)</t>
  </si>
  <si>
    <t>Forecast net GA Savings</t>
  </si>
  <si>
    <t>2019-2022 Average Waltham Volumes</t>
  </si>
  <si>
    <t>2020-2023 Average Waltham Volumes</t>
  </si>
  <si>
    <t>2021-2024 Average Waltham Volumes</t>
  </si>
  <si>
    <t>(= Actual Net GA Savings + variance)</t>
  </si>
  <si>
    <t>(=Net GA Savings + Variance Disposal)</t>
  </si>
  <si>
    <t>B = A / 2</t>
  </si>
  <si>
    <t>C = A / 2</t>
  </si>
  <si>
    <t>E</t>
  </si>
  <si>
    <t>Oct. 2023 Report</t>
  </si>
  <si>
    <t>Total savings * 50%</t>
  </si>
  <si>
    <t>Notes</t>
  </si>
  <si>
    <t>(No variance in this year)</t>
  </si>
  <si>
    <t>Net GA Savings</t>
  </si>
  <si>
    <t>2022-2025 Average Waltham Volumes</t>
  </si>
  <si>
    <t>2025 Actual Volumes (RRR values in IRM model)</t>
  </si>
  <si>
    <t>Variance Disposition &amp; Overcollection</t>
  </si>
  <si>
    <t>Actual amount to be credit to customers, including variances and overcollection</t>
  </si>
  <si>
    <t>Audited Variance from 2024</t>
  </si>
  <si>
    <t>Interest on variance from 2024</t>
  </si>
  <si>
    <t>Interest (lag year 1)</t>
  </si>
  <si>
    <t>Forecast Data</t>
  </si>
  <si>
    <t>Forecast (4-Year Average)</t>
  </si>
  <si>
    <t>RRR Volumes</t>
  </si>
  <si>
    <t>Power Purchased True-Up Balance and Rate Calculations</t>
  </si>
  <si>
    <t>Forecast Power Purchased True-Up Balance ($)</t>
  </si>
  <si>
    <t xml:space="preserve">Actual amount credited to customers based on actual volumes and forecast Power Purchased True-Up </t>
  </si>
  <si>
    <t>Power Purchased True-Up-2027 ($/kWh)</t>
  </si>
  <si>
    <t>Power Purchased True-Up-2024 ($/kWh)</t>
  </si>
  <si>
    <t>Power Purchased True-Up-2025 ($/kWh)</t>
  </si>
  <si>
    <t>Power Purchased True-Up-2026 ($/kWh)</t>
  </si>
  <si>
    <t>Power Purchased True-Up Balance</t>
  </si>
  <si>
    <t>Power Purchased True-Up ($/kWh)</t>
  </si>
  <si>
    <t>(= Power Purchased True-Up Balance / customer volumes)</t>
  </si>
  <si>
    <t xml:space="preserve">1508 Power Purchased True-Up Tracking Account </t>
  </si>
  <si>
    <t>Power Purchased True-Up Calculation</t>
  </si>
  <si>
    <t>Total Customer kWh Volumes (metered)</t>
  </si>
  <si>
    <t>Power Purchased True-Up Rate</t>
  </si>
  <si>
    <t>Q1 2024</t>
  </si>
  <si>
    <t>Adjustment for earlier variances (2-year lag)</t>
  </si>
  <si>
    <t>Monthly interest on variances in lag year</t>
  </si>
  <si>
    <t>Audited Variance from 2025</t>
  </si>
  <si>
    <t>Interest on variance from 2025</t>
  </si>
  <si>
    <t>Oct. 2024 Report</t>
  </si>
  <si>
    <t>Oct. 2025 Report</t>
  </si>
  <si>
    <t>Oct. 2026 Report</t>
  </si>
  <si>
    <t>Oct. 2027 Report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</si>
  <si>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</si>
  <si>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</si>
  <si>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</si>
  <si>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</si>
  <si>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</si>
  <si>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</si>
  <si>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</si>
  <si>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</si>
  <si>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</si>
  <si>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</si>
  <si>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</si>
  <si>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</si>
  <si>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</si>
  <si>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</si>
  <si>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</si>
  <si>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</si>
  <si>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</si>
  <si>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</si>
  <si>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</si>
  <si>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Power Purchased True-Up-2028 ($/kWh)</t>
  </si>
  <si>
    <t>2023-2026 Average Waltham Volumes</t>
  </si>
  <si>
    <t>Oct. 2026 RPP Report</t>
  </si>
  <si>
    <t>Audited Variance from 2026</t>
  </si>
  <si>
    <t>Interest on variance from 2026</t>
  </si>
  <si>
    <t>2026 Actual Volumes (RRR values in IRM model)</t>
  </si>
  <si>
    <t>Adjustment for audited variances (2-year lag) and Overcollection</t>
  </si>
  <si>
    <t>Variance to be disposed in 2028 IRM</t>
  </si>
  <si>
    <t>Interest on variance to be disposed in 2028 IRM</t>
  </si>
  <si>
    <t>Variance to be disposed in 2029 IRM</t>
  </si>
  <si>
    <t>Interest on variance to be disposed in 2029 IRM</t>
  </si>
  <si>
    <t>Variance to be disposed in 2030 IRM</t>
  </si>
  <si>
    <t>Interest on variance to be disposed in 2030 IRM</t>
  </si>
  <si>
    <t>Forecast (4-year historic average)</t>
  </si>
  <si>
    <t>2023/2024 Overcollection</t>
  </si>
  <si>
    <t xml:space="preserve">Actual </t>
  </si>
  <si>
    <t>2026 Load Forecast</t>
  </si>
  <si>
    <t>Customer kWh Volumes</t>
  </si>
  <si>
    <t>2024 IRM</t>
  </si>
  <si>
    <t>2025 IRM</t>
  </si>
  <si>
    <t>Disposition of 2023 Overcollection</t>
  </si>
  <si>
    <t>Disposition of 2024 Overcollection</t>
  </si>
  <si>
    <t>Purchased Power Adjustment</t>
  </si>
  <si>
    <t>F = D * 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</si>
  <si>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</si>
  <si>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</si>
  <si>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</si>
  <si>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</si>
  <si>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</si>
  <si>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</si>
  <si>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</si>
  <si>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</si>
  <si>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</si>
  <si>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</si>
  <si>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</si>
  <si>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</si>
  <si>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1st Estimate (¢/kWh)</t>
  </si>
  <si>
    <t>2nd Estimate (¢/kWh)</t>
  </si>
  <si>
    <t>Actual Rate (¢/kWh)</t>
  </si>
  <si>
    <t>Global Adjustment (¢/kWh)</t>
  </si>
  <si>
    <t>IESO Price Overview - Global Adjustment (GA)</t>
  </si>
  <si>
    <t>Oct. 2027 RPP Report</t>
  </si>
  <si>
    <t>2024 Variance Summary - Disposed in 2026</t>
  </si>
  <si>
    <t>2025 Variance Summary - Disposed in 2027</t>
  </si>
  <si>
    <t>2026 Variance Summary - Disposed in 2028</t>
  </si>
  <si>
    <t>2027 Variance Summary - Disposed in 2029</t>
  </si>
  <si>
    <t>2028 Variance Summary - Disposed in 2030</t>
  </si>
  <si>
    <t>Variance Year</t>
  </si>
  <si>
    <t>Disposition Year</t>
  </si>
  <si>
    <t>*Tables below are incomplete before year-end</t>
  </si>
  <si>
    <t>*Calculations are incomplete before year-end data is entered</t>
  </si>
  <si>
    <t>Actual customer share including variances</t>
  </si>
  <si>
    <t>Additional Interest before disposition</t>
  </si>
  <si>
    <t>Variance Interest Disposition</t>
  </si>
  <si>
    <t>2023 Overcollection</t>
  </si>
  <si>
    <t>Adjustment 2023 Overcollection</t>
  </si>
  <si>
    <t>Adjustment for earlier variances (2-year lag) &amp; 2024 Overcollection</t>
  </si>
  <si>
    <t>2024 Variance / 2024 Overcollection Disposition</t>
  </si>
  <si>
    <t>2025 Variance Disposition</t>
  </si>
  <si>
    <t>2026 Variance Disposition</t>
  </si>
  <si>
    <t>Variance/Overcollection in variance year rate</t>
  </si>
  <si>
    <t>Actual 2023 Overcollection with Interest</t>
  </si>
  <si>
    <t>Actual 2024 Overcollection with Interest</t>
  </si>
  <si>
    <t>Oct. 2024 RPP Report</t>
  </si>
  <si>
    <t>2026 IRM</t>
  </si>
  <si>
    <t>https://www.ieso.ca/Sector-Participants/Settlements/Global-Adjustment-for-Class-B</t>
  </si>
  <si>
    <t>Variance to be disposed in 2026 IRM</t>
  </si>
  <si>
    <t>Interest on variance to be disposed in 2026 IRM</t>
  </si>
  <si>
    <t>Variance to be disposed in 2027 COS</t>
  </si>
  <si>
    <t>Interest on variance to be disposed in 2027 COS</t>
  </si>
  <si>
    <t>Actual credited to customers</t>
  </si>
  <si>
    <t>*Incomplete Year</t>
  </si>
  <si>
    <t>Final Sept/Oct/Nov/Dec. 2025 GA not yet available</t>
  </si>
  <si>
    <t>2024 Variances (for 2026 IRM)</t>
  </si>
  <si>
    <t>2025 Variances  (for 2027)</t>
  </si>
  <si>
    <t>2026 Variances (for 2028)</t>
  </si>
  <si>
    <t>2027 Variances  (for 2029)</t>
  </si>
  <si>
    <t>2028 Variances (for 2030)</t>
  </si>
  <si>
    <t>Oct. 2025 RPP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</si>
</sst>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0.0000"/>
    <numFmt numFmtId="169" formatCode="0.000000000"/>
    <numFmt numFmtId="170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333333"/>
      <name val="Whitney SSm A"/>
    </font>
    <font>
      <u/>
      <sz val="11"/>
      <color theme="1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i/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i/>
      <sz val="12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9">
    <xf numFmtId="0" fontId="0" fillId="0" borderId="0" xfId="0"/>
    <xf numFmtId="44" fontId="0" fillId="0" borderId="0" xfId="0" applyNumberFormat="1"/>
    <xf numFmtId="0" fontId="2" fillId="0" borderId="0" xfId="0" applyFont="1"/>
    <xf numFmtId="165" fontId="0" fillId="0" borderId="0" xfId="1" applyNumberFormat="1" applyFont="1" applyFill="1"/>
    <xf numFmtId="166" fontId="0" fillId="0" borderId="0" xfId="2" applyNumberFormat="1" applyFont="1" applyFill="1" applyBorder="1"/>
    <xf numFmtId="166" fontId="0" fillId="0" borderId="6" xfId="2" applyNumberFormat="1" applyFont="1" applyFill="1" applyBorder="1"/>
    <xf numFmtId="166" fontId="0" fillId="0" borderId="9" xfId="2" applyNumberFormat="1" applyFont="1" applyFill="1" applyBorder="1"/>
    <xf numFmtId="166" fontId="0" fillId="0" borderId="0" xfId="2" applyNumberFormat="1" applyFont="1" applyFill="1"/>
    <xf numFmtId="165" fontId="0" fillId="0" borderId="12" xfId="0" applyNumberFormat="1" applyBorder="1"/>
    <xf numFmtId="166" fontId="0" fillId="0" borderId="14" xfId="2" applyNumberFormat="1" applyFont="1" applyFill="1" applyBorder="1"/>
    <xf numFmtId="166" fontId="0" fillId="0" borderId="0" xfId="0" applyNumberFormat="1"/>
    <xf numFmtId="166" fontId="2" fillId="0" borderId="0" xfId="0" applyNumberFormat="1" applyFont="1"/>
    <xf numFmtId="167" fontId="0" fillId="0" borderId="0" xfId="2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21" xfId="0" applyBorder="1"/>
    <xf numFmtId="167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0" fillId="0" borderId="0" xfId="1" applyNumberFormat="1" applyFont="1"/>
    <xf numFmtId="0" fontId="2" fillId="0" borderId="18" xfId="0" applyFont="1" applyBorder="1"/>
    <xf numFmtId="0" fontId="2" fillId="0" borderId="20" xfId="0" applyFont="1" applyBorder="1"/>
    <xf numFmtId="165" fontId="2" fillId="0" borderId="11" xfId="1" applyNumberFormat="1" applyFont="1" applyFill="1" applyBorder="1"/>
    <xf numFmtId="165" fontId="2" fillId="0" borderId="21" xfId="1" applyNumberFormat="1" applyFont="1" applyFill="1" applyBorder="1"/>
    <xf numFmtId="165" fontId="0" fillId="0" borderId="19" xfId="0" applyNumberFormat="1" applyBorder="1"/>
    <xf numFmtId="0" fontId="0" fillId="0" borderId="18" xfId="1" applyNumberFormat="1" applyFont="1" applyFill="1" applyBorder="1"/>
    <xf numFmtId="0" fontId="0" fillId="0" borderId="20" xfId="1" applyNumberFormat="1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11" xfId="0" applyNumberFormat="1" applyBorder="1"/>
    <xf numFmtId="166" fontId="0" fillId="0" borderId="0" xfId="2" applyNumberFormat="1" applyFont="1" applyBorder="1"/>
    <xf numFmtId="165" fontId="0" fillId="0" borderId="0" xfId="1" applyNumberFormat="1" applyFont="1" applyBorder="1"/>
    <xf numFmtId="166" fontId="0" fillId="0" borderId="19" xfId="0" applyNumberFormat="1" applyBorder="1"/>
    <xf numFmtId="166" fontId="0" fillId="0" borderId="18" xfId="2" applyNumberFormat="1" applyFont="1" applyBorder="1"/>
    <xf numFmtId="165" fontId="0" fillId="0" borderId="18" xfId="1" applyNumberFormat="1" applyFont="1" applyBorder="1"/>
    <xf numFmtId="0" fontId="0" fillId="0" borderId="22" xfId="0" applyBorder="1"/>
    <xf numFmtId="0" fontId="0" fillId="0" borderId="23" xfId="0" applyBorder="1"/>
    <xf numFmtId="0" fontId="2" fillId="0" borderId="23" xfId="0" applyFont="1" applyBorder="1"/>
    <xf numFmtId="0" fontId="0" fillId="0" borderId="24" xfId="0" applyBorder="1"/>
    <xf numFmtId="0" fontId="2" fillId="0" borderId="24" xfId="0" applyFont="1" applyBorder="1"/>
    <xf numFmtId="167" fontId="0" fillId="0" borderId="0" xfId="2" applyNumberFormat="1" applyFont="1" applyBorder="1"/>
    <xf numFmtId="165" fontId="0" fillId="0" borderId="18" xfId="1" applyNumberFormat="1" applyFont="1" applyFill="1" applyBorder="1"/>
    <xf numFmtId="166" fontId="0" fillId="0" borderId="19" xfId="2" applyNumberFormat="1" applyFont="1" applyFill="1" applyBorder="1"/>
    <xf numFmtId="0" fontId="0" fillId="0" borderId="18" xfId="0" applyBorder="1" applyAlignment="1">
      <alignment horizontal="center" wrapText="1"/>
    </xf>
    <xf numFmtId="166" fontId="0" fillId="0" borderId="18" xfId="0" applyNumberFormat="1" applyBorder="1"/>
    <xf numFmtId="10" fontId="1" fillId="0" borderId="0" xfId="3" applyNumberFormat="1" applyFont="1" applyFill="1" applyBorder="1"/>
    <xf numFmtId="0" fontId="2" fillId="0" borderId="5" xfId="0" applyFont="1" applyBorder="1"/>
    <xf numFmtId="166" fontId="0" fillId="0" borderId="6" xfId="0" applyNumberFormat="1" applyBorder="1"/>
    <xf numFmtId="0" fontId="2" fillId="0" borderId="7" xfId="0" applyFont="1" applyBorder="1"/>
    <xf numFmtId="166" fontId="0" fillId="0" borderId="21" xfId="0" applyNumberFormat="1" applyBorder="1"/>
    <xf numFmtId="165" fontId="0" fillId="0" borderId="20" xfId="1" applyNumberFormat="1" applyFont="1" applyFill="1" applyBorder="1" applyAlignment="1">
      <alignment horizontal="center" wrapText="1"/>
    </xf>
    <xf numFmtId="165" fontId="0" fillId="0" borderId="11" xfId="1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5" fontId="0" fillId="0" borderId="29" xfId="1" applyNumberFormat="1" applyFont="1" applyFill="1" applyBorder="1" applyAlignment="1">
      <alignment horizontal="center" wrapText="1"/>
    </xf>
    <xf numFmtId="165" fontId="2" fillId="0" borderId="18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67" fontId="0" fillId="0" borderId="18" xfId="2" applyNumberFormat="1" applyFont="1" applyBorder="1"/>
    <xf numFmtId="0" fontId="0" fillId="2" borderId="25" xfId="0" applyFill="1" applyBorder="1"/>
    <xf numFmtId="0" fontId="4" fillId="2" borderId="3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0" borderId="38" xfId="0" applyFont="1" applyBorder="1"/>
    <xf numFmtId="0" fontId="2" fillId="0" borderId="11" xfId="0" applyFont="1" applyBorder="1" applyAlignment="1">
      <alignment horizontal="left"/>
    </xf>
    <xf numFmtId="0" fontId="0" fillId="0" borderId="5" xfId="0" applyBorder="1"/>
    <xf numFmtId="166" fontId="1" fillId="0" borderId="0" xfId="2" applyNumberFormat="1" applyFont="1" applyFill="1" applyBorder="1"/>
    <xf numFmtId="165" fontId="0" fillId="0" borderId="27" xfId="1" applyNumberFormat="1" applyFont="1" applyFill="1" applyBorder="1" applyAlignment="1">
      <alignment horizontal="center" wrapText="1"/>
    </xf>
    <xf numFmtId="165" fontId="0" fillId="0" borderId="8" xfId="1" applyNumberFormat="1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5" fontId="0" fillId="0" borderId="9" xfId="1" applyNumberFormat="1" applyFont="1" applyFill="1" applyBorder="1" applyAlignment="1">
      <alignment horizontal="center" wrapText="1"/>
    </xf>
    <xf numFmtId="166" fontId="0" fillId="3" borderId="18" xfId="0" applyNumberFormat="1" applyFill="1" applyBorder="1"/>
    <xf numFmtId="165" fontId="0" fillId="3" borderId="18" xfId="1" applyNumberFormat="1" applyFont="1" applyFill="1" applyBorder="1"/>
    <xf numFmtId="10" fontId="1" fillId="3" borderId="0" xfId="3" applyNumberFormat="1" applyFont="1" applyFill="1" applyBorder="1"/>
    <xf numFmtId="167" fontId="0" fillId="3" borderId="0" xfId="2" applyNumberFormat="1" applyFont="1" applyFill="1" applyBorder="1"/>
    <xf numFmtId="165" fontId="0" fillId="3" borderId="0" xfId="1" applyNumberFormat="1" applyFont="1" applyFill="1" applyBorder="1"/>
    <xf numFmtId="0" fontId="2" fillId="0" borderId="42" xfId="0" applyFont="1" applyBorder="1"/>
    <xf numFmtId="165" fontId="2" fillId="0" borderId="43" xfId="1" applyNumberFormat="1" applyFont="1" applyFill="1" applyBorder="1"/>
    <xf numFmtId="0" fontId="2" fillId="0" borderId="44" xfId="0" applyFont="1" applyBorder="1"/>
    <xf numFmtId="166" fontId="2" fillId="0" borderId="45" xfId="2" applyNumberFormat="1" applyFont="1" applyFill="1" applyBorder="1"/>
    <xf numFmtId="166" fontId="2" fillId="0" borderId="43" xfId="2" applyNumberFormat="1" applyFont="1" applyFill="1" applyBorder="1"/>
    <xf numFmtId="166" fontId="2" fillId="0" borderId="44" xfId="2" applyNumberFormat="1" applyFont="1" applyFill="1" applyBorder="1"/>
    <xf numFmtId="165" fontId="2" fillId="0" borderId="44" xfId="0" applyNumberFormat="1" applyFont="1" applyBorder="1"/>
    <xf numFmtId="166" fontId="2" fillId="0" borderId="46" xfId="0" applyNumberFormat="1" applyFont="1" applyBorder="1"/>
    <xf numFmtId="0" fontId="2" fillId="0" borderId="19" xfId="0" applyFont="1" applyBorder="1" applyAlignment="1">
      <alignment horizontal="center"/>
    </xf>
    <xf numFmtId="0" fontId="2" fillId="2" borderId="4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3" xfId="0" applyFont="1" applyBorder="1"/>
    <xf numFmtId="167" fontId="0" fillId="0" borderId="13" xfId="2" applyNumberFormat="1" applyFont="1" applyFill="1" applyBorder="1"/>
    <xf numFmtId="165" fontId="1" fillId="0" borderId="8" xfId="1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8" xfId="0" applyBorder="1"/>
    <xf numFmtId="0" fontId="0" fillId="0" borderId="15" xfId="0" applyBorder="1" applyAlignment="1">
      <alignment vertical="center"/>
    </xf>
    <xf numFmtId="0" fontId="0" fillId="3" borderId="0" xfId="0" applyFill="1"/>
    <xf numFmtId="0" fontId="2" fillId="0" borderId="50" xfId="0" applyFont="1" applyBorder="1"/>
    <xf numFmtId="166" fontId="1" fillId="0" borderId="6" xfId="2" applyNumberFormat="1" applyFont="1" applyFill="1" applyBorder="1"/>
    <xf numFmtId="165" fontId="0" fillId="3" borderId="5" xfId="1" applyNumberFormat="1" applyFont="1" applyFill="1" applyBorder="1"/>
    <xf numFmtId="164" fontId="0" fillId="3" borderId="0" xfId="1" applyNumberFormat="1" applyFont="1" applyFill="1" applyBorder="1"/>
    <xf numFmtId="165" fontId="0" fillId="3" borderId="7" xfId="1" applyNumberFormat="1" applyFont="1" applyFill="1" applyBorder="1"/>
    <xf numFmtId="164" fontId="0" fillId="3" borderId="8" xfId="1" applyNumberFormat="1" applyFont="1" applyFill="1" applyBorder="1"/>
    <xf numFmtId="165" fontId="0" fillId="3" borderId="19" xfId="1" applyNumberFormat="1" applyFont="1" applyFill="1" applyBorder="1"/>
    <xf numFmtId="0" fontId="0" fillId="0" borderId="0" xfId="0" applyAlignment="1">
      <alignment horizontal="center" wrapText="1"/>
    </xf>
    <xf numFmtId="165" fontId="0" fillId="0" borderId="0" xfId="0" applyNumberFormat="1"/>
    <xf numFmtId="165" fontId="2" fillId="0" borderId="11" xfId="1" applyNumberFormat="1" applyFont="1" applyBorder="1"/>
    <xf numFmtId="0" fontId="2" fillId="2" borderId="51" xfId="0" applyFont="1" applyFill="1" applyBorder="1" applyAlignment="1">
      <alignment horizontal="center"/>
    </xf>
    <xf numFmtId="165" fontId="0" fillId="0" borderId="18" xfId="0" applyNumberFormat="1" applyBorder="1"/>
    <xf numFmtId="165" fontId="2" fillId="0" borderId="20" xfId="1" applyNumberFormat="1" applyFont="1" applyFill="1" applyBorder="1"/>
    <xf numFmtId="165" fontId="3" fillId="0" borderId="0" xfId="1" applyNumberFormat="1" applyFont="1" applyBorder="1"/>
    <xf numFmtId="168" fontId="0" fillId="0" borderId="0" xfId="0" applyNumberFormat="1"/>
    <xf numFmtId="164" fontId="0" fillId="0" borderId="0" xfId="0" applyNumberFormat="1"/>
    <xf numFmtId="165" fontId="1" fillId="3" borderId="5" xfId="1" applyNumberFormat="1" applyFont="1" applyFill="1" applyBorder="1"/>
    <xf numFmtId="2" fontId="0" fillId="3" borderId="1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2" fillId="0" borderId="46" xfId="2" applyNumberFormat="1" applyFont="1" applyFill="1" applyBorder="1"/>
    <xf numFmtId="0" fontId="6" fillId="0" borderId="12" xfId="0" applyFont="1" applyBorder="1" applyAlignment="1">
      <alignment horizontal="center" vertical="center"/>
    </xf>
    <xf numFmtId="167" fontId="2" fillId="4" borderId="0" xfId="2" applyNumberFormat="1" applyFont="1" applyFill="1" applyBorder="1"/>
    <xf numFmtId="167" fontId="0" fillId="0" borderId="0" xfId="0" applyNumberFormat="1"/>
    <xf numFmtId="165" fontId="1" fillId="0" borderId="9" xfId="1" applyNumberFormat="1" applyFont="1" applyFill="1" applyBorder="1" applyAlignment="1">
      <alignment horizontal="center" wrapText="1"/>
    </xf>
    <xf numFmtId="165" fontId="0" fillId="3" borderId="11" xfId="1" applyNumberFormat="1" applyFont="1" applyFill="1" applyBorder="1"/>
    <xf numFmtId="3" fontId="0" fillId="3" borderId="11" xfId="0" applyNumberFormat="1" applyFill="1" applyBorder="1"/>
    <xf numFmtId="0" fontId="2" fillId="0" borderId="23" xfId="0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0" fillId="3" borderId="0" xfId="0" applyNumberFormat="1" applyFill="1"/>
    <xf numFmtId="0" fontId="2" fillId="0" borderId="0" xfId="0" applyFont="1" applyAlignment="1">
      <alignment horizontal="center"/>
    </xf>
    <xf numFmtId="165" fontId="0" fillId="3" borderId="21" xfId="1" applyNumberFormat="1" applyFont="1" applyFill="1" applyBorder="1"/>
    <xf numFmtId="2" fontId="0" fillId="3" borderId="11" xfId="0" applyNumberFormat="1" applyFill="1" applyBorder="1"/>
    <xf numFmtId="0" fontId="3" fillId="0" borderId="10" xfId="0" applyFont="1" applyBorder="1"/>
    <xf numFmtId="0" fontId="3" fillId="0" borderId="8" xfId="0" applyFont="1" applyBorder="1"/>
    <xf numFmtId="0" fontId="0" fillId="0" borderId="0" xfId="0" applyAlignment="1">
      <alignment horizontal="right"/>
    </xf>
    <xf numFmtId="0" fontId="7" fillId="2" borderId="10" xfId="0" applyFont="1" applyFill="1" applyBorder="1" applyAlignment="1">
      <alignment horizontal="center"/>
    </xf>
    <xf numFmtId="0" fontId="3" fillId="0" borderId="16" xfId="0" applyFont="1" applyBorder="1"/>
    <xf numFmtId="166" fontId="3" fillId="0" borderId="0" xfId="2" applyNumberFormat="1" applyFont="1" applyBorder="1"/>
    <xf numFmtId="0" fontId="2" fillId="2" borderId="33" xfId="0" applyFont="1" applyFill="1" applyBorder="1"/>
    <xf numFmtId="0" fontId="0" fillId="2" borderId="5" xfId="0" applyFill="1" applyBorder="1"/>
    <xf numFmtId="0" fontId="2" fillId="2" borderId="23" xfId="0" applyFont="1" applyFill="1" applyBorder="1" applyAlignment="1">
      <alignment horizontal="left" vertical="center"/>
    </xf>
    <xf numFmtId="167" fontId="2" fillId="0" borderId="27" xfId="2" applyNumberFormat="1" applyFont="1" applyBorder="1"/>
    <xf numFmtId="167" fontId="2" fillId="0" borderId="8" xfId="2" applyNumberFormat="1" applyFont="1" applyBorder="1"/>
    <xf numFmtId="0" fontId="7" fillId="2" borderId="34" xfId="0" applyFont="1" applyFill="1" applyBorder="1" applyAlignment="1">
      <alignment horizontal="center"/>
    </xf>
    <xf numFmtId="0" fontId="7" fillId="2" borderId="18" xfId="2" applyNumberFormat="1" applyFont="1" applyFill="1" applyBorder="1" applyAlignment="1">
      <alignment horizontal="center"/>
    </xf>
    <xf numFmtId="166" fontId="3" fillId="0" borderId="15" xfId="2" applyNumberFormat="1" applyFont="1" applyBorder="1"/>
    <xf numFmtId="0" fontId="0" fillId="0" borderId="0" xfId="0" applyAlignment="1">
      <alignment horizontal="left"/>
    </xf>
    <xf numFmtId="0" fontId="8" fillId="0" borderId="15" xfId="0" applyFont="1" applyBorder="1" applyAlignment="1">
      <alignment vertical="center"/>
    </xf>
    <xf numFmtId="0" fontId="0" fillId="0" borderId="18" xfId="0" applyBorder="1" applyAlignment="1">
      <alignment horizontal="left"/>
    </xf>
    <xf numFmtId="165" fontId="3" fillId="3" borderId="11" xfId="1" applyNumberFormat="1" applyFont="1" applyFill="1" applyBorder="1"/>
    <xf numFmtId="169" fontId="0" fillId="0" borderId="0" xfId="0" applyNumberFormat="1"/>
    <xf numFmtId="169" fontId="2" fillId="0" borderId="0" xfId="1" applyNumberFormat="1" applyFont="1" applyFill="1" applyBorder="1"/>
    <xf numFmtId="165" fontId="3" fillId="0" borderId="0" xfId="0" applyNumberFormat="1" applyFont="1"/>
    <xf numFmtId="0" fontId="9" fillId="0" borderId="0" xfId="4"/>
    <xf numFmtId="170" fontId="0" fillId="0" borderId="0" xfId="0" applyNumberFormat="1"/>
    <xf numFmtId="170" fontId="0" fillId="0" borderId="19" xfId="0" applyNumberFormat="1" applyBorder="1"/>
    <xf numFmtId="0" fontId="2" fillId="0" borderId="0" xfId="1" applyNumberFormat="1" applyFont="1" applyAlignment="1">
      <alignment horizontal="center"/>
    </xf>
    <xf numFmtId="166" fontId="1" fillId="0" borderId="0" xfId="2" applyNumberFormat="1" applyFont="1" applyBorder="1"/>
    <xf numFmtId="166" fontId="2" fillId="0" borderId="11" xfId="0" applyNumberFormat="1" applyFont="1" applyBorder="1"/>
    <xf numFmtId="0" fontId="2" fillId="0" borderId="8" xfId="0" applyFont="1" applyBorder="1"/>
    <xf numFmtId="0" fontId="6" fillId="0" borderId="54" xfId="0" applyFont="1" applyBorder="1" applyAlignment="1">
      <alignment horizontal="center" vertical="center"/>
    </xf>
    <xf numFmtId="165" fontId="1" fillId="3" borderId="0" xfId="1" applyNumberFormat="1" applyFont="1" applyFill="1" applyBorder="1"/>
    <xf numFmtId="0" fontId="11" fillId="0" borderId="0" xfId="0" applyFont="1"/>
    <xf numFmtId="0" fontId="10" fillId="0" borderId="0" xfId="0" applyFont="1"/>
    <xf numFmtId="166" fontId="10" fillId="0" borderId="0" xfId="2" applyNumberFormat="1" applyFont="1" applyFill="1" applyBorder="1"/>
    <xf numFmtId="0" fontId="10" fillId="0" borderId="0" xfId="0" applyFont="1" applyAlignment="1">
      <alignment horizontal="center"/>
    </xf>
    <xf numFmtId="165" fontId="11" fillId="0" borderId="0" xfId="1" applyNumberFormat="1" applyFont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0" fillId="0" borderId="5" xfId="0" applyFont="1" applyBorder="1"/>
    <xf numFmtId="165" fontId="10" fillId="3" borderId="0" xfId="1" applyNumberFormat="1" applyFont="1" applyFill="1" applyBorder="1"/>
    <xf numFmtId="167" fontId="10" fillId="3" borderId="0" xfId="2" applyNumberFormat="1" applyFont="1" applyFill="1" applyBorder="1"/>
    <xf numFmtId="0" fontId="12" fillId="0" borderId="5" xfId="0" applyFont="1" applyBorder="1"/>
    <xf numFmtId="166" fontId="12" fillId="0" borderId="0" xfId="2" applyNumberFormat="1" applyFont="1" applyFill="1" applyBorder="1"/>
    <xf numFmtId="0" fontId="10" fillId="0" borderId="18" xfId="0" applyFont="1" applyBorder="1"/>
    <xf numFmtId="167" fontId="12" fillId="0" borderId="0" xfId="2" applyNumberFormat="1" applyFont="1" applyFill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166" fontId="14" fillId="0" borderId="0" xfId="0" applyNumberFormat="1" applyFont="1"/>
    <xf numFmtId="10" fontId="13" fillId="3" borderId="0" xfId="3" applyNumberFormat="1" applyFont="1" applyFill="1" applyBorder="1"/>
    <xf numFmtId="0" fontId="14" fillId="0" borderId="0" xfId="0" applyFont="1"/>
    <xf numFmtId="165" fontId="14" fillId="0" borderId="0" xfId="1" applyNumberFormat="1" applyFont="1" applyFill="1" applyBorder="1" applyAlignment="1">
      <alignment horizontal="left"/>
    </xf>
    <xf numFmtId="0" fontId="13" fillId="0" borderId="16" xfId="0" applyFont="1" applyBorder="1"/>
    <xf numFmtId="0" fontId="13" fillId="0" borderId="17" xfId="0" applyFont="1" applyBorder="1"/>
    <xf numFmtId="0" fontId="13" fillId="0" borderId="0" xfId="0" applyFont="1"/>
    <xf numFmtId="166" fontId="13" fillId="0" borderId="19" xfId="0" applyNumberFormat="1" applyFont="1" applyBorder="1"/>
    <xf numFmtId="166" fontId="13" fillId="0" borderId="0" xfId="0" applyNumberFormat="1" applyFont="1"/>
    <xf numFmtId="0" fontId="13" fillId="0" borderId="19" xfId="0" applyFont="1" applyBorder="1"/>
    <xf numFmtId="166" fontId="13" fillId="0" borderId="11" xfId="0" applyNumberFormat="1" applyFont="1" applyBorder="1"/>
    <xf numFmtId="166" fontId="13" fillId="0" borderId="21" xfId="0" applyNumberFormat="1" applyFont="1" applyBorder="1"/>
    <xf numFmtId="166" fontId="15" fillId="0" borderId="19" xfId="0" applyNumberFormat="1" applyFont="1" applyBorder="1"/>
    <xf numFmtId="0" fontId="13" fillId="0" borderId="11" xfId="0" applyFont="1" applyBorder="1"/>
    <xf numFmtId="0" fontId="13" fillId="0" borderId="21" xfId="0" applyFont="1" applyBorder="1"/>
    <xf numFmtId="0" fontId="16" fillId="0" borderId="44" xfId="0" applyFont="1" applyBorder="1"/>
    <xf numFmtId="166" fontId="16" fillId="0" borderId="0" xfId="0" applyNumberFormat="1" applyFont="1"/>
    <xf numFmtId="165" fontId="13" fillId="3" borderId="18" xfId="1" applyNumberFormat="1" applyFont="1" applyFill="1" applyBorder="1"/>
    <xf numFmtId="167" fontId="13" fillId="0" borderId="0" xfId="0" applyNumberFormat="1" applyFont="1"/>
    <xf numFmtId="166" fontId="13" fillId="0" borderId="19" xfId="2" applyNumberFormat="1" applyFont="1" applyFill="1" applyBorder="1"/>
    <xf numFmtId="166" fontId="13" fillId="3" borderId="18" xfId="0" applyNumberFormat="1" applyFont="1" applyFill="1" applyBorder="1"/>
    <xf numFmtId="166" fontId="13" fillId="0" borderId="18" xfId="0" applyNumberFormat="1" applyFont="1" applyBorder="1"/>
    <xf numFmtId="166" fontId="13" fillId="0" borderId="0" xfId="2" applyNumberFormat="1" applyFont="1" applyFill="1" applyBorder="1"/>
    <xf numFmtId="166" fontId="13" fillId="0" borderId="6" xfId="2" applyNumberFormat="1" applyFont="1" applyFill="1" applyBorder="1"/>
    <xf numFmtId="0" fontId="15" fillId="0" borderId="44" xfId="0" applyFont="1" applyBorder="1"/>
    <xf numFmtId="165" fontId="15" fillId="0" borderId="43" xfId="1" applyNumberFormat="1" applyFont="1" applyFill="1" applyBorder="1"/>
    <xf numFmtId="166" fontId="15" fillId="0" borderId="45" xfId="2" applyNumberFormat="1" applyFont="1" applyFill="1" applyBorder="1"/>
    <xf numFmtId="166" fontId="15" fillId="0" borderId="43" xfId="2" applyNumberFormat="1" applyFont="1" applyFill="1" applyBorder="1"/>
    <xf numFmtId="166" fontId="15" fillId="0" borderId="44" xfId="2" applyNumberFormat="1" applyFont="1" applyFill="1" applyBorder="1"/>
    <xf numFmtId="165" fontId="15" fillId="0" borderId="44" xfId="0" applyNumberFormat="1" applyFont="1" applyBorder="1"/>
    <xf numFmtId="166" fontId="15" fillId="0" borderId="46" xfId="2" applyNumberFormat="1" applyFont="1" applyFill="1" applyBorder="1"/>
    <xf numFmtId="0" fontId="13" fillId="0" borderId="0" xfId="0" applyFont="1" applyAlignment="1">
      <alignment horizontal="center"/>
    </xf>
    <xf numFmtId="165" fontId="14" fillId="0" borderId="0" xfId="1" applyNumberFormat="1" applyFont="1"/>
    <xf numFmtId="44" fontId="14" fillId="0" borderId="0" xfId="0" applyNumberFormat="1" applyFont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5" xfId="0" applyFont="1" applyBorder="1"/>
    <xf numFmtId="165" fontId="13" fillId="3" borderId="0" xfId="1" applyNumberFormat="1" applyFont="1" applyFill="1" applyBorder="1"/>
    <xf numFmtId="167" fontId="13" fillId="3" borderId="0" xfId="2" applyNumberFormat="1" applyFont="1" applyFill="1" applyBorder="1"/>
    <xf numFmtId="0" fontId="15" fillId="0" borderId="5" xfId="0" applyFont="1" applyBorder="1"/>
    <xf numFmtId="166" fontId="15" fillId="0" borderId="0" xfId="2" applyNumberFormat="1" applyFont="1" applyFill="1" applyBorder="1"/>
    <xf numFmtId="0" fontId="13" fillId="0" borderId="18" xfId="0" applyFont="1" applyBorder="1"/>
    <xf numFmtId="167" fontId="15" fillId="0" borderId="0" xfId="2" applyNumberFormat="1" applyFont="1" applyFill="1" applyBorder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3" fillId="0" borderId="26" xfId="0" applyFont="1" applyBorder="1"/>
    <xf numFmtId="167" fontId="13" fillId="0" borderId="0" xfId="2" applyNumberFormat="1" applyFont="1" applyBorder="1"/>
    <xf numFmtId="167" fontId="13" fillId="0" borderId="6" xfId="2" applyNumberFormat="1" applyFont="1" applyBorder="1"/>
    <xf numFmtId="165" fontId="13" fillId="0" borderId="0" xfId="1" applyNumberFormat="1" applyFont="1" applyBorder="1"/>
    <xf numFmtId="165" fontId="13" fillId="0" borderId="6" xfId="1" applyNumberFormat="1" applyFont="1" applyBorder="1"/>
    <xf numFmtId="166" fontId="13" fillId="0" borderId="0" xfId="2" applyNumberFormat="1" applyFont="1" applyBorder="1"/>
    <xf numFmtId="166" fontId="13" fillId="0" borderId="6" xfId="2" applyNumberFormat="1" applyFont="1" applyBorder="1"/>
    <xf numFmtId="166" fontId="13" fillId="0" borderId="6" xfId="0" applyNumberFormat="1" applyFont="1" applyBorder="1"/>
    <xf numFmtId="166" fontId="15" fillId="0" borderId="0" xfId="0" applyNumberFormat="1" applyFont="1"/>
    <xf numFmtId="166" fontId="15" fillId="0" borderId="6" xfId="0" applyNumberFormat="1" applyFont="1" applyBorder="1"/>
    <xf numFmtId="0" fontId="13" fillId="0" borderId="6" xfId="0" applyFont="1" applyBorder="1"/>
    <xf numFmtId="167" fontId="15" fillId="0" borderId="8" xfId="2" applyNumberFormat="1" applyFont="1" applyBorder="1"/>
    <xf numFmtId="167" fontId="15" fillId="0" borderId="9" xfId="2" applyNumberFormat="1" applyFont="1" applyBorder="1"/>
    <xf numFmtId="0" fontId="17" fillId="2" borderId="0" xfId="2" applyNumberFormat="1" applyFont="1" applyFill="1" applyBorder="1" applyAlignment="1">
      <alignment horizontal="center"/>
    </xf>
    <xf numFmtId="0" fontId="17" fillId="2" borderId="6" xfId="2" applyNumberFormat="1" applyFont="1" applyFill="1" applyBorder="1" applyAlignment="1">
      <alignment horizontal="center"/>
    </xf>
    <xf numFmtId="166" fontId="13" fillId="0" borderId="16" xfId="2" applyNumberFormat="1" applyFont="1" applyBorder="1"/>
    <xf numFmtId="166" fontId="13" fillId="0" borderId="26" xfId="2" applyNumberFormat="1" applyFont="1" applyBorder="1"/>
    <xf numFmtId="0" fontId="13" fillId="0" borderId="29" xfId="0" applyFont="1" applyBorder="1"/>
    <xf numFmtId="166" fontId="15" fillId="0" borderId="8" xfId="0" applyNumberFormat="1" applyFont="1" applyBorder="1"/>
    <xf numFmtId="166" fontId="15" fillId="0" borderId="9" xfId="0" applyNumberFormat="1" applyFont="1" applyBorder="1"/>
    <xf numFmtId="0" fontId="15" fillId="0" borderId="0" xfId="1" applyNumberFormat="1" applyFont="1" applyAlignment="1">
      <alignment horizontal="center"/>
    </xf>
    <xf numFmtId="166" fontId="13" fillId="0" borderId="19" xfId="2" applyNumberFormat="1" applyFont="1" applyBorder="1"/>
    <xf numFmtId="166" fontId="15" fillId="0" borderId="11" xfId="0" applyNumberFormat="1" applyFont="1" applyBorder="1"/>
    <xf numFmtId="166" fontId="15" fillId="0" borderId="21" xfId="0" applyNumberFormat="1" applyFont="1" applyBorder="1"/>
    <xf numFmtId="166" fontId="1" fillId="0" borderId="18" xfId="2" applyNumberFormat="1" applyFont="1" applyBorder="1"/>
    <xf numFmtId="165" fontId="1" fillId="0" borderId="18" xfId="1" applyNumberFormat="1" applyFont="1" applyBorder="1"/>
    <xf numFmtId="166" fontId="2" fillId="0" borderId="18" xfId="0" applyNumberFormat="1" applyFont="1" applyBorder="1"/>
    <xf numFmtId="166" fontId="2" fillId="0" borderId="27" xfId="0" applyNumberFormat="1" applyFont="1" applyBorder="1"/>
    <xf numFmtId="167" fontId="1" fillId="0" borderId="0" xfId="2" applyNumberFormat="1" applyFont="1" applyBorder="1"/>
    <xf numFmtId="165" fontId="1" fillId="0" borderId="0" xfId="1" applyNumberFormat="1" applyFont="1" applyBorder="1"/>
    <xf numFmtId="166" fontId="18" fillId="0" borderId="6" xfId="2" applyNumberFormat="1" applyFont="1" applyFill="1" applyBorder="1"/>
    <xf numFmtId="166" fontId="19" fillId="0" borderId="46" xfId="2" applyNumberFormat="1" applyFont="1" applyFill="1" applyBorder="1"/>
    <xf numFmtId="165" fontId="1" fillId="0" borderId="11" xfId="1" applyNumberFormat="1" applyFont="1" applyFill="1" applyBorder="1" applyAlignment="1">
      <alignment horizontal="center" wrapText="1"/>
    </xf>
    <xf numFmtId="10" fontId="14" fillId="3" borderId="0" xfId="3" applyNumberFormat="1" applyFont="1" applyFill="1" applyBorder="1"/>
    <xf numFmtId="166" fontId="0" fillId="0" borderId="10" xfId="0" applyNumberFormat="1" applyBorder="1"/>
    <xf numFmtId="10" fontId="1" fillId="3" borderId="10" xfId="3" applyNumberFormat="1" applyFont="1" applyFill="1" applyBorder="1"/>
    <xf numFmtId="0" fontId="0" fillId="0" borderId="25" xfId="0" applyBorder="1"/>
    <xf numFmtId="166" fontId="20" fillId="0" borderId="0" xfId="2" applyNumberFormat="1" applyFont="1" applyBorder="1"/>
    <xf numFmtId="0" fontId="5" fillId="0" borderId="8" xfId="0" applyFont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2" borderId="25" xfId="1" applyNumberFormat="1" applyFont="1" applyFill="1" applyBorder="1" applyAlignment="1">
      <alignment horizontal="center"/>
    </xf>
    <xf numFmtId="0" fontId="4" fillId="2" borderId="10" xfId="1" applyNumberFormat="1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4" fillId="2" borderId="30" xfId="1" applyNumberFormat="1" applyFont="1" applyFill="1" applyBorder="1" applyAlignment="1">
      <alignment horizontal="center"/>
    </xf>
    <xf numFmtId="0" fontId="4" fillId="2" borderId="31" xfId="1" applyNumberFormat="1" applyFont="1" applyFill="1" applyBorder="1" applyAlignment="1">
      <alignment horizontal="center"/>
    </xf>
    <xf numFmtId="0" fontId="4" fillId="2" borderId="32" xfId="1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7" fontId="1" fillId="3" borderId="0" xfId="2" applyNumberFormat="1" applyFont="1" applyFill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so.ca/Sector-Participants/Settlements/Global-Adjustment-for-Class-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E8A6-097D-4B1A-B33A-82DD80545A46}">
  <sheetPr codeName="Sheet1"/>
  <dimension ref="B2:AL111"/>
  <sheetViews>
    <sheetView topLeftCell="A49" zoomScale="80" zoomScaleNormal="80" workbookViewId="0">
      <selection activeCell="F78" sqref="F78"/>
    </sheetView>
  </sheetViews>
  <sheetFormatPr defaultColWidth="8.85546875" defaultRowHeight="15"/>
  <cols>
    <col min="1" max="1" width="3.28515625" customWidth="1"/>
    <col min="2" max="2" width="12.42578125" customWidth="1"/>
    <col min="3" max="3" width="15.28515625" bestFit="1" customWidth="1"/>
    <col min="4" max="4" width="17.85546875" customWidth="1"/>
    <col min="5" max="5" width="14.28515625" bestFit="1" customWidth="1"/>
    <col min="6" max="6" width="14.28515625" customWidth="1"/>
    <col min="7" max="7" width="13.42578125" bestFit="1" customWidth="1"/>
    <col min="8" max="8" width="13.85546875" bestFit="1" customWidth="1"/>
    <col min="9" max="9" width="13.140625" customWidth="1"/>
    <col min="10" max="10" width="13.7109375" customWidth="1"/>
    <col min="11" max="11" width="13.42578125" bestFit="1" customWidth="1"/>
    <col min="12" max="12" width="14.28515625" customWidth="1"/>
    <col min="13" max="14" width="14.42578125" customWidth="1"/>
    <col min="15" max="15" width="13.7109375" bestFit="1" customWidth="1"/>
    <col min="16" max="26" width="15.28515625" customWidth="1"/>
    <col min="27" max="27" width="12.85546875" customWidth="1"/>
    <col min="28" max="28" width="12" bestFit="1" customWidth="1"/>
    <col min="29" max="29" width="12.28515625" customWidth="1"/>
    <col min="30" max="30" width="14" customWidth="1"/>
    <col min="31" max="31" width="12" bestFit="1" customWidth="1"/>
    <col min="32" max="32" width="12.42578125" customWidth="1"/>
    <col min="33" max="33" width="13.28515625" customWidth="1"/>
    <col min="34" max="34" width="12" bestFit="1" customWidth="1"/>
    <col min="35" max="35" width="14.42578125" customWidth="1"/>
    <col min="36" max="36" width="12.85546875" customWidth="1"/>
    <col min="37" max="37" width="12" bestFit="1" customWidth="1"/>
    <col min="38" max="38" width="13.28515625" customWidth="1"/>
  </cols>
  <sheetData>
    <row r="2" spans="2:38" ht="19.5" thickBot="1">
      <c r="C2" s="283" t="s">
        <v>111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</row>
    <row r="3" spans="2:38" ht="15.75" thickBot="1">
      <c r="B3" s="1"/>
      <c r="C3" s="284">
        <v>2017</v>
      </c>
      <c r="D3" s="285"/>
      <c r="E3" s="285"/>
      <c r="F3" s="286">
        <f>C3+1</f>
        <v>2018</v>
      </c>
      <c r="G3" s="287"/>
      <c r="H3" s="288"/>
      <c r="I3" s="285">
        <f>F3+1</f>
        <v>2019</v>
      </c>
      <c r="J3" s="285"/>
      <c r="K3" s="285"/>
      <c r="L3" s="286">
        <f>I3+1</f>
        <v>2020</v>
      </c>
      <c r="M3" s="287"/>
      <c r="N3" s="288"/>
      <c r="O3" s="285">
        <f>L3+1</f>
        <v>2021</v>
      </c>
      <c r="P3" s="285"/>
      <c r="Q3" s="285"/>
      <c r="R3" s="286">
        <f>O3+1</f>
        <v>2022</v>
      </c>
      <c r="S3" s="287"/>
      <c r="T3" s="288"/>
      <c r="U3" s="285">
        <f>R3+1</f>
        <v>2023</v>
      </c>
      <c r="V3" s="285"/>
      <c r="W3" s="289"/>
      <c r="X3" s="285">
        <v>2024</v>
      </c>
      <c r="Y3" s="285"/>
      <c r="Z3" s="285"/>
      <c r="AA3" s="286">
        <v>2025</v>
      </c>
      <c r="AB3" s="287"/>
      <c r="AC3" s="288"/>
      <c r="AD3" s="285">
        <v>2026</v>
      </c>
      <c r="AE3" s="285"/>
      <c r="AF3" s="289"/>
      <c r="AG3" s="286">
        <v>2027</v>
      </c>
      <c r="AH3" s="287"/>
      <c r="AI3" s="288"/>
      <c r="AJ3" s="285">
        <v>2028</v>
      </c>
      <c r="AK3" s="285"/>
      <c r="AL3" s="289"/>
    </row>
    <row r="4" spans="2:38" ht="30.75" thickBot="1">
      <c r="B4" s="1"/>
      <c r="C4" s="100" t="s">
        <v>13</v>
      </c>
      <c r="D4" s="101" t="s">
        <v>12</v>
      </c>
      <c r="E4" s="102" t="s">
        <v>90</v>
      </c>
      <c r="F4" s="100" t="s">
        <v>13</v>
      </c>
      <c r="G4" s="101" t="s">
        <v>12</v>
      </c>
      <c r="H4" s="102" t="s">
        <v>90</v>
      </c>
      <c r="I4" s="100" t="s">
        <v>13</v>
      </c>
      <c r="J4" s="101" t="s">
        <v>12</v>
      </c>
      <c r="K4" s="102" t="s">
        <v>90</v>
      </c>
      <c r="L4" s="100" t="s">
        <v>13</v>
      </c>
      <c r="M4" s="101" t="s">
        <v>12</v>
      </c>
      <c r="N4" s="102" t="s">
        <v>90</v>
      </c>
      <c r="O4" s="100" t="s">
        <v>13</v>
      </c>
      <c r="P4" s="101" t="s">
        <v>12</v>
      </c>
      <c r="Q4" s="102" t="s">
        <v>90</v>
      </c>
      <c r="R4" s="100" t="s">
        <v>13</v>
      </c>
      <c r="S4" s="101" t="s">
        <v>12</v>
      </c>
      <c r="T4" s="102" t="s">
        <v>90</v>
      </c>
      <c r="U4" s="100" t="s">
        <v>13</v>
      </c>
      <c r="V4" s="101" t="s">
        <v>12</v>
      </c>
      <c r="W4" s="102" t="s">
        <v>90</v>
      </c>
      <c r="X4" s="100" t="s">
        <v>13</v>
      </c>
      <c r="Y4" s="101" t="s">
        <v>12</v>
      </c>
      <c r="Z4" s="102" t="s">
        <v>90</v>
      </c>
      <c r="AA4" s="100" t="s">
        <v>13</v>
      </c>
      <c r="AB4" s="101" t="s">
        <v>12</v>
      </c>
      <c r="AC4" s="102" t="s">
        <v>90</v>
      </c>
      <c r="AD4" s="100" t="s">
        <v>13</v>
      </c>
      <c r="AE4" s="101" t="s">
        <v>12</v>
      </c>
      <c r="AF4" s="102" t="s">
        <v>90</v>
      </c>
      <c r="AG4" s="100" t="s">
        <v>13</v>
      </c>
      <c r="AH4" s="101" t="s">
        <v>12</v>
      </c>
      <c r="AI4" s="102" t="s">
        <v>90</v>
      </c>
      <c r="AJ4" s="100" t="s">
        <v>13</v>
      </c>
      <c r="AK4" s="101" t="s">
        <v>12</v>
      </c>
      <c r="AL4" s="102" t="s">
        <v>90</v>
      </c>
    </row>
    <row r="5" spans="2:38">
      <c r="B5" s="103" t="s">
        <v>0</v>
      </c>
      <c r="C5" s="114">
        <v>2134510</v>
      </c>
      <c r="D5" s="115">
        <v>8.2269999999999996E-2</v>
      </c>
      <c r="E5" s="5">
        <v>175606.1399999999</v>
      </c>
      <c r="F5" s="114">
        <v>2813138</v>
      </c>
      <c r="G5" s="115">
        <v>6.7360000000000003E-2</v>
      </c>
      <c r="H5" s="5">
        <v>189492.96999999997</v>
      </c>
      <c r="I5" s="114">
        <v>2196000</v>
      </c>
      <c r="J5" s="115">
        <v>8.0920000000000006E-2</v>
      </c>
      <c r="K5" s="5">
        <v>177700.31999999983</v>
      </c>
      <c r="L5" s="114">
        <v>2089120</v>
      </c>
      <c r="M5" s="115">
        <v>0.10231999999999999</v>
      </c>
      <c r="N5" s="5">
        <v>213758.76</v>
      </c>
      <c r="O5" s="114">
        <v>1805830</v>
      </c>
      <c r="P5" s="115">
        <v>8.2970000000000002E-2</v>
      </c>
      <c r="Q5" s="5">
        <v>149829.71999999997</v>
      </c>
      <c r="R5" s="114">
        <v>857320</v>
      </c>
      <c r="S5" s="115">
        <v>4.3529999999999999E-2</v>
      </c>
      <c r="T5" s="5">
        <v>37319.140000000014</v>
      </c>
      <c r="U5" s="114">
        <v>2581363.04</v>
      </c>
      <c r="V5" s="115">
        <v>5.3769999999999998E-2</v>
      </c>
      <c r="W5" s="5">
        <f t="shared" ref="W5:W10" si="0">ROUND(U5*V5,2)</f>
        <v>138799.89000000001</v>
      </c>
      <c r="X5" s="114">
        <v>1908629.7609999999</v>
      </c>
      <c r="Y5" s="115">
        <v>4.5879999999999997E-2</v>
      </c>
      <c r="Z5" s="5">
        <f>X5*Y5</f>
        <v>87567.933434679988</v>
      </c>
      <c r="AA5" s="114">
        <v>1235022.402</v>
      </c>
      <c r="AB5" s="115">
        <v>4.1090000000000002E-2</v>
      </c>
      <c r="AC5" s="5">
        <f>AA5*AB5</f>
        <v>50747.070498180001</v>
      </c>
      <c r="AD5" s="114"/>
      <c r="AE5" s="115"/>
      <c r="AF5" s="5">
        <f>AD5*AE5</f>
        <v>0</v>
      </c>
      <c r="AG5" s="114"/>
      <c r="AH5" s="115"/>
      <c r="AI5" s="5">
        <f>AG5*AH5</f>
        <v>0</v>
      </c>
      <c r="AJ5" s="114"/>
      <c r="AK5" s="115"/>
      <c r="AL5" s="5">
        <f>AJ5*AK5</f>
        <v>0</v>
      </c>
    </row>
    <row r="6" spans="2:38">
      <c r="B6" s="104" t="s">
        <v>1</v>
      </c>
      <c r="C6" s="114">
        <v>2975320</v>
      </c>
      <c r="D6" s="115">
        <v>8.6389999999999995E-2</v>
      </c>
      <c r="E6" s="5">
        <v>257037.8899999999</v>
      </c>
      <c r="F6" s="114">
        <v>3302320</v>
      </c>
      <c r="G6" s="115">
        <v>8.1670000000000006E-2</v>
      </c>
      <c r="H6" s="5">
        <v>269700.47999999998</v>
      </c>
      <c r="I6" s="114">
        <v>2533990</v>
      </c>
      <c r="J6" s="115">
        <v>8.8120000000000004E-2</v>
      </c>
      <c r="K6" s="5">
        <v>223295.19999999995</v>
      </c>
      <c r="L6" s="114">
        <v>1688900</v>
      </c>
      <c r="M6" s="115">
        <v>0.11330999999999999</v>
      </c>
      <c r="N6" s="5">
        <v>191369.26</v>
      </c>
      <c r="O6" s="114">
        <v>1373740</v>
      </c>
      <c r="P6" s="115">
        <v>5.042E-2</v>
      </c>
      <c r="Q6" s="5">
        <v>69263.969999999972</v>
      </c>
      <c r="R6" s="114">
        <v>640680</v>
      </c>
      <c r="S6" s="115">
        <v>5.246E-2</v>
      </c>
      <c r="T6" s="5">
        <v>33610.069999999949</v>
      </c>
      <c r="U6" s="114">
        <v>2016686.24</v>
      </c>
      <c r="V6" s="115">
        <v>8.2489999999999994E-2</v>
      </c>
      <c r="W6" s="5">
        <f t="shared" si="0"/>
        <v>166356.45000000001</v>
      </c>
      <c r="X6" s="114">
        <v>2155770</v>
      </c>
      <c r="Y6" s="115">
        <v>6.6320000000000004E-2</v>
      </c>
      <c r="Z6" s="5">
        <f>X6*Y6</f>
        <v>142970.66640000002</v>
      </c>
      <c r="AA6" s="114">
        <v>802074.4</v>
      </c>
      <c r="AB6" s="115">
        <v>3.0000000000000001E-3</v>
      </c>
      <c r="AC6" s="5">
        <f t="shared" ref="AC6:AC16" si="1">AA6*AB6</f>
        <v>2406.2231999999999</v>
      </c>
      <c r="AD6" s="114"/>
      <c r="AE6" s="115"/>
      <c r="AF6" s="5">
        <f t="shared" ref="AF6:AF16" si="2">AD6*AE6</f>
        <v>0</v>
      </c>
      <c r="AG6" s="114"/>
      <c r="AH6" s="115"/>
      <c r="AI6" s="5">
        <f t="shared" ref="AI6:AI16" si="3">AG6*AH6</f>
        <v>0</v>
      </c>
      <c r="AJ6" s="114"/>
      <c r="AK6" s="115"/>
      <c r="AL6" s="5">
        <f t="shared" ref="AL6:AL16" si="4">AJ6*AK6</f>
        <v>0</v>
      </c>
    </row>
    <row r="7" spans="2:38">
      <c r="B7" s="104" t="s">
        <v>2</v>
      </c>
      <c r="C7" s="114">
        <v>3883530</v>
      </c>
      <c r="D7" s="115">
        <v>7.1349999999999997E-2</v>
      </c>
      <c r="E7" s="5">
        <v>277089.8600000001</v>
      </c>
      <c r="F7" s="114">
        <v>4336290</v>
      </c>
      <c r="G7" s="115">
        <v>9.4810000000000005E-2</v>
      </c>
      <c r="H7" s="5">
        <v>411123.65999999992</v>
      </c>
      <c r="I7" s="114">
        <v>4480180</v>
      </c>
      <c r="J7" s="115">
        <v>8.0409999999999995E-2</v>
      </c>
      <c r="K7" s="5">
        <v>360251.28</v>
      </c>
      <c r="L7" s="114">
        <v>3223950</v>
      </c>
      <c r="M7" s="115">
        <v>0.11942</v>
      </c>
      <c r="N7" s="5">
        <v>385004.1100000001</v>
      </c>
      <c r="O7" s="114">
        <v>2724430</v>
      </c>
      <c r="P7" s="115">
        <v>9.0800000000000006E-2</v>
      </c>
      <c r="Q7" s="5">
        <v>247378.25</v>
      </c>
      <c r="R7" s="114">
        <v>2937880</v>
      </c>
      <c r="S7" s="115">
        <v>5.9409999999999998E-2</v>
      </c>
      <c r="T7" s="5">
        <v>174539.44999999995</v>
      </c>
      <c r="U7" s="114">
        <v>2797296</v>
      </c>
      <c r="V7" s="115">
        <v>8.0310000000000006E-2</v>
      </c>
      <c r="W7" s="5">
        <f t="shared" si="0"/>
        <v>224650.84</v>
      </c>
      <c r="X7" s="114">
        <v>3124994.713</v>
      </c>
      <c r="Y7" s="115">
        <v>8.1710000000000005E-2</v>
      </c>
      <c r="Z7" s="5">
        <f t="shared" ref="Z7:Z16" si="5">X7*Y7</f>
        <v>255343.31799923003</v>
      </c>
      <c r="AA7" s="114">
        <v>2751123.2</v>
      </c>
      <c r="AB7" s="115">
        <v>6.948E-2</v>
      </c>
      <c r="AC7" s="5">
        <f t="shared" si="1"/>
        <v>191148.03993600002</v>
      </c>
      <c r="AD7" s="114"/>
      <c r="AE7" s="115"/>
      <c r="AF7" s="5">
        <f t="shared" si="2"/>
        <v>0</v>
      </c>
      <c r="AG7" s="114"/>
      <c r="AH7" s="115"/>
      <c r="AI7" s="5">
        <f t="shared" si="3"/>
        <v>0</v>
      </c>
      <c r="AJ7" s="114"/>
      <c r="AK7" s="115"/>
      <c r="AL7" s="5">
        <f t="shared" si="4"/>
        <v>0</v>
      </c>
    </row>
    <row r="8" spans="2:38">
      <c r="B8" s="104" t="s">
        <v>3</v>
      </c>
      <c r="C8" s="114">
        <v>4799720</v>
      </c>
      <c r="D8" s="115">
        <v>0.10778</v>
      </c>
      <c r="E8" s="5">
        <v>517313.81999999995</v>
      </c>
      <c r="F8" s="114">
        <v>4359310</v>
      </c>
      <c r="G8" s="115">
        <v>9.9589999999999998E-2</v>
      </c>
      <c r="H8" s="5">
        <v>434143.68000000017</v>
      </c>
      <c r="I8" s="114">
        <v>2161930</v>
      </c>
      <c r="J8" s="115">
        <v>0.12333</v>
      </c>
      <c r="K8" s="5">
        <v>266630.83000000007</v>
      </c>
      <c r="L8" s="114">
        <v>3323490</v>
      </c>
      <c r="M8" s="115">
        <v>0.15057000000000001</v>
      </c>
      <c r="N8" s="5">
        <v>500417.89000000013</v>
      </c>
      <c r="O8" s="114">
        <v>4398280</v>
      </c>
      <c r="P8" s="115">
        <v>0.10934000000000001</v>
      </c>
      <c r="Q8" s="5">
        <v>480907.93000000005</v>
      </c>
      <c r="R8" s="114">
        <v>4152090</v>
      </c>
      <c r="S8" s="115">
        <v>8.2930000000000004E-2</v>
      </c>
      <c r="T8" s="5">
        <v>344332.82999999996</v>
      </c>
      <c r="U8" s="114">
        <v>4258993.4400000004</v>
      </c>
      <c r="V8" s="115">
        <v>9.8530000000000006E-2</v>
      </c>
      <c r="W8" s="5">
        <f t="shared" si="0"/>
        <v>419638.62</v>
      </c>
      <c r="X8" s="114">
        <v>4598522.1670000004</v>
      </c>
      <c r="Y8" s="115">
        <v>7.4270000000000003E-2</v>
      </c>
      <c r="Z8" s="5">
        <f t="shared" si="5"/>
        <v>341532.24134309002</v>
      </c>
      <c r="AA8" s="114">
        <v>4365778.4400000004</v>
      </c>
      <c r="AB8" s="115">
        <v>6.9150000000000003E-2</v>
      </c>
      <c r="AC8" s="5">
        <f t="shared" si="1"/>
        <v>301893.57912600006</v>
      </c>
      <c r="AD8" s="114"/>
      <c r="AE8" s="115"/>
      <c r="AF8" s="5">
        <f t="shared" si="2"/>
        <v>0</v>
      </c>
      <c r="AG8" s="114"/>
      <c r="AH8" s="115"/>
      <c r="AI8" s="5">
        <f t="shared" si="3"/>
        <v>0</v>
      </c>
      <c r="AJ8" s="114"/>
      <c r="AK8" s="115"/>
      <c r="AL8" s="5">
        <f t="shared" si="4"/>
        <v>0</v>
      </c>
    </row>
    <row r="9" spans="2:38">
      <c r="B9" s="104" t="s">
        <v>4</v>
      </c>
      <c r="C9" s="114">
        <v>5096570</v>
      </c>
      <c r="D9" s="115">
        <v>0.12307</v>
      </c>
      <c r="E9" s="5">
        <v>627234.87000000011</v>
      </c>
      <c r="F9" s="114">
        <v>5824650</v>
      </c>
      <c r="G9" s="115">
        <v>0.10791000000000001</v>
      </c>
      <c r="H9" s="5">
        <v>628537.98</v>
      </c>
      <c r="I9" s="114">
        <v>573300</v>
      </c>
      <c r="J9" s="115">
        <v>0.12604000000000001</v>
      </c>
      <c r="K9" s="5">
        <v>72258.729999999981</v>
      </c>
      <c r="L9" s="114">
        <v>4369220</v>
      </c>
      <c r="M9" s="115">
        <v>0.14718000000000001</v>
      </c>
      <c r="N9" s="5">
        <v>643061.80000000005</v>
      </c>
      <c r="O9" s="114">
        <v>3333080</v>
      </c>
      <c r="P9" s="115">
        <v>0.10054</v>
      </c>
      <c r="Q9" s="5">
        <v>335107.8600000001</v>
      </c>
      <c r="R9" s="114">
        <v>5665250</v>
      </c>
      <c r="S9" s="115">
        <v>8.4750000000000006E-2</v>
      </c>
      <c r="T9" s="5">
        <v>480129.94000000006</v>
      </c>
      <c r="U9" s="114">
        <v>5065060.01</v>
      </c>
      <c r="V9" s="115">
        <v>9.962E-2</v>
      </c>
      <c r="W9" s="5">
        <f t="shared" si="0"/>
        <v>504581.28</v>
      </c>
      <c r="X9" s="114">
        <v>4083921.6409999998</v>
      </c>
      <c r="Y9" s="115">
        <v>7.7630000000000005E-2</v>
      </c>
      <c r="Z9" s="5">
        <f t="shared" si="5"/>
        <v>317034.83699083002</v>
      </c>
      <c r="AA9" s="114">
        <v>5239426.41</v>
      </c>
      <c r="AB9" s="115">
        <v>0.13492999999999999</v>
      </c>
      <c r="AC9" s="5">
        <f t="shared" si="1"/>
        <v>706955.80550130003</v>
      </c>
      <c r="AD9" s="114"/>
      <c r="AE9" s="115"/>
      <c r="AF9" s="5">
        <f t="shared" si="2"/>
        <v>0</v>
      </c>
      <c r="AG9" s="114"/>
      <c r="AH9" s="115"/>
      <c r="AI9" s="5">
        <f t="shared" si="3"/>
        <v>0</v>
      </c>
      <c r="AJ9" s="114"/>
      <c r="AK9" s="115"/>
      <c r="AL9" s="5">
        <f t="shared" si="4"/>
        <v>0</v>
      </c>
    </row>
    <row r="10" spans="2:38">
      <c r="B10" s="104" t="s">
        <v>5</v>
      </c>
      <c r="C10" s="114">
        <v>5673460</v>
      </c>
      <c r="D10" s="115">
        <v>0.11848</v>
      </c>
      <c r="E10" s="5">
        <v>672191.54</v>
      </c>
      <c r="F10" s="114">
        <v>5836836</v>
      </c>
      <c r="G10" s="115">
        <v>0.11896</v>
      </c>
      <c r="H10" s="5">
        <v>694350.00999999989</v>
      </c>
      <c r="I10" s="114">
        <v>2446170</v>
      </c>
      <c r="J10" s="115">
        <v>0.13728000000000001</v>
      </c>
      <c r="K10" s="5">
        <v>335810.2100000002</v>
      </c>
      <c r="L10" s="114">
        <v>4206240</v>
      </c>
      <c r="M10" s="115">
        <v>0.12839999999999999</v>
      </c>
      <c r="N10" s="5">
        <v>540081.22</v>
      </c>
      <c r="O10" s="114">
        <v>1333260</v>
      </c>
      <c r="P10" s="115">
        <v>8.6319999999999994E-2</v>
      </c>
      <c r="Q10" s="5">
        <v>115087.01000000001</v>
      </c>
      <c r="R10" s="114">
        <v>5632520</v>
      </c>
      <c r="S10" s="115">
        <v>7.868E-2</v>
      </c>
      <c r="T10" s="5">
        <v>443166.67999999993</v>
      </c>
      <c r="U10" s="114">
        <v>2509005.2799999998</v>
      </c>
      <c r="V10" s="115">
        <v>8.2930000000000004E-2</v>
      </c>
      <c r="W10" s="5">
        <f t="shared" si="0"/>
        <v>208071.81</v>
      </c>
      <c r="X10" s="114">
        <v>4603183.2560000001</v>
      </c>
      <c r="Y10" s="115">
        <v>7.8399999999999997E-2</v>
      </c>
      <c r="Z10" s="5">
        <f t="shared" si="5"/>
        <v>360889.5672704</v>
      </c>
      <c r="AA10" s="114">
        <v>3464712.8</v>
      </c>
      <c r="AB10" s="115">
        <v>5.9720000000000002E-2</v>
      </c>
      <c r="AC10" s="5">
        <f t="shared" si="1"/>
        <v>206912.64841600001</v>
      </c>
      <c r="AD10" s="114"/>
      <c r="AE10" s="115"/>
      <c r="AF10" s="5">
        <f t="shared" si="2"/>
        <v>0</v>
      </c>
      <c r="AG10" s="114"/>
      <c r="AH10" s="115"/>
      <c r="AI10" s="5">
        <f t="shared" si="3"/>
        <v>0</v>
      </c>
      <c r="AJ10" s="114"/>
      <c r="AK10" s="115"/>
      <c r="AL10" s="5">
        <f t="shared" si="4"/>
        <v>0</v>
      </c>
    </row>
    <row r="11" spans="2:38">
      <c r="B11" s="104" t="s">
        <v>6</v>
      </c>
      <c r="C11" s="114">
        <v>5380900</v>
      </c>
      <c r="D11" s="115">
        <v>0.1128</v>
      </c>
      <c r="E11" s="5">
        <v>606965.52</v>
      </c>
      <c r="F11" s="114">
        <v>2286590</v>
      </c>
      <c r="G11" s="115">
        <v>7.7369999999999994E-2</v>
      </c>
      <c r="H11" s="5">
        <v>176913.45999999996</v>
      </c>
      <c r="I11" s="114">
        <v>3676680</v>
      </c>
      <c r="J11" s="115">
        <v>9.6449999999999994E-2</v>
      </c>
      <c r="K11" s="5">
        <v>354615.79000000004</v>
      </c>
      <c r="L11" s="114">
        <v>3494520</v>
      </c>
      <c r="M11" s="115">
        <v>9.9019999999999997E-2</v>
      </c>
      <c r="N11" s="5">
        <v>346027.36999999988</v>
      </c>
      <c r="O11" s="114">
        <v>3685060</v>
      </c>
      <c r="P11" s="115">
        <v>7.3599999999999999E-2</v>
      </c>
      <c r="Q11" s="5">
        <v>271220.41000000003</v>
      </c>
      <c r="R11" s="114">
        <v>4101700</v>
      </c>
      <c r="S11" s="115">
        <v>4.0079999999999998E-2</v>
      </c>
      <c r="T11" s="5">
        <v>164396.14000000001</v>
      </c>
      <c r="U11" s="128">
        <v>5164020</v>
      </c>
      <c r="V11" s="115">
        <f>W11/U11</f>
        <v>4.9651248445978138E-2</v>
      </c>
      <c r="W11" s="113">
        <f>128200.02*2</f>
        <v>256400.04</v>
      </c>
      <c r="X11" s="114">
        <v>5182047</v>
      </c>
      <c r="Y11" s="115">
        <v>6.3710000000000003E-2</v>
      </c>
      <c r="Z11" s="5">
        <f t="shared" si="5"/>
        <v>330148.21437</v>
      </c>
      <c r="AA11" s="114">
        <v>5537455.25</v>
      </c>
      <c r="AB11" s="115">
        <v>1.438E-2</v>
      </c>
      <c r="AC11" s="5">
        <f t="shared" si="1"/>
        <v>79628.606495</v>
      </c>
      <c r="AD11" s="114"/>
      <c r="AE11" s="115"/>
      <c r="AF11" s="5">
        <f t="shared" si="2"/>
        <v>0</v>
      </c>
      <c r="AG11" s="114"/>
      <c r="AH11" s="115"/>
      <c r="AI11" s="5">
        <f t="shared" si="3"/>
        <v>0</v>
      </c>
      <c r="AJ11" s="114"/>
      <c r="AK11" s="115"/>
      <c r="AL11" s="5">
        <f t="shared" si="4"/>
        <v>0</v>
      </c>
    </row>
    <row r="12" spans="2:38">
      <c r="B12" s="104" t="s">
        <v>7</v>
      </c>
      <c r="C12" s="114">
        <v>2756940</v>
      </c>
      <c r="D12" s="115">
        <v>0.10109</v>
      </c>
      <c r="E12" s="5">
        <v>278699.06000000006</v>
      </c>
      <c r="F12" s="114">
        <v>2719400</v>
      </c>
      <c r="G12" s="115">
        <v>7.4899999999999994E-2</v>
      </c>
      <c r="H12" s="5">
        <v>203683.05999999994</v>
      </c>
      <c r="I12" s="114">
        <v>3537380</v>
      </c>
      <c r="J12" s="115">
        <v>0.12606999999999999</v>
      </c>
      <c r="K12" s="5">
        <v>445957.5</v>
      </c>
      <c r="L12" s="114">
        <v>4660990</v>
      </c>
      <c r="M12" s="115">
        <v>0.10348</v>
      </c>
      <c r="N12" s="5">
        <v>482319.24</v>
      </c>
      <c r="O12" s="114">
        <v>4492060</v>
      </c>
      <c r="P12" s="115">
        <v>4.5990000000000003E-2</v>
      </c>
      <c r="Q12" s="5">
        <v>206589.83999999997</v>
      </c>
      <c r="R12" s="114">
        <v>2637510</v>
      </c>
      <c r="S12" s="115">
        <v>4.9899999999999996E-3</v>
      </c>
      <c r="T12" s="5">
        <v>13161.179999999993</v>
      </c>
      <c r="U12" s="114">
        <v>5107690</v>
      </c>
      <c r="V12" s="115">
        <f>W12/U12</f>
        <v>7.6059999725903493E-2</v>
      </c>
      <c r="W12" s="5">
        <f>194245.45*2</f>
        <v>388490.9</v>
      </c>
      <c r="X12" s="114">
        <v>3966690</v>
      </c>
      <c r="Y12" s="115">
        <v>6.3229999999999995E-2</v>
      </c>
      <c r="Z12" s="5">
        <f t="shared" si="5"/>
        <v>250813.80869999997</v>
      </c>
      <c r="AA12" s="114">
        <v>2651252.7999999998</v>
      </c>
      <c r="AB12" s="115">
        <v>3.0099999999999998E-2</v>
      </c>
      <c r="AC12" s="5">
        <f t="shared" si="1"/>
        <v>79802.709279999995</v>
      </c>
      <c r="AD12" s="114"/>
      <c r="AE12" s="115"/>
      <c r="AF12" s="5">
        <f t="shared" si="2"/>
        <v>0</v>
      </c>
      <c r="AG12" s="114"/>
      <c r="AH12" s="115"/>
      <c r="AI12" s="5">
        <f t="shared" si="3"/>
        <v>0</v>
      </c>
      <c r="AJ12" s="114"/>
      <c r="AK12" s="115"/>
      <c r="AL12" s="5">
        <f t="shared" si="4"/>
        <v>0</v>
      </c>
    </row>
    <row r="13" spans="2:38">
      <c r="B13" s="104" t="s">
        <v>8</v>
      </c>
      <c r="C13" s="114">
        <v>3210200</v>
      </c>
      <c r="D13" s="115">
        <v>8.8639999999999997E-2</v>
      </c>
      <c r="E13" s="5">
        <v>284552.13</v>
      </c>
      <c r="F13" s="114">
        <v>3075670</v>
      </c>
      <c r="G13" s="115">
        <v>8.584E-2</v>
      </c>
      <c r="H13" s="5">
        <v>264015.50999999989</v>
      </c>
      <c r="I13" s="114">
        <v>2684440</v>
      </c>
      <c r="J13" s="115">
        <v>0.12263</v>
      </c>
      <c r="K13" s="5">
        <v>329192.87999999989</v>
      </c>
      <c r="L13" s="114">
        <v>4094420</v>
      </c>
      <c r="M13" s="115">
        <v>0.12175999999999999</v>
      </c>
      <c r="N13" s="5">
        <v>498536.58000000007</v>
      </c>
      <c r="O13" s="114">
        <v>2697760</v>
      </c>
      <c r="P13" s="115">
        <v>7.5649999999999995E-2</v>
      </c>
      <c r="Q13" s="5">
        <v>204085.54999999993</v>
      </c>
      <c r="R13" s="114">
        <v>4344770</v>
      </c>
      <c r="S13" s="115">
        <v>3.2410000000000001E-2</v>
      </c>
      <c r="T13" s="5">
        <v>140814</v>
      </c>
      <c r="U13" s="114">
        <v>3976555.51</v>
      </c>
      <c r="V13" s="115">
        <v>5.0930000000000003E-2</v>
      </c>
      <c r="W13" s="5">
        <v>202525.97</v>
      </c>
      <c r="X13" s="114">
        <v>4956280</v>
      </c>
      <c r="Y13" s="115">
        <v>7.9280000000000003E-2</v>
      </c>
      <c r="Z13" s="5">
        <f t="shared" si="5"/>
        <v>392933.87840000005</v>
      </c>
      <c r="AA13" s="114"/>
      <c r="AB13" s="115"/>
      <c r="AC13" s="5">
        <f t="shared" si="1"/>
        <v>0</v>
      </c>
      <c r="AD13" s="114"/>
      <c r="AE13" s="115"/>
      <c r="AF13" s="5">
        <f t="shared" si="2"/>
        <v>0</v>
      </c>
      <c r="AG13" s="114"/>
      <c r="AH13" s="115"/>
      <c r="AI13" s="5">
        <f t="shared" si="3"/>
        <v>0</v>
      </c>
      <c r="AJ13" s="114"/>
      <c r="AK13" s="115"/>
      <c r="AL13" s="5">
        <f t="shared" si="4"/>
        <v>0</v>
      </c>
    </row>
    <row r="14" spans="2:38">
      <c r="B14" s="104" t="s">
        <v>9</v>
      </c>
      <c r="C14" s="114">
        <v>2748080</v>
      </c>
      <c r="D14" s="115">
        <v>0.12562999999999999</v>
      </c>
      <c r="E14" s="5">
        <v>345241.29000000004</v>
      </c>
      <c r="F14" s="114">
        <v>1716320</v>
      </c>
      <c r="G14" s="115">
        <v>0.12059</v>
      </c>
      <c r="H14" s="5">
        <v>206971.03000000003</v>
      </c>
      <c r="I14" s="114">
        <v>2841830</v>
      </c>
      <c r="J14" s="115">
        <v>0.1368</v>
      </c>
      <c r="K14" s="5">
        <v>388762.34999999986</v>
      </c>
      <c r="L14" s="114">
        <v>3886120</v>
      </c>
      <c r="M14" s="115">
        <v>0.12806000000000001</v>
      </c>
      <c r="N14" s="5">
        <v>497656.53</v>
      </c>
      <c r="O14" s="114">
        <v>5203800</v>
      </c>
      <c r="P14" s="115">
        <v>5.2440000000000001E-2</v>
      </c>
      <c r="Q14" s="5">
        <v>272887.27999999997</v>
      </c>
      <c r="R14" s="114">
        <v>2424300</v>
      </c>
      <c r="S14" s="115">
        <v>5.7709999999999997E-2</v>
      </c>
      <c r="T14" s="5">
        <v>139906.34999999998</v>
      </c>
      <c r="U14" s="114">
        <v>2183556.4780000001</v>
      </c>
      <c r="V14" s="115">
        <v>8.498E-2</v>
      </c>
      <c r="W14" s="5">
        <f>U14*V14</f>
        <v>185558.62950044</v>
      </c>
      <c r="X14" s="114">
        <v>3075641.6379999998</v>
      </c>
      <c r="Y14" s="115">
        <v>7.4840000000000004E-2</v>
      </c>
      <c r="Z14" s="5">
        <f t="shared" si="5"/>
        <v>230181.02018791999</v>
      </c>
      <c r="AA14" s="114"/>
      <c r="AB14" s="115"/>
      <c r="AC14" s="5">
        <f t="shared" si="1"/>
        <v>0</v>
      </c>
      <c r="AD14" s="114"/>
      <c r="AE14" s="115"/>
      <c r="AF14" s="5">
        <f t="shared" si="2"/>
        <v>0</v>
      </c>
      <c r="AG14" s="114"/>
      <c r="AH14" s="115"/>
      <c r="AI14" s="5">
        <f t="shared" si="3"/>
        <v>0</v>
      </c>
      <c r="AJ14" s="114"/>
      <c r="AK14" s="115"/>
      <c r="AL14" s="5">
        <f t="shared" si="4"/>
        <v>0</v>
      </c>
    </row>
    <row r="15" spans="2:38">
      <c r="B15" s="104" t="s">
        <v>10</v>
      </c>
      <c r="C15" s="114">
        <v>5298050</v>
      </c>
      <c r="D15" s="115">
        <v>9.7040000000000001E-2</v>
      </c>
      <c r="E15" s="5">
        <v>514122.77</v>
      </c>
      <c r="F15" s="114">
        <v>1807480</v>
      </c>
      <c r="G15" s="115">
        <v>9.8549999999999999E-2</v>
      </c>
      <c r="H15" s="5">
        <v>178127.15999999992</v>
      </c>
      <c r="I15" s="114">
        <v>1506800</v>
      </c>
      <c r="J15" s="115">
        <v>9.9529999999999993E-2</v>
      </c>
      <c r="K15" s="5">
        <v>149971.81000000006</v>
      </c>
      <c r="L15" s="114">
        <v>3140570</v>
      </c>
      <c r="M15" s="115">
        <v>0.11705</v>
      </c>
      <c r="N15" s="5">
        <v>367603.7200000002</v>
      </c>
      <c r="O15" s="114">
        <v>3090470</v>
      </c>
      <c r="P15" s="115">
        <v>5.4170000000000003E-2</v>
      </c>
      <c r="Q15" s="5">
        <v>167410.76</v>
      </c>
      <c r="R15" s="114">
        <v>419910</v>
      </c>
      <c r="S15" s="115">
        <v>6.9889999999999994E-2</v>
      </c>
      <c r="T15" s="5">
        <v>29347.509999999776</v>
      </c>
      <c r="U15" s="114">
        <v>1585461.12</v>
      </c>
      <c r="V15" s="115">
        <v>7.0900000000000005E-2</v>
      </c>
      <c r="W15" s="5">
        <f t="shared" ref="W15:W16" si="6">U15*V15</f>
        <v>112409.19340800002</v>
      </c>
      <c r="X15" s="114">
        <v>830168.00100000005</v>
      </c>
      <c r="Y15" s="115">
        <v>8.9039999999999994E-2</v>
      </c>
      <c r="Z15" s="5">
        <f t="shared" si="5"/>
        <v>73918.158809040004</v>
      </c>
      <c r="AA15" s="114"/>
      <c r="AB15" s="115"/>
      <c r="AC15" s="5">
        <f t="shared" si="1"/>
        <v>0</v>
      </c>
      <c r="AD15" s="114"/>
      <c r="AE15" s="115"/>
      <c r="AF15" s="5">
        <f t="shared" si="2"/>
        <v>0</v>
      </c>
      <c r="AG15" s="114"/>
      <c r="AH15" s="115"/>
      <c r="AI15" s="5">
        <f t="shared" si="3"/>
        <v>0</v>
      </c>
      <c r="AJ15" s="114"/>
      <c r="AK15" s="115"/>
      <c r="AL15" s="5">
        <f t="shared" si="4"/>
        <v>0</v>
      </c>
    </row>
    <row r="16" spans="2:38" ht="15.75" thickBot="1">
      <c r="B16" s="104" t="s">
        <v>11</v>
      </c>
      <c r="C16" s="116">
        <v>3896110</v>
      </c>
      <c r="D16" s="117">
        <v>9.2069999999999999E-2</v>
      </c>
      <c r="E16" s="6">
        <v>358714.85000000009</v>
      </c>
      <c r="F16" s="116">
        <v>3020740</v>
      </c>
      <c r="G16" s="117">
        <v>7.4039999999999995E-2</v>
      </c>
      <c r="H16" s="6">
        <v>223655.59000000008</v>
      </c>
      <c r="I16" s="116">
        <v>1996200</v>
      </c>
      <c r="J16" s="117">
        <v>9.3210000000000001E-2</v>
      </c>
      <c r="K16" s="6">
        <v>186065.80000000005</v>
      </c>
      <c r="L16" s="116">
        <v>1979050</v>
      </c>
      <c r="M16" s="117">
        <v>0.10557999999999999</v>
      </c>
      <c r="N16" s="6">
        <v>208948.10000000009</v>
      </c>
      <c r="O16" s="116">
        <v>2661390</v>
      </c>
      <c r="P16" s="117">
        <v>5.9679999999999997E-2</v>
      </c>
      <c r="Q16" s="6">
        <v>158831.75000000012</v>
      </c>
      <c r="R16" s="116">
        <v>947060</v>
      </c>
      <c r="S16" s="117">
        <v>3.4270000000000002E-2</v>
      </c>
      <c r="T16" s="6">
        <v>32455.75</v>
      </c>
      <c r="U16" s="116">
        <v>1881077.442</v>
      </c>
      <c r="V16" s="117">
        <v>6.6220000000000001E-2</v>
      </c>
      <c r="W16" s="5">
        <f t="shared" si="6"/>
        <v>124564.94820924</v>
      </c>
      <c r="X16" s="114">
        <v>980297.6017</v>
      </c>
      <c r="Y16" s="115">
        <v>6.1769999999999999E-2</v>
      </c>
      <c r="Z16" s="5">
        <f t="shared" si="5"/>
        <v>60552.982857008996</v>
      </c>
      <c r="AA16" s="114"/>
      <c r="AB16" s="115"/>
      <c r="AC16" s="5">
        <f t="shared" si="1"/>
        <v>0</v>
      </c>
      <c r="AD16" s="114"/>
      <c r="AE16" s="115"/>
      <c r="AF16" s="5">
        <f t="shared" si="2"/>
        <v>0</v>
      </c>
      <c r="AG16" s="114"/>
      <c r="AH16" s="115"/>
      <c r="AI16" s="5">
        <f t="shared" si="3"/>
        <v>0</v>
      </c>
      <c r="AJ16" s="114"/>
      <c r="AK16" s="115"/>
      <c r="AL16" s="5">
        <f t="shared" si="4"/>
        <v>0</v>
      </c>
    </row>
    <row r="17" spans="2:38" ht="15.75" thickBot="1">
      <c r="B17" s="105" t="s">
        <v>14</v>
      </c>
      <c r="C17" s="8">
        <f>SUM(C5:C16)</f>
        <v>47853390</v>
      </c>
      <c r="D17" s="106">
        <f>E17/C17</f>
        <v>0.10270473502504211</v>
      </c>
      <c r="E17" s="9">
        <f>SUM(E5:E16)</f>
        <v>4914769.74</v>
      </c>
      <c r="F17" s="8">
        <f>SUM(F5:F16)</f>
        <v>41098744</v>
      </c>
      <c r="G17" s="106">
        <f>H17/F17</f>
        <v>9.4424165127771298E-2</v>
      </c>
      <c r="H17" s="9">
        <f>SUM(H5:H16)</f>
        <v>3880714.59</v>
      </c>
      <c r="I17" s="8">
        <f>SUM(I5:I16)</f>
        <v>30634900</v>
      </c>
      <c r="J17" s="106">
        <f>K17/I17</f>
        <v>0.10741059053563094</v>
      </c>
      <c r="K17" s="9">
        <f>SUM(K5:K16)</f>
        <v>3290512.7</v>
      </c>
      <c r="L17" s="8">
        <f>SUM(L5:L16)</f>
        <v>40156590</v>
      </c>
      <c r="M17" s="106">
        <f>N17/L17</f>
        <v>0.12139438582807953</v>
      </c>
      <c r="N17" s="9">
        <f>SUM(N5:N16)</f>
        <v>4874784.58</v>
      </c>
      <c r="O17" s="8">
        <f>SUM(O5:O16)</f>
        <v>36799160</v>
      </c>
      <c r="P17" s="106">
        <f>Q17/O17</f>
        <v>7.2789713949992313E-2</v>
      </c>
      <c r="Q17" s="9">
        <f>SUM(Q5:Q16)</f>
        <v>2678600.3299999991</v>
      </c>
      <c r="R17" s="8">
        <f>SUM(R5:R16)</f>
        <v>34760990</v>
      </c>
      <c r="S17" s="106">
        <f>T17/R17</f>
        <v>5.8490251284557766E-2</v>
      </c>
      <c r="T17" s="9">
        <f>SUM(T5:T16)</f>
        <v>2033179.0399999996</v>
      </c>
      <c r="U17" s="8">
        <f>SUM(U5:U16)</f>
        <v>39126764.560000002</v>
      </c>
      <c r="V17" s="106">
        <f>W17/U17</f>
        <v>7.4937158849959357E-2</v>
      </c>
      <c r="W17" s="9">
        <f>SUM(W5:W16)</f>
        <v>2932048.5711176801</v>
      </c>
      <c r="X17" s="8">
        <f>SUM(X5:X16)</f>
        <v>39466145.778700002</v>
      </c>
      <c r="Y17" s="106">
        <f>Z17/X17</f>
        <v>7.2058889223914374E-2</v>
      </c>
      <c r="Z17" s="9">
        <f>SUM(Z5:Z16)</f>
        <v>2843886.6267621992</v>
      </c>
      <c r="AA17" s="8">
        <f>SUM(AA5:AA16)</f>
        <v>26046845.702000003</v>
      </c>
      <c r="AB17" s="106">
        <f>AC17/AA17</f>
        <v>6.2176230511018359E-2</v>
      </c>
      <c r="AC17" s="9">
        <f>SUM(AC5:AC16)</f>
        <v>1619494.6824524801</v>
      </c>
      <c r="AD17" s="8">
        <f>SUM(AD5:AD16)</f>
        <v>0</v>
      </c>
      <c r="AE17" s="106" t="e">
        <f>AF17/AD17</f>
        <v>#DIV/0!</v>
      </c>
      <c r="AF17" s="9">
        <f>SUM(AF5:AF16)</f>
        <v>0</v>
      </c>
      <c r="AG17" s="8">
        <f>SUM(AG5:AG16)</f>
        <v>0</v>
      </c>
      <c r="AH17" s="106" t="e">
        <f>AI17/AG17</f>
        <v>#DIV/0!</v>
      </c>
      <c r="AI17" s="9">
        <f>SUM(AI5:AI16)</f>
        <v>0</v>
      </c>
      <c r="AJ17" s="8">
        <f>SUM(AJ5:AJ16)</f>
        <v>0</v>
      </c>
      <c r="AK17" s="106" t="e">
        <f>AL17/AJ17</f>
        <v>#DIV/0!</v>
      </c>
      <c r="AL17" s="9">
        <f>SUM(AL5:AL16)</f>
        <v>0</v>
      </c>
    </row>
    <row r="18" spans="2:38">
      <c r="B18" s="2"/>
    </row>
    <row r="19" spans="2:38">
      <c r="B19" s="2"/>
      <c r="I19" s="127"/>
    </row>
    <row r="20" spans="2:38">
      <c r="B20" s="293" t="s">
        <v>205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5"/>
    </row>
    <row r="21" spans="2:38">
      <c r="B21" s="26"/>
      <c r="C21" s="149">
        <v>2017</v>
      </c>
      <c r="D21" s="149">
        <v>2018</v>
      </c>
      <c r="E21" s="149">
        <v>2019</v>
      </c>
      <c r="F21" s="149">
        <v>2020</v>
      </c>
      <c r="G21" s="149">
        <v>2021</v>
      </c>
      <c r="H21" s="149">
        <v>2022</v>
      </c>
      <c r="I21" s="146">
        <v>2023</v>
      </c>
      <c r="J21" s="146">
        <v>2024</v>
      </c>
      <c r="K21" s="146">
        <v>2025</v>
      </c>
      <c r="L21" s="146">
        <v>2026</v>
      </c>
      <c r="M21" s="146">
        <v>2027</v>
      </c>
      <c r="N21" s="147">
        <v>2028</v>
      </c>
      <c r="AB21" t="s">
        <v>260</v>
      </c>
    </row>
    <row r="22" spans="2:38">
      <c r="B22" s="26" t="s">
        <v>0</v>
      </c>
      <c r="D22" s="125"/>
      <c r="E22" s="125"/>
      <c r="F22" s="90">
        <v>17722769</v>
      </c>
      <c r="G22" s="90">
        <v>17319254</v>
      </c>
      <c r="H22" s="90">
        <v>20867422</v>
      </c>
      <c r="I22" s="90">
        <v>17580194</v>
      </c>
      <c r="J22" s="90">
        <v>19303705</v>
      </c>
      <c r="K22" s="90">
        <v>19192080</v>
      </c>
      <c r="L22" s="90"/>
      <c r="M22" s="90"/>
      <c r="N22" s="118"/>
      <c r="Q22" s="3"/>
      <c r="R22" s="3"/>
      <c r="S22" s="3"/>
      <c r="T22" s="3"/>
      <c r="U22" s="3"/>
    </row>
    <row r="23" spans="2:38">
      <c r="B23" s="26" t="s">
        <v>1</v>
      </c>
      <c r="D23" s="125"/>
      <c r="E23" s="125"/>
      <c r="F23" s="90">
        <v>16373792</v>
      </c>
      <c r="G23" s="90">
        <v>16315431</v>
      </c>
      <c r="H23" s="90">
        <v>17796688</v>
      </c>
      <c r="I23" s="90">
        <v>16455199</v>
      </c>
      <c r="J23" s="90">
        <v>15527622</v>
      </c>
      <c r="K23" s="90">
        <v>17602645</v>
      </c>
      <c r="L23" s="90"/>
      <c r="M23" s="90"/>
      <c r="N23" s="118"/>
      <c r="Q23" s="3"/>
      <c r="R23" s="3"/>
      <c r="S23" s="3"/>
      <c r="T23" s="3"/>
      <c r="U23" s="3"/>
    </row>
    <row r="24" spans="2:38">
      <c r="B24" s="26" t="s">
        <v>2</v>
      </c>
      <c r="D24" s="125"/>
      <c r="E24" s="125"/>
      <c r="F24" s="90">
        <v>15547060</v>
      </c>
      <c r="G24" s="90">
        <v>16043912</v>
      </c>
      <c r="H24" s="90">
        <v>16712569</v>
      </c>
      <c r="I24" s="90">
        <v>12177305</v>
      </c>
      <c r="J24" s="90">
        <v>16225059</v>
      </c>
      <c r="K24" s="90">
        <v>16662539</v>
      </c>
      <c r="L24" s="90"/>
      <c r="M24" s="90"/>
      <c r="N24" s="118"/>
      <c r="Q24" s="3"/>
      <c r="R24" s="3"/>
      <c r="S24" s="3"/>
      <c r="T24" s="3"/>
      <c r="U24" s="3"/>
    </row>
    <row r="25" spans="2:38">
      <c r="B25" s="26" t="s">
        <v>3</v>
      </c>
      <c r="D25" s="125"/>
      <c r="E25" s="125"/>
      <c r="F25" s="90">
        <v>13549931</v>
      </c>
      <c r="G25" s="90">
        <v>12544217</v>
      </c>
      <c r="H25" s="90">
        <v>13793487</v>
      </c>
      <c r="I25" s="90">
        <v>17741437</v>
      </c>
      <c r="J25" s="90">
        <v>12652395</v>
      </c>
      <c r="K25" s="90">
        <v>14159976</v>
      </c>
      <c r="L25" s="90"/>
      <c r="M25" s="90"/>
      <c r="N25" s="118"/>
      <c r="Q25" s="3"/>
      <c r="R25" s="3"/>
      <c r="S25" s="3"/>
      <c r="T25" s="3"/>
      <c r="U25" s="3"/>
    </row>
    <row r="26" spans="2:38">
      <c r="B26" s="26" t="s">
        <v>4</v>
      </c>
      <c r="D26" s="125"/>
      <c r="E26" s="125"/>
      <c r="F26" s="90">
        <v>12987690</v>
      </c>
      <c r="G26" s="90">
        <v>12933951</v>
      </c>
      <c r="H26" s="90">
        <v>13147960</v>
      </c>
      <c r="I26" s="90">
        <v>12987938</v>
      </c>
      <c r="J26" s="90">
        <v>13573289</v>
      </c>
      <c r="K26" s="90">
        <v>12923705</v>
      </c>
      <c r="L26" s="90"/>
      <c r="M26" s="90"/>
      <c r="N26" s="118"/>
      <c r="Q26" s="3"/>
      <c r="R26" s="3"/>
      <c r="S26" s="3"/>
      <c r="T26" s="3"/>
      <c r="U26" s="3"/>
    </row>
    <row r="27" spans="2:38">
      <c r="B27" s="26" t="s">
        <v>5</v>
      </c>
      <c r="D27" s="125"/>
      <c r="E27" s="125"/>
      <c r="F27" s="90">
        <v>13685385</v>
      </c>
      <c r="G27" s="90">
        <v>14249094</v>
      </c>
      <c r="H27" s="90">
        <v>13414347</v>
      </c>
      <c r="I27" s="90">
        <v>13988580</v>
      </c>
      <c r="J27" s="90">
        <v>14254114</v>
      </c>
      <c r="K27" s="90">
        <v>14558252</v>
      </c>
      <c r="L27" s="90"/>
      <c r="M27" s="90"/>
      <c r="N27" s="118"/>
      <c r="Q27" s="3"/>
      <c r="R27" s="3"/>
      <c r="S27" s="3"/>
      <c r="T27" s="3"/>
      <c r="U27" s="3"/>
    </row>
    <row r="28" spans="2:38">
      <c r="B28" s="26" t="s">
        <v>6</v>
      </c>
      <c r="D28" s="125"/>
      <c r="E28" s="125"/>
      <c r="F28" s="90">
        <v>16924263</v>
      </c>
      <c r="G28" s="90">
        <v>14611670</v>
      </c>
      <c r="H28" s="90">
        <v>15241908</v>
      </c>
      <c r="I28" s="90">
        <v>16188568</v>
      </c>
      <c r="J28" s="90">
        <v>16291439</v>
      </c>
      <c r="K28" s="90"/>
      <c r="L28" s="90"/>
      <c r="M28" s="90"/>
      <c r="N28" s="118"/>
      <c r="Q28" s="3"/>
      <c r="R28" s="3"/>
      <c r="S28" s="3"/>
      <c r="T28" s="3"/>
      <c r="U28" s="3"/>
    </row>
    <row r="29" spans="2:38">
      <c r="B29" s="26" t="s">
        <v>7</v>
      </c>
      <c r="D29" s="125"/>
      <c r="E29" s="125"/>
      <c r="F29" s="90">
        <v>14515459</v>
      </c>
      <c r="G29" s="90">
        <v>18132186</v>
      </c>
      <c r="H29" s="90">
        <v>15263859</v>
      </c>
      <c r="I29" s="90">
        <v>14036049</v>
      </c>
      <c r="J29" s="90">
        <v>15097971</v>
      </c>
      <c r="K29" s="90"/>
      <c r="L29" s="90"/>
      <c r="M29" s="90"/>
      <c r="N29" s="118"/>
      <c r="Q29" s="3"/>
      <c r="R29" s="3"/>
      <c r="S29" s="3"/>
      <c r="T29" s="3"/>
      <c r="U29" s="3"/>
    </row>
    <row r="30" spans="2:38">
      <c r="B30" s="26" t="s">
        <v>8</v>
      </c>
      <c r="D30" s="125"/>
      <c r="E30" s="125"/>
      <c r="F30" s="90">
        <v>12079537</v>
      </c>
      <c r="G30" s="90">
        <v>14526431</v>
      </c>
      <c r="H30" s="90">
        <v>12740587</v>
      </c>
      <c r="I30" s="90">
        <v>13340574</v>
      </c>
      <c r="J30" s="90">
        <v>13424902</v>
      </c>
      <c r="K30" s="90"/>
      <c r="L30" s="90"/>
      <c r="M30" s="90"/>
      <c r="N30" s="118"/>
      <c r="Q30" s="3"/>
      <c r="R30" s="3"/>
      <c r="S30" s="3"/>
      <c r="T30" s="3"/>
      <c r="U30" s="3"/>
    </row>
    <row r="31" spans="2:38">
      <c r="B31" s="26" t="s">
        <v>9</v>
      </c>
      <c r="D31" s="125"/>
      <c r="E31" s="125"/>
      <c r="F31" s="90">
        <v>13218353</v>
      </c>
      <c r="G31" s="90">
        <v>13355368</v>
      </c>
      <c r="H31" s="90">
        <v>13373620</v>
      </c>
      <c r="I31" s="90">
        <v>13558247</v>
      </c>
      <c r="J31" s="90">
        <v>13403433</v>
      </c>
      <c r="K31" s="90"/>
      <c r="L31" s="90"/>
      <c r="M31" s="90"/>
      <c r="N31" s="118"/>
      <c r="T31" s="3"/>
    </row>
    <row r="32" spans="2:38">
      <c r="B32" s="26" t="s">
        <v>10</v>
      </c>
      <c r="D32" s="125"/>
      <c r="E32" s="125"/>
      <c r="F32" s="90">
        <v>14152632</v>
      </c>
      <c r="G32" s="90">
        <v>14769348</v>
      </c>
      <c r="H32" s="90">
        <v>15434465</v>
      </c>
      <c r="I32" s="90">
        <v>15326571</v>
      </c>
      <c r="J32" s="90">
        <v>14249902</v>
      </c>
      <c r="K32" s="90"/>
      <c r="L32" s="90"/>
      <c r="M32" s="90"/>
      <c r="N32" s="118"/>
      <c r="Q32" s="3"/>
      <c r="R32" s="3"/>
      <c r="S32" s="3"/>
      <c r="T32" s="3"/>
      <c r="U32" s="3"/>
    </row>
    <row r="33" spans="2:26">
      <c r="B33" s="26" t="s">
        <v>11</v>
      </c>
      <c r="D33" s="125"/>
      <c r="E33" s="125"/>
      <c r="F33" s="90">
        <v>17596367</v>
      </c>
      <c r="G33" s="90">
        <v>17311632</v>
      </c>
      <c r="H33" s="90">
        <v>17303455</v>
      </c>
      <c r="I33" s="90">
        <v>17148516</v>
      </c>
      <c r="J33" s="90">
        <v>18074305</v>
      </c>
      <c r="K33" s="90"/>
      <c r="L33" s="90"/>
      <c r="M33" s="90"/>
      <c r="N33" s="118"/>
      <c r="P33" s="170"/>
      <c r="Q33" s="3"/>
      <c r="R33" s="3"/>
      <c r="S33" s="3"/>
      <c r="T33" s="3"/>
      <c r="U33" s="3"/>
    </row>
    <row r="34" spans="2:26">
      <c r="B34" s="27" t="s">
        <v>14</v>
      </c>
      <c r="C34" s="121">
        <v>185695254.03</v>
      </c>
      <c r="D34" s="121">
        <v>193629869</v>
      </c>
      <c r="E34" s="121">
        <v>192262139.55000001</v>
      </c>
      <c r="F34" s="28">
        <f>SUM(F22:F33)</f>
        <v>178353238</v>
      </c>
      <c r="G34" s="28">
        <f>SUM(G22:G33)</f>
        <v>182112494</v>
      </c>
      <c r="H34" s="28">
        <f>SUM(H22:H33)</f>
        <v>185090367</v>
      </c>
      <c r="I34" s="28">
        <f>SUM(I22:I33)</f>
        <v>180529178</v>
      </c>
      <c r="J34" s="28">
        <f t="shared" ref="J34:N34" si="7">SUM(J22:J33)</f>
        <v>182078136</v>
      </c>
      <c r="K34" s="28">
        <f t="shared" si="7"/>
        <v>95099197</v>
      </c>
      <c r="L34" s="28">
        <f t="shared" si="7"/>
        <v>0</v>
      </c>
      <c r="M34" s="28">
        <f t="shared" si="7"/>
        <v>0</v>
      </c>
      <c r="N34" s="29">
        <f t="shared" si="7"/>
        <v>0</v>
      </c>
      <c r="P34" s="171"/>
      <c r="Q34" s="3"/>
      <c r="R34" s="3"/>
      <c r="S34" s="3"/>
      <c r="T34" s="3"/>
      <c r="U34" s="3"/>
    </row>
    <row r="35" spans="2:26">
      <c r="B35" s="2"/>
      <c r="P35" s="170"/>
      <c r="Q35" s="3"/>
      <c r="R35" s="3"/>
      <c r="S35" s="3"/>
      <c r="T35" s="3"/>
      <c r="U35" s="3"/>
    </row>
    <row r="36" spans="2:26">
      <c r="B36" s="293" t="s">
        <v>145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5"/>
      <c r="Q36" s="3"/>
      <c r="R36" s="3"/>
      <c r="S36" s="3"/>
      <c r="T36" s="3"/>
      <c r="U36" s="3"/>
    </row>
    <row r="37" spans="2:26">
      <c r="B37" s="18"/>
      <c r="C37" s="149">
        <v>2017</v>
      </c>
      <c r="D37" s="149">
        <v>2018</v>
      </c>
      <c r="E37" s="149">
        <v>2019</v>
      </c>
      <c r="F37" s="149">
        <v>2020</v>
      </c>
      <c r="G37" s="149">
        <v>2021</v>
      </c>
      <c r="H37" s="149">
        <v>2022</v>
      </c>
      <c r="I37" s="149">
        <v>2023</v>
      </c>
      <c r="J37" s="149">
        <v>2024</v>
      </c>
      <c r="K37" s="149">
        <v>2025</v>
      </c>
      <c r="L37" s="149">
        <v>2026</v>
      </c>
      <c r="M37" s="149">
        <v>2027</v>
      </c>
      <c r="N37" s="99">
        <v>2028</v>
      </c>
      <c r="Q37" s="3"/>
      <c r="R37" s="3"/>
      <c r="S37" s="3"/>
      <c r="T37" s="3"/>
      <c r="U37" s="3"/>
    </row>
    <row r="38" spans="2:26">
      <c r="B38" s="27" t="s">
        <v>14</v>
      </c>
      <c r="C38" s="140">
        <v>177934181</v>
      </c>
      <c r="D38" s="140">
        <v>185198705</v>
      </c>
      <c r="E38" s="140">
        <v>183512928</v>
      </c>
      <c r="F38" s="140">
        <v>178353238</v>
      </c>
      <c r="G38" s="140">
        <v>182112496</v>
      </c>
      <c r="H38" s="141">
        <v>185090366</v>
      </c>
      <c r="I38" s="140">
        <f>I34</f>
        <v>180529178</v>
      </c>
      <c r="J38" s="169">
        <f>J34</f>
        <v>182078136</v>
      </c>
      <c r="K38" s="140">
        <f t="shared" ref="K38:N38" si="8">K34</f>
        <v>95099197</v>
      </c>
      <c r="L38" s="140">
        <f t="shared" si="8"/>
        <v>0</v>
      </c>
      <c r="M38" s="140">
        <f t="shared" si="8"/>
        <v>0</v>
      </c>
      <c r="N38" s="150">
        <f t="shared" si="8"/>
        <v>0</v>
      </c>
      <c r="Q38" s="3"/>
      <c r="R38" s="3"/>
      <c r="S38" s="3"/>
      <c r="T38" s="3"/>
      <c r="U38" s="3"/>
    </row>
    <row r="39" spans="2:26">
      <c r="B39" s="2"/>
      <c r="C39" s="25"/>
      <c r="D39" s="25"/>
      <c r="E39" s="25"/>
      <c r="Q39" s="3"/>
      <c r="R39" s="3"/>
      <c r="S39" s="3"/>
      <c r="T39" s="3"/>
      <c r="U39" s="3"/>
    </row>
    <row r="40" spans="2:26" ht="15" customHeight="1">
      <c r="B40" s="296" t="s">
        <v>52</v>
      </c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8"/>
    </row>
    <row r="41" spans="2:26" ht="15" customHeight="1">
      <c r="B41" s="122" t="s">
        <v>119</v>
      </c>
      <c r="C41" s="293" t="s">
        <v>75</v>
      </c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5"/>
      <c r="O41" s="293" t="s">
        <v>144</v>
      </c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5"/>
    </row>
    <row r="42" spans="2:26" s="13" customFormat="1" ht="31.5" customHeight="1">
      <c r="B42" s="142"/>
      <c r="C42" s="145">
        <v>2017</v>
      </c>
      <c r="D42" s="145">
        <v>2018</v>
      </c>
      <c r="E42" s="145">
        <v>2019</v>
      </c>
      <c r="F42" s="145">
        <v>2020</v>
      </c>
      <c r="G42" s="145">
        <v>2021</v>
      </c>
      <c r="H42" s="145">
        <v>2022</v>
      </c>
      <c r="I42" s="145">
        <v>2023</v>
      </c>
      <c r="J42" s="145">
        <v>2024</v>
      </c>
      <c r="K42" s="145">
        <v>2025</v>
      </c>
      <c r="L42" s="145">
        <v>2026</v>
      </c>
      <c r="M42" s="145">
        <v>2027</v>
      </c>
      <c r="N42" s="145">
        <v>2028</v>
      </c>
      <c r="O42" s="50" t="str">
        <f>"Average "&amp;$C$42&amp;" to "&amp;C42</f>
        <v>Average 2017 to 2017</v>
      </c>
      <c r="P42" s="119" t="str">
        <f>"Average "&amp;$C$42&amp;" to "&amp;D42</f>
        <v>Average 2017 to 2018</v>
      </c>
      <c r="Q42" s="119" t="str">
        <f>"Average "&amp;$C$42&amp;" to "&amp;E42</f>
        <v>Average 2017 to 2019</v>
      </c>
      <c r="R42" s="119" t="str">
        <f>"Average "&amp;C42&amp;" to "&amp;F42</f>
        <v>Average 2017 to 2020</v>
      </c>
      <c r="S42" s="119" t="str">
        <f>"Average "&amp;D42&amp;" to "&amp;G42</f>
        <v>Average 2018 to 2021</v>
      </c>
      <c r="T42" s="119" t="str">
        <f>"Average "&amp;E42&amp;" to "&amp;H42</f>
        <v>Average 2019 to 2022</v>
      </c>
      <c r="U42" s="119" t="str">
        <f t="shared" ref="U42:W42" si="9">"Average "&amp;F42&amp;" to "&amp;I42</f>
        <v>Average 2020 to 2023</v>
      </c>
      <c r="V42" s="143" t="str">
        <f t="shared" si="9"/>
        <v>Average 2021 to 2024</v>
      </c>
      <c r="W42" s="143" t="str">
        <f t="shared" si="9"/>
        <v>Average 2022 to 2025</v>
      </c>
      <c r="X42" s="143" t="str">
        <f>"Average "&amp;I42&amp;" to "&amp;L42</f>
        <v>Average 2023 to 2026</v>
      </c>
      <c r="Y42" s="143" t="str">
        <f>"Average "&amp;J42&amp;" to "&amp;M42</f>
        <v>Average 2024 to 2027</v>
      </c>
      <c r="Z42" s="144" t="str">
        <f>"Average "&amp;K42&amp;" to "&amp;N42</f>
        <v>Average 2025 to 2028</v>
      </c>
    </row>
    <row r="43" spans="2:26">
      <c r="B43" s="44" t="s">
        <v>0</v>
      </c>
      <c r="C43" s="120">
        <f t="shared" ref="C43:C54" si="10">IF(C5=0,"",C5)</f>
        <v>2134510</v>
      </c>
      <c r="D43" s="120">
        <f t="shared" ref="D43:D54" si="11">IF(F5=0,"",F5)</f>
        <v>2813138</v>
      </c>
      <c r="E43" s="120">
        <f t="shared" ref="E43:E54" si="12">IF(I5=0,"",I5)</f>
        <v>2196000</v>
      </c>
      <c r="F43" s="120">
        <f t="shared" ref="F43:F54" si="13">IF(L5=0,"",L5)</f>
        <v>2089120</v>
      </c>
      <c r="G43" s="120">
        <f t="shared" ref="G43:G54" si="14">IF(O5=0,"",O5)</f>
        <v>1805830</v>
      </c>
      <c r="H43" s="120">
        <f t="shared" ref="H43:H54" si="15">IF(R5=0,"",R5)</f>
        <v>857320</v>
      </c>
      <c r="I43" s="120">
        <f t="shared" ref="I43:I54" si="16">IF(U5=0,"",U5)</f>
        <v>2581363.04</v>
      </c>
      <c r="J43" s="120">
        <f t="shared" ref="J43:J53" si="17">IF(X5=0,"",X5)</f>
        <v>1908629.7609999999</v>
      </c>
      <c r="K43" s="120">
        <f t="shared" ref="K43:K54" si="18">IF(AA5=0,"",AA5)</f>
        <v>1235022.402</v>
      </c>
      <c r="L43" s="120" t="str">
        <f t="shared" ref="L43:L54" si="19">IF(AD5=0,"",AD5)</f>
        <v/>
      </c>
      <c r="M43" s="120" t="str">
        <f t="shared" ref="M43:M54" si="20">IF(AG5=0,"",AG5)</f>
        <v/>
      </c>
      <c r="N43" s="120" t="str">
        <f t="shared" ref="N43:N54" si="21">IF(AJ5=0,"",AJ5)</f>
        <v/>
      </c>
      <c r="O43" s="123">
        <f>AVERAGE($C43:C43)</f>
        <v>2134510</v>
      </c>
      <c r="P43" s="120">
        <f>AVERAGE($C43:D43)</f>
        <v>2473824</v>
      </c>
      <c r="Q43" s="120">
        <f>AVERAGE($C43:E43)</f>
        <v>2381216</v>
      </c>
      <c r="R43" s="120">
        <f t="shared" ref="R43:V54" si="22">IFERROR(AVERAGE(C43:F43),"")</f>
        <v>2308192</v>
      </c>
      <c r="S43" s="120">
        <f t="shared" si="22"/>
        <v>2226022</v>
      </c>
      <c r="T43" s="120">
        <f t="shared" si="22"/>
        <v>1737067.5</v>
      </c>
      <c r="U43" s="120">
        <f t="shared" si="22"/>
        <v>1833408.26</v>
      </c>
      <c r="V43" s="120">
        <f>IFERROR(AVERAGE(G43:J43),"")</f>
        <v>1788285.70025</v>
      </c>
      <c r="W43" s="120">
        <f>IFERROR(AVERAGE(H43:K43),"")</f>
        <v>1645583.8007499999</v>
      </c>
      <c r="X43" s="120">
        <f>IFERROR(AVERAGE(I43:L43),"")</f>
        <v>1908338.4009999998</v>
      </c>
      <c r="Y43" s="120">
        <f>IFERROR(AVERAGE(J43:M43),"")</f>
        <v>1571826.0814999999</v>
      </c>
      <c r="Z43" s="30">
        <f>IFERROR(AVERAGE(K43:N43),"")</f>
        <v>1235022.402</v>
      </c>
    </row>
    <row r="44" spans="2:26">
      <c r="B44" s="44" t="s">
        <v>1</v>
      </c>
      <c r="C44" s="120">
        <f t="shared" si="10"/>
        <v>2975320</v>
      </c>
      <c r="D44" s="120">
        <f t="shared" si="11"/>
        <v>3302320</v>
      </c>
      <c r="E44" s="120">
        <f t="shared" si="12"/>
        <v>2533990</v>
      </c>
      <c r="F44" s="120">
        <f t="shared" si="13"/>
        <v>1688900</v>
      </c>
      <c r="G44" s="120">
        <f t="shared" si="14"/>
        <v>1373740</v>
      </c>
      <c r="H44" s="120">
        <f t="shared" si="15"/>
        <v>640680</v>
      </c>
      <c r="I44" s="120">
        <f t="shared" si="16"/>
        <v>2016686.24</v>
      </c>
      <c r="J44" s="120">
        <f t="shared" si="17"/>
        <v>2155770</v>
      </c>
      <c r="K44" s="120">
        <f t="shared" si="18"/>
        <v>802074.4</v>
      </c>
      <c r="L44" s="120" t="str">
        <f t="shared" si="19"/>
        <v/>
      </c>
      <c r="M44" s="120" t="str">
        <f t="shared" si="20"/>
        <v/>
      </c>
      <c r="N44" s="120" t="str">
        <f t="shared" si="21"/>
        <v/>
      </c>
      <c r="O44" s="123">
        <f>AVERAGE($C44:C44)</f>
        <v>2975320</v>
      </c>
      <c r="P44" s="120">
        <f>AVERAGE($C44:D44)</f>
        <v>3138820</v>
      </c>
      <c r="Q44" s="120">
        <f>AVERAGE($C44:E44)</f>
        <v>2937210</v>
      </c>
      <c r="R44" s="120">
        <f t="shared" si="22"/>
        <v>2625132.5</v>
      </c>
      <c r="S44" s="120">
        <f t="shared" si="22"/>
        <v>2224737.5</v>
      </c>
      <c r="T44" s="120">
        <f t="shared" si="22"/>
        <v>1559327.5</v>
      </c>
      <c r="U44" s="120">
        <f t="shared" si="22"/>
        <v>1430001.56</v>
      </c>
      <c r="V44" s="120">
        <f t="shared" si="22"/>
        <v>1546719.06</v>
      </c>
      <c r="W44" s="120">
        <f t="shared" ref="W44:W54" si="23">IFERROR(AVERAGE(H44:K44),"")</f>
        <v>1403802.6600000001</v>
      </c>
      <c r="X44" s="120">
        <f t="shared" ref="X44:X54" si="24">IFERROR(AVERAGE(I44:L44),"")</f>
        <v>1658176.8800000001</v>
      </c>
      <c r="Y44" s="120">
        <f t="shared" ref="Y44:Y54" si="25">IFERROR(AVERAGE(J44:M44),"")</f>
        <v>1478922.2</v>
      </c>
      <c r="Z44" s="30">
        <f t="shared" ref="Z44:Z54" si="26">IFERROR(AVERAGE(K44:N44),"")</f>
        <v>802074.4</v>
      </c>
    </row>
    <row r="45" spans="2:26">
      <c r="B45" s="44" t="s">
        <v>2</v>
      </c>
      <c r="C45" s="120">
        <f t="shared" si="10"/>
        <v>3883530</v>
      </c>
      <c r="D45" s="120">
        <f t="shared" si="11"/>
        <v>4336290</v>
      </c>
      <c r="E45" s="120">
        <f t="shared" si="12"/>
        <v>4480180</v>
      </c>
      <c r="F45" s="120">
        <f t="shared" si="13"/>
        <v>3223950</v>
      </c>
      <c r="G45" s="120">
        <f t="shared" si="14"/>
        <v>2724430</v>
      </c>
      <c r="H45" s="120">
        <f t="shared" si="15"/>
        <v>2937880</v>
      </c>
      <c r="I45" s="120">
        <f t="shared" si="16"/>
        <v>2797296</v>
      </c>
      <c r="J45" s="120">
        <f t="shared" si="17"/>
        <v>3124994.713</v>
      </c>
      <c r="K45" s="120">
        <f t="shared" si="18"/>
        <v>2751123.2</v>
      </c>
      <c r="L45" s="120" t="str">
        <f t="shared" si="19"/>
        <v/>
      </c>
      <c r="M45" s="120" t="str">
        <f t="shared" si="20"/>
        <v/>
      </c>
      <c r="N45" s="120" t="str">
        <f t="shared" si="21"/>
        <v/>
      </c>
      <c r="O45" s="123">
        <f>AVERAGE($C45:C45)</f>
        <v>3883530</v>
      </c>
      <c r="P45" s="120">
        <f>AVERAGE($C45:D45)</f>
        <v>4109910</v>
      </c>
      <c r="Q45" s="120">
        <f>AVERAGE($C45:E45)</f>
        <v>4233333.333333333</v>
      </c>
      <c r="R45" s="120">
        <f>IFERROR(AVERAGE(C45:F45),"")</f>
        <v>3980987.5</v>
      </c>
      <c r="S45" s="120">
        <f t="shared" si="22"/>
        <v>3691212.5</v>
      </c>
      <c r="T45" s="120">
        <f t="shared" si="22"/>
        <v>3341610</v>
      </c>
      <c r="U45" s="120">
        <f t="shared" si="22"/>
        <v>2920889</v>
      </c>
      <c r="V45" s="120">
        <f t="shared" si="22"/>
        <v>2896150.1782499999</v>
      </c>
      <c r="W45" s="120">
        <f t="shared" si="23"/>
        <v>2902823.4782499997</v>
      </c>
      <c r="X45" s="120">
        <f t="shared" si="24"/>
        <v>2891137.9709999994</v>
      </c>
      <c r="Y45" s="120">
        <f t="shared" si="25"/>
        <v>2938058.9565000003</v>
      </c>
      <c r="Z45" s="30">
        <f t="shared" si="26"/>
        <v>2751123.2</v>
      </c>
    </row>
    <row r="46" spans="2:26">
      <c r="B46" s="44" t="s">
        <v>3</v>
      </c>
      <c r="C46" s="120">
        <f t="shared" si="10"/>
        <v>4799720</v>
      </c>
      <c r="D46" s="120">
        <f t="shared" si="11"/>
        <v>4359310</v>
      </c>
      <c r="E46" s="120">
        <f t="shared" si="12"/>
        <v>2161930</v>
      </c>
      <c r="F46" s="120">
        <f t="shared" si="13"/>
        <v>3323490</v>
      </c>
      <c r="G46" s="120">
        <f t="shared" si="14"/>
        <v>4398280</v>
      </c>
      <c r="H46" s="120">
        <f t="shared" si="15"/>
        <v>4152090</v>
      </c>
      <c r="I46" s="120">
        <f t="shared" si="16"/>
        <v>4258993.4400000004</v>
      </c>
      <c r="J46" s="120">
        <f t="shared" si="17"/>
        <v>4598522.1670000004</v>
      </c>
      <c r="K46" s="120">
        <f t="shared" si="18"/>
        <v>4365778.4400000004</v>
      </c>
      <c r="L46" s="120" t="str">
        <f t="shared" si="19"/>
        <v/>
      </c>
      <c r="M46" s="120" t="str">
        <f t="shared" si="20"/>
        <v/>
      </c>
      <c r="N46" s="120" t="str">
        <f t="shared" si="21"/>
        <v/>
      </c>
      <c r="O46" s="123">
        <f>AVERAGE($C46:C46)</f>
        <v>4799720</v>
      </c>
      <c r="P46" s="120">
        <f>AVERAGE($C46:D46)</f>
        <v>4579515</v>
      </c>
      <c r="Q46" s="120">
        <f>AVERAGE($C46:E46)</f>
        <v>3773653.3333333335</v>
      </c>
      <c r="R46" s="120">
        <f t="shared" si="22"/>
        <v>3661112.5</v>
      </c>
      <c r="S46" s="120">
        <f t="shared" si="22"/>
        <v>3560752.5</v>
      </c>
      <c r="T46" s="120">
        <f t="shared" si="22"/>
        <v>3508947.5</v>
      </c>
      <c r="U46" s="120">
        <f t="shared" si="22"/>
        <v>4033213.3600000003</v>
      </c>
      <c r="V46" s="120">
        <f t="shared" si="22"/>
        <v>4351971.4017500002</v>
      </c>
      <c r="W46" s="120">
        <f t="shared" si="23"/>
        <v>4343846.0117500005</v>
      </c>
      <c r="X46" s="120">
        <f t="shared" si="24"/>
        <v>4407764.6823333343</v>
      </c>
      <c r="Y46" s="120">
        <f t="shared" si="25"/>
        <v>4482150.3035000004</v>
      </c>
      <c r="Z46" s="30">
        <f t="shared" si="26"/>
        <v>4365778.4400000004</v>
      </c>
    </row>
    <row r="47" spans="2:26">
      <c r="B47" s="44" t="s">
        <v>4</v>
      </c>
      <c r="C47" s="120">
        <f t="shared" si="10"/>
        <v>5096570</v>
      </c>
      <c r="D47" s="120">
        <f t="shared" si="11"/>
        <v>5824650</v>
      </c>
      <c r="E47" s="120">
        <f t="shared" si="12"/>
        <v>573300</v>
      </c>
      <c r="F47" s="120">
        <f t="shared" si="13"/>
        <v>4369220</v>
      </c>
      <c r="G47" s="120">
        <f t="shared" si="14"/>
        <v>3333080</v>
      </c>
      <c r="H47" s="120">
        <f t="shared" si="15"/>
        <v>5665250</v>
      </c>
      <c r="I47" s="120">
        <f t="shared" si="16"/>
        <v>5065060.01</v>
      </c>
      <c r="J47" s="120">
        <f>IF(X9=0,"",X9)</f>
        <v>4083921.6409999998</v>
      </c>
      <c r="K47" s="120">
        <f t="shared" si="18"/>
        <v>5239426.41</v>
      </c>
      <c r="L47" s="120" t="str">
        <f t="shared" si="19"/>
        <v/>
      </c>
      <c r="M47" s="120" t="str">
        <f t="shared" si="20"/>
        <v/>
      </c>
      <c r="N47" s="120" t="str">
        <f t="shared" si="21"/>
        <v/>
      </c>
      <c r="O47" s="123">
        <f>AVERAGE($C47:C47)</f>
        <v>5096570</v>
      </c>
      <c r="P47" s="120">
        <f>AVERAGE($C47:D47)</f>
        <v>5460610</v>
      </c>
      <c r="Q47" s="120">
        <f>AVERAGE($C47:E47)</f>
        <v>3831506.6666666665</v>
      </c>
      <c r="R47" s="120">
        <f t="shared" si="22"/>
        <v>3965935</v>
      </c>
      <c r="S47" s="120">
        <f t="shared" si="22"/>
        <v>3525062.5</v>
      </c>
      <c r="T47" s="120">
        <f t="shared" si="22"/>
        <v>3485212.5</v>
      </c>
      <c r="U47" s="120">
        <f t="shared" si="22"/>
        <v>4608152.5024999995</v>
      </c>
      <c r="V47" s="120">
        <f t="shared" si="22"/>
        <v>4536827.9127500001</v>
      </c>
      <c r="W47" s="120">
        <f t="shared" si="23"/>
        <v>5013414.5152500002</v>
      </c>
      <c r="X47" s="120">
        <f t="shared" si="24"/>
        <v>4796136.0203333339</v>
      </c>
      <c r="Y47" s="120">
        <f t="shared" si="25"/>
        <v>4661674.0254999995</v>
      </c>
      <c r="Z47" s="30">
        <f t="shared" si="26"/>
        <v>5239426.41</v>
      </c>
    </row>
    <row r="48" spans="2:26">
      <c r="B48" s="44" t="s">
        <v>5</v>
      </c>
      <c r="C48" s="120">
        <f t="shared" si="10"/>
        <v>5673460</v>
      </c>
      <c r="D48" s="120">
        <f t="shared" si="11"/>
        <v>5836836</v>
      </c>
      <c r="E48" s="120">
        <f t="shared" si="12"/>
        <v>2446170</v>
      </c>
      <c r="F48" s="120">
        <f t="shared" si="13"/>
        <v>4206240</v>
      </c>
      <c r="G48" s="120">
        <f t="shared" si="14"/>
        <v>1333260</v>
      </c>
      <c r="H48" s="120">
        <f t="shared" si="15"/>
        <v>5632520</v>
      </c>
      <c r="I48" s="120">
        <f t="shared" si="16"/>
        <v>2509005.2799999998</v>
      </c>
      <c r="J48" s="120">
        <f t="shared" si="17"/>
        <v>4603183.2560000001</v>
      </c>
      <c r="K48" s="120">
        <f t="shared" si="18"/>
        <v>3464712.8</v>
      </c>
      <c r="L48" s="120" t="str">
        <f t="shared" si="19"/>
        <v/>
      </c>
      <c r="M48" s="120" t="str">
        <f t="shared" si="20"/>
        <v/>
      </c>
      <c r="N48" s="120" t="str">
        <f t="shared" si="21"/>
        <v/>
      </c>
      <c r="O48" s="123">
        <f>AVERAGE($C48:C48)</f>
        <v>5673460</v>
      </c>
      <c r="P48" s="120">
        <f>AVERAGE($C48:D48)</f>
        <v>5755148</v>
      </c>
      <c r="Q48" s="120">
        <f>AVERAGE($C48:E48)</f>
        <v>4652155.333333333</v>
      </c>
      <c r="R48" s="120">
        <f t="shared" si="22"/>
        <v>4540676.5</v>
      </c>
      <c r="S48" s="120">
        <f t="shared" si="22"/>
        <v>3455626.5</v>
      </c>
      <c r="T48" s="120">
        <f t="shared" si="22"/>
        <v>3404547.5</v>
      </c>
      <c r="U48" s="120">
        <f t="shared" si="22"/>
        <v>3420256.32</v>
      </c>
      <c r="V48" s="120">
        <f t="shared" si="22"/>
        <v>3519492.1339999996</v>
      </c>
      <c r="W48" s="120">
        <f t="shared" si="23"/>
        <v>4052355.3339999998</v>
      </c>
      <c r="X48" s="120">
        <f t="shared" si="24"/>
        <v>3525633.7786666662</v>
      </c>
      <c r="Y48" s="120">
        <f t="shared" si="25"/>
        <v>4033948.0279999999</v>
      </c>
      <c r="Z48" s="30">
        <f t="shared" si="26"/>
        <v>3464712.8</v>
      </c>
    </row>
    <row r="49" spans="2:26">
      <c r="B49" s="44" t="s">
        <v>6</v>
      </c>
      <c r="C49" s="120">
        <f t="shared" si="10"/>
        <v>5380900</v>
      </c>
      <c r="D49" s="120">
        <f t="shared" si="11"/>
        <v>2286590</v>
      </c>
      <c r="E49" s="120">
        <f t="shared" si="12"/>
        <v>3676680</v>
      </c>
      <c r="F49" s="120">
        <f t="shared" si="13"/>
        <v>3494520</v>
      </c>
      <c r="G49" s="120">
        <f t="shared" si="14"/>
        <v>3685060</v>
      </c>
      <c r="H49" s="120">
        <f t="shared" si="15"/>
        <v>4101700</v>
      </c>
      <c r="I49" s="120">
        <f t="shared" si="16"/>
        <v>5164020</v>
      </c>
      <c r="J49" s="120">
        <f t="shared" si="17"/>
        <v>5182047</v>
      </c>
      <c r="K49" s="120">
        <f t="shared" si="18"/>
        <v>5537455.25</v>
      </c>
      <c r="L49" s="120" t="str">
        <f t="shared" si="19"/>
        <v/>
      </c>
      <c r="M49" s="120" t="str">
        <f t="shared" si="20"/>
        <v/>
      </c>
      <c r="N49" s="120" t="str">
        <f t="shared" si="21"/>
        <v/>
      </c>
      <c r="O49" s="123">
        <f>AVERAGE($C49:C49)</f>
        <v>5380900</v>
      </c>
      <c r="P49" s="120">
        <f>AVERAGE($C49:D49)</f>
        <v>3833745</v>
      </c>
      <c r="Q49" s="120">
        <f>AVERAGE($C49:E49)</f>
        <v>3781390</v>
      </c>
      <c r="R49" s="120">
        <f t="shared" si="22"/>
        <v>3709672.5</v>
      </c>
      <c r="S49" s="120">
        <f t="shared" si="22"/>
        <v>3285712.5</v>
      </c>
      <c r="T49" s="120">
        <f t="shared" si="22"/>
        <v>3739490</v>
      </c>
      <c r="U49" s="120">
        <f t="shared" si="22"/>
        <v>4111325</v>
      </c>
      <c r="V49" s="120">
        <f t="shared" si="22"/>
        <v>4533206.75</v>
      </c>
      <c r="W49" s="120">
        <f t="shared" si="23"/>
        <v>4996305.5625</v>
      </c>
      <c r="X49" s="120">
        <f t="shared" si="24"/>
        <v>5294507.416666667</v>
      </c>
      <c r="Y49" s="120">
        <f t="shared" si="25"/>
        <v>5359751.125</v>
      </c>
      <c r="Z49" s="30">
        <f t="shared" si="26"/>
        <v>5537455.25</v>
      </c>
    </row>
    <row r="50" spans="2:26">
      <c r="B50" s="44" t="s">
        <v>7</v>
      </c>
      <c r="C50" s="120">
        <f t="shared" si="10"/>
        <v>2756940</v>
      </c>
      <c r="D50" s="120">
        <f t="shared" si="11"/>
        <v>2719400</v>
      </c>
      <c r="E50" s="120">
        <f t="shared" si="12"/>
        <v>3537380</v>
      </c>
      <c r="F50" s="120">
        <f t="shared" si="13"/>
        <v>4660990</v>
      </c>
      <c r="G50" s="120">
        <f t="shared" si="14"/>
        <v>4492060</v>
      </c>
      <c r="H50" s="120">
        <f t="shared" si="15"/>
        <v>2637510</v>
      </c>
      <c r="I50" s="120">
        <f t="shared" si="16"/>
        <v>5107690</v>
      </c>
      <c r="J50" s="120">
        <f t="shared" si="17"/>
        <v>3966690</v>
      </c>
      <c r="K50" s="120">
        <f t="shared" si="18"/>
        <v>2651252.7999999998</v>
      </c>
      <c r="L50" s="120" t="str">
        <f t="shared" si="19"/>
        <v/>
      </c>
      <c r="M50" s="120" t="str">
        <f t="shared" si="20"/>
        <v/>
      </c>
      <c r="N50" s="120" t="str">
        <f t="shared" si="21"/>
        <v/>
      </c>
      <c r="O50" s="123">
        <f>AVERAGE($C50:C50)</f>
        <v>2756940</v>
      </c>
      <c r="P50" s="120">
        <f>AVERAGE($C50:D50)</f>
        <v>2738170</v>
      </c>
      <c r="Q50" s="120">
        <f>AVERAGE($C50:E50)</f>
        <v>3004573.3333333335</v>
      </c>
      <c r="R50" s="120">
        <f t="shared" si="22"/>
        <v>3418677.5</v>
      </c>
      <c r="S50" s="120">
        <f t="shared" si="22"/>
        <v>3852457.5</v>
      </c>
      <c r="T50" s="120">
        <f t="shared" si="22"/>
        <v>3831985</v>
      </c>
      <c r="U50" s="120">
        <f t="shared" si="22"/>
        <v>4224562.5</v>
      </c>
      <c r="V50" s="120">
        <f t="shared" si="22"/>
        <v>4050987.5</v>
      </c>
      <c r="W50" s="120">
        <f t="shared" si="23"/>
        <v>3590785.7</v>
      </c>
      <c r="X50" s="120">
        <f t="shared" si="24"/>
        <v>3908544.2666666671</v>
      </c>
      <c r="Y50" s="120">
        <f t="shared" si="25"/>
        <v>3308971.4</v>
      </c>
      <c r="Z50" s="30">
        <f t="shared" si="26"/>
        <v>2651252.7999999998</v>
      </c>
    </row>
    <row r="51" spans="2:26">
      <c r="B51" s="44" t="s">
        <v>8</v>
      </c>
      <c r="C51" s="120">
        <f t="shared" si="10"/>
        <v>3210200</v>
      </c>
      <c r="D51" s="120">
        <f t="shared" si="11"/>
        <v>3075670</v>
      </c>
      <c r="E51" s="120">
        <f t="shared" si="12"/>
        <v>2684440</v>
      </c>
      <c r="F51" s="120">
        <f t="shared" si="13"/>
        <v>4094420</v>
      </c>
      <c r="G51" s="120">
        <f t="shared" si="14"/>
        <v>2697760</v>
      </c>
      <c r="H51" s="120">
        <f t="shared" si="15"/>
        <v>4344770</v>
      </c>
      <c r="I51" s="120">
        <f t="shared" si="16"/>
        <v>3976555.51</v>
      </c>
      <c r="J51" s="120">
        <f t="shared" si="17"/>
        <v>4956280</v>
      </c>
      <c r="K51" s="120" t="str">
        <f t="shared" si="18"/>
        <v/>
      </c>
      <c r="L51" s="120" t="str">
        <f t="shared" si="19"/>
        <v/>
      </c>
      <c r="M51" s="120" t="str">
        <f t="shared" si="20"/>
        <v/>
      </c>
      <c r="N51" s="120" t="str">
        <f t="shared" si="21"/>
        <v/>
      </c>
      <c r="O51" s="123">
        <f>AVERAGE($C51:C51)</f>
        <v>3210200</v>
      </c>
      <c r="P51" s="120">
        <f>AVERAGE($C51:D51)</f>
        <v>3142935</v>
      </c>
      <c r="Q51" s="120">
        <f>AVERAGE($C51:E51)</f>
        <v>2990103.3333333335</v>
      </c>
      <c r="R51" s="120">
        <f t="shared" si="22"/>
        <v>3266182.5</v>
      </c>
      <c r="S51" s="120">
        <f t="shared" si="22"/>
        <v>3138072.5</v>
      </c>
      <c r="T51" s="120">
        <f t="shared" si="22"/>
        <v>3455347.5</v>
      </c>
      <c r="U51" s="120">
        <f t="shared" si="22"/>
        <v>3778376.3774999999</v>
      </c>
      <c r="V51" s="120">
        <f t="shared" si="22"/>
        <v>3993841.3774999999</v>
      </c>
      <c r="W51" s="120">
        <f t="shared" si="23"/>
        <v>4425868.5033333329</v>
      </c>
      <c r="X51" s="120">
        <f t="shared" si="24"/>
        <v>4466417.7549999999</v>
      </c>
      <c r="Y51" s="120">
        <f t="shared" si="25"/>
        <v>4956280</v>
      </c>
      <c r="Z51" s="30" t="str">
        <f t="shared" si="26"/>
        <v/>
      </c>
    </row>
    <row r="52" spans="2:26">
      <c r="B52" s="44" t="s">
        <v>9</v>
      </c>
      <c r="C52" s="120">
        <f t="shared" si="10"/>
        <v>2748080</v>
      </c>
      <c r="D52" s="120">
        <f t="shared" si="11"/>
        <v>1716320</v>
      </c>
      <c r="E52" s="120">
        <f t="shared" si="12"/>
        <v>2841830</v>
      </c>
      <c r="F52" s="120">
        <f t="shared" si="13"/>
        <v>3886120</v>
      </c>
      <c r="G52" s="120">
        <f t="shared" si="14"/>
        <v>5203800</v>
      </c>
      <c r="H52" s="120">
        <f t="shared" si="15"/>
        <v>2424300</v>
      </c>
      <c r="I52" s="120">
        <f t="shared" si="16"/>
        <v>2183556.4780000001</v>
      </c>
      <c r="J52" s="120">
        <f t="shared" si="17"/>
        <v>3075641.6379999998</v>
      </c>
      <c r="K52" s="120" t="str">
        <f t="shared" si="18"/>
        <v/>
      </c>
      <c r="L52" s="120" t="str">
        <f t="shared" si="19"/>
        <v/>
      </c>
      <c r="M52" s="120" t="str">
        <f t="shared" si="20"/>
        <v/>
      </c>
      <c r="N52" s="120" t="str">
        <f t="shared" si="21"/>
        <v/>
      </c>
      <c r="O52" s="123">
        <f>AVERAGE($C52:C52)</f>
        <v>2748080</v>
      </c>
      <c r="P52" s="120">
        <f>AVERAGE($C52:D52)</f>
        <v>2232200</v>
      </c>
      <c r="Q52" s="120">
        <f>AVERAGE($C52:E52)</f>
        <v>2435410</v>
      </c>
      <c r="R52" s="120">
        <f t="shared" si="22"/>
        <v>2798087.5</v>
      </c>
      <c r="S52" s="120">
        <f t="shared" si="22"/>
        <v>3412017.5</v>
      </c>
      <c r="T52" s="120">
        <f t="shared" si="22"/>
        <v>3589012.5</v>
      </c>
      <c r="U52" s="120">
        <f t="shared" si="22"/>
        <v>3424444.1195</v>
      </c>
      <c r="V52" s="120">
        <f t="shared" si="22"/>
        <v>3221824.5290000001</v>
      </c>
      <c r="W52" s="120">
        <f t="shared" si="23"/>
        <v>2561166.038666667</v>
      </c>
      <c r="X52" s="120">
        <f t="shared" si="24"/>
        <v>2629599.0580000002</v>
      </c>
      <c r="Y52" s="120">
        <f t="shared" si="25"/>
        <v>3075641.6379999998</v>
      </c>
      <c r="Z52" s="30" t="str">
        <f t="shared" si="26"/>
        <v/>
      </c>
    </row>
    <row r="53" spans="2:26">
      <c r="B53" s="44" t="s">
        <v>10</v>
      </c>
      <c r="C53" s="120">
        <f t="shared" si="10"/>
        <v>5298050</v>
      </c>
      <c r="D53" s="120">
        <f t="shared" si="11"/>
        <v>1807480</v>
      </c>
      <c r="E53" s="120">
        <f t="shared" si="12"/>
        <v>1506800</v>
      </c>
      <c r="F53" s="120">
        <f t="shared" si="13"/>
        <v>3140570</v>
      </c>
      <c r="G53" s="120">
        <f t="shared" si="14"/>
        <v>3090470</v>
      </c>
      <c r="H53" s="120">
        <f t="shared" si="15"/>
        <v>419910</v>
      </c>
      <c r="I53" s="120">
        <f t="shared" si="16"/>
        <v>1585461.12</v>
      </c>
      <c r="J53" s="120">
        <f t="shared" si="17"/>
        <v>830168.00100000005</v>
      </c>
      <c r="K53" s="120" t="str">
        <f t="shared" si="18"/>
        <v/>
      </c>
      <c r="L53" s="120" t="str">
        <f t="shared" si="19"/>
        <v/>
      </c>
      <c r="M53" s="120" t="str">
        <f t="shared" si="20"/>
        <v/>
      </c>
      <c r="N53" s="120" t="str">
        <f t="shared" si="21"/>
        <v/>
      </c>
      <c r="O53" s="123">
        <f>AVERAGE($C53:C53)</f>
        <v>5298050</v>
      </c>
      <c r="P53" s="120">
        <f>AVERAGE($C53:D53)</f>
        <v>3552765</v>
      </c>
      <c r="Q53" s="120">
        <f>AVERAGE($C53:E53)</f>
        <v>2870776.6666666665</v>
      </c>
      <c r="R53" s="120">
        <f t="shared" si="22"/>
        <v>2938225</v>
      </c>
      <c r="S53" s="120">
        <f t="shared" si="22"/>
        <v>2386330</v>
      </c>
      <c r="T53" s="120">
        <f t="shared" si="22"/>
        <v>2039437.5</v>
      </c>
      <c r="U53" s="120">
        <f t="shared" si="22"/>
        <v>2059102.78</v>
      </c>
      <c r="V53" s="120">
        <f>IFERROR(AVERAGE(G53:J53),"")</f>
        <v>1481502.2802500001</v>
      </c>
      <c r="W53" s="120">
        <f t="shared" si="23"/>
        <v>945179.70700000005</v>
      </c>
      <c r="X53" s="120">
        <f t="shared" si="24"/>
        <v>1207814.5605000001</v>
      </c>
      <c r="Y53" s="120">
        <f t="shared" si="25"/>
        <v>830168.00100000005</v>
      </c>
      <c r="Z53" s="30" t="str">
        <f t="shared" si="26"/>
        <v/>
      </c>
    </row>
    <row r="54" spans="2:26">
      <c r="B54" s="44" t="s">
        <v>11</v>
      </c>
      <c r="C54" s="120">
        <f t="shared" si="10"/>
        <v>3896110</v>
      </c>
      <c r="D54" s="120">
        <f t="shared" si="11"/>
        <v>3020740</v>
      </c>
      <c r="E54" s="120">
        <f t="shared" si="12"/>
        <v>1996200</v>
      </c>
      <c r="F54" s="120">
        <f t="shared" si="13"/>
        <v>1979050</v>
      </c>
      <c r="G54" s="120">
        <f t="shared" si="14"/>
        <v>2661390</v>
      </c>
      <c r="H54" s="120">
        <f t="shared" si="15"/>
        <v>947060</v>
      </c>
      <c r="I54" s="120">
        <f t="shared" si="16"/>
        <v>1881077.442</v>
      </c>
      <c r="J54" s="120">
        <f>IF(X16=0,"",X16)</f>
        <v>980297.6017</v>
      </c>
      <c r="K54" s="120" t="str">
        <f t="shared" si="18"/>
        <v/>
      </c>
      <c r="L54" s="120" t="str">
        <f t="shared" si="19"/>
        <v/>
      </c>
      <c r="M54" s="120" t="str">
        <f t="shared" si="20"/>
        <v/>
      </c>
      <c r="N54" s="120" t="str">
        <f t="shared" si="21"/>
        <v/>
      </c>
      <c r="O54" s="123">
        <f>AVERAGE($C54:C54)</f>
        <v>3896110</v>
      </c>
      <c r="P54" s="120">
        <f>AVERAGE($C54:D54)</f>
        <v>3458425</v>
      </c>
      <c r="Q54" s="120">
        <f>AVERAGE($C54:E54)</f>
        <v>2971016.6666666665</v>
      </c>
      <c r="R54" s="120">
        <f t="shared" si="22"/>
        <v>2723025</v>
      </c>
      <c r="S54" s="120">
        <f t="shared" si="22"/>
        <v>2414345</v>
      </c>
      <c r="T54" s="120">
        <f t="shared" si="22"/>
        <v>1895925</v>
      </c>
      <c r="U54" s="120">
        <f t="shared" si="22"/>
        <v>1867144.3605</v>
      </c>
      <c r="V54" s="172">
        <f t="shared" si="22"/>
        <v>1617456.2609250001</v>
      </c>
      <c r="W54" s="120">
        <f t="shared" si="23"/>
        <v>1269478.3478999999</v>
      </c>
      <c r="X54" s="120">
        <f t="shared" si="24"/>
        <v>1430687.5218500001</v>
      </c>
      <c r="Y54" s="120">
        <f t="shared" si="25"/>
        <v>980297.6017</v>
      </c>
      <c r="Z54" s="30" t="str">
        <f t="shared" si="26"/>
        <v/>
      </c>
    </row>
    <row r="55" spans="2:26">
      <c r="B55" s="46" t="s">
        <v>14</v>
      </c>
      <c r="C55" s="28">
        <f t="shared" ref="C55:N55" si="27">SUM(C43:C54)</f>
        <v>47853390</v>
      </c>
      <c r="D55" s="28">
        <f t="shared" si="27"/>
        <v>41098744</v>
      </c>
      <c r="E55" s="28">
        <f t="shared" si="27"/>
        <v>30634900</v>
      </c>
      <c r="F55" s="28">
        <f t="shared" si="27"/>
        <v>40156590</v>
      </c>
      <c r="G55" s="28">
        <f t="shared" si="27"/>
        <v>36799160</v>
      </c>
      <c r="H55" s="28">
        <f t="shared" si="27"/>
        <v>34760990</v>
      </c>
      <c r="I55" s="28">
        <f t="shared" si="27"/>
        <v>39126764.560000002</v>
      </c>
      <c r="J55" s="28">
        <f t="shared" si="27"/>
        <v>39466145.778700002</v>
      </c>
      <c r="K55" s="28">
        <f t="shared" si="27"/>
        <v>26046845.702000003</v>
      </c>
      <c r="L55" s="28">
        <f t="shared" si="27"/>
        <v>0</v>
      </c>
      <c r="M55" s="28">
        <f t="shared" si="27"/>
        <v>0</v>
      </c>
      <c r="N55" s="28">
        <f t="shared" si="27"/>
        <v>0</v>
      </c>
      <c r="O55" s="124">
        <f>SUM(O43:O54)</f>
        <v>47853390</v>
      </c>
      <c r="P55" s="28">
        <f>SUM(P43:P54)</f>
        <v>44476067</v>
      </c>
      <c r="Q55" s="28">
        <f>SUM(Q43:Q54)</f>
        <v>39862344.666666657</v>
      </c>
      <c r="R55" s="28">
        <f t="shared" ref="R55:X55" si="28">SUM(R43:R54)</f>
        <v>39935906</v>
      </c>
      <c r="S55" s="28">
        <f t="shared" si="28"/>
        <v>37172348.5</v>
      </c>
      <c r="T55" s="28">
        <f>SUM(T43:T54)</f>
        <v>35587910</v>
      </c>
      <c r="U55" s="28">
        <f t="shared" si="28"/>
        <v>37710876.140000001</v>
      </c>
      <c r="V55" s="28">
        <f>SUM(V43:V54)</f>
        <v>37538265.084675007</v>
      </c>
      <c r="W55" s="28">
        <f t="shared" si="28"/>
        <v>37150609.659400009</v>
      </c>
      <c r="X55" s="28">
        <f t="shared" si="28"/>
        <v>38124758.312016666</v>
      </c>
      <c r="Y55" s="28">
        <f>SUM(Y43:Y54)</f>
        <v>37677689.360699996</v>
      </c>
      <c r="Z55" s="29">
        <f>SUM(Z43:Z54)</f>
        <v>26046845.702000003</v>
      </c>
    </row>
    <row r="56" spans="2:26">
      <c r="B56" s="2"/>
    </row>
    <row r="57" spans="2:26">
      <c r="B57" s="290" t="s">
        <v>66</v>
      </c>
      <c r="C57" s="291"/>
      <c r="D57" s="292"/>
    </row>
    <row r="58" spans="2:26">
      <c r="B58" s="33" t="s">
        <v>51</v>
      </c>
      <c r="C58" s="14" t="s">
        <v>53</v>
      </c>
      <c r="D58" s="34" t="s">
        <v>51</v>
      </c>
    </row>
    <row r="59" spans="2:26" ht="18">
      <c r="B59" s="18">
        <v>2019</v>
      </c>
      <c r="C59" s="111">
        <v>102.22</v>
      </c>
      <c r="D59" s="19" t="s">
        <v>59</v>
      </c>
      <c r="H59" s="167" t="s">
        <v>227</v>
      </c>
      <c r="I59" s="16"/>
      <c r="J59" s="16"/>
      <c r="K59" s="17"/>
    </row>
    <row r="60" spans="2:26">
      <c r="B60" s="18">
        <v>2020</v>
      </c>
      <c r="C60" s="111">
        <v>106.94</v>
      </c>
      <c r="D60" s="19" t="s">
        <v>54</v>
      </c>
      <c r="H60" s="168">
        <v>2025</v>
      </c>
      <c r="I60" t="s">
        <v>224</v>
      </c>
      <c r="J60" t="s">
        <v>225</v>
      </c>
      <c r="K60" s="19" t="s">
        <v>226</v>
      </c>
    </row>
    <row r="61" spans="2:26">
      <c r="B61" s="31">
        <v>2021</v>
      </c>
      <c r="C61" s="111">
        <v>109.47</v>
      </c>
      <c r="D61" s="19" t="s">
        <v>55</v>
      </c>
      <c r="H61" s="18" t="s">
        <v>212</v>
      </c>
      <c r="I61" s="174">
        <v>8.3919999999999995</v>
      </c>
      <c r="J61" s="174">
        <v>4.5780000000000003</v>
      </c>
      <c r="K61" s="175">
        <v>4.109</v>
      </c>
    </row>
    <row r="62" spans="2:26">
      <c r="B62" s="31">
        <v>2022</v>
      </c>
      <c r="C62" s="111">
        <v>68.78</v>
      </c>
      <c r="D62" s="19" t="s">
        <v>56</v>
      </c>
      <c r="H62" s="18" t="s">
        <v>213</v>
      </c>
      <c r="I62" s="174">
        <v>8.9039999999999999</v>
      </c>
      <c r="J62" s="174">
        <v>1.7999999999999999E-2</v>
      </c>
      <c r="K62" s="175">
        <v>0.3</v>
      </c>
    </row>
    <row r="63" spans="2:26">
      <c r="B63" s="31">
        <v>2023</v>
      </c>
      <c r="C63" s="111">
        <v>36.04</v>
      </c>
      <c r="D63" s="19" t="s">
        <v>57</v>
      </c>
      <c r="H63" s="18" t="s">
        <v>214</v>
      </c>
      <c r="I63" s="174">
        <v>4.109</v>
      </c>
      <c r="J63" s="174">
        <v>6.12</v>
      </c>
      <c r="K63" s="175">
        <v>6.9480000000000004</v>
      </c>
    </row>
    <row r="64" spans="2:26">
      <c r="B64" s="31">
        <v>2024</v>
      </c>
      <c r="C64" s="111">
        <v>72.86</v>
      </c>
      <c r="D64" s="19" t="s">
        <v>131</v>
      </c>
      <c r="H64" s="18" t="s">
        <v>215</v>
      </c>
      <c r="I64" s="174">
        <v>0.3</v>
      </c>
      <c r="J64" s="174">
        <v>5.9909999999999997</v>
      </c>
      <c r="K64" s="175">
        <v>6.915</v>
      </c>
    </row>
    <row r="65" spans="2:14">
      <c r="B65" s="31">
        <v>2025</v>
      </c>
      <c r="C65" s="111">
        <v>66.64</v>
      </c>
      <c r="D65" s="19" t="s">
        <v>165</v>
      </c>
      <c r="H65" s="18" t="s">
        <v>216</v>
      </c>
      <c r="I65" s="174">
        <v>4.0049999999999999</v>
      </c>
      <c r="J65" s="174">
        <v>14.37</v>
      </c>
      <c r="K65" s="175">
        <v>13.493</v>
      </c>
    </row>
    <row r="66" spans="2:14">
      <c r="B66" s="31">
        <v>2026</v>
      </c>
      <c r="C66" s="148">
        <v>59.81</v>
      </c>
      <c r="D66" s="19" t="s">
        <v>166</v>
      </c>
      <c r="H66" s="18" t="s">
        <v>217</v>
      </c>
      <c r="I66" s="174">
        <v>8.9039999999999999</v>
      </c>
      <c r="J66" s="174">
        <v>8.7759999999999998</v>
      </c>
      <c r="K66" s="175">
        <v>5.9720000000000004</v>
      </c>
    </row>
    <row r="67" spans="2:14">
      <c r="B67" s="31">
        <v>2027</v>
      </c>
      <c r="C67" s="148"/>
      <c r="D67" s="19" t="s">
        <v>167</v>
      </c>
      <c r="H67" s="18" t="s">
        <v>218</v>
      </c>
      <c r="I67" s="174">
        <v>11.593</v>
      </c>
      <c r="J67" s="174">
        <v>-0.17599999999999999</v>
      </c>
      <c r="K67" s="175">
        <v>1.4379999999999999</v>
      </c>
    </row>
    <row r="68" spans="2:14">
      <c r="B68" s="32">
        <v>2028</v>
      </c>
      <c r="C68" s="151"/>
      <c r="D68" s="22" t="s">
        <v>168</v>
      </c>
      <c r="H68" s="18" t="s">
        <v>219</v>
      </c>
      <c r="I68" s="174">
        <v>0.3</v>
      </c>
      <c r="J68" s="174">
        <v>1.746</v>
      </c>
      <c r="K68" s="175">
        <v>3.01</v>
      </c>
    </row>
    <row r="69" spans="2:14">
      <c r="H69" s="18" t="s">
        <v>220</v>
      </c>
      <c r="I69" s="174">
        <v>0.3</v>
      </c>
      <c r="J69" s="174">
        <v>8.1910000000000007</v>
      </c>
      <c r="K69" s="175">
        <v>6.1849999999999996</v>
      </c>
    </row>
    <row r="70" spans="2:14">
      <c r="B70" s="290" t="s">
        <v>58</v>
      </c>
      <c r="C70" s="292"/>
      <c r="H70" s="18" t="s">
        <v>221</v>
      </c>
      <c r="I70" s="174">
        <v>7.4820000000000002</v>
      </c>
      <c r="K70" s="19"/>
    </row>
    <row r="71" spans="2:14">
      <c r="B71" s="33"/>
      <c r="C71" s="34" t="s">
        <v>19</v>
      </c>
      <c r="H71" s="18" t="s">
        <v>222</v>
      </c>
      <c r="K71" s="19"/>
    </row>
    <row r="72" spans="2:14">
      <c r="B72" s="33" t="s">
        <v>60</v>
      </c>
      <c r="C72" s="129">
        <v>2.4500000000000002</v>
      </c>
      <c r="H72" s="20" t="s">
        <v>223</v>
      </c>
      <c r="I72" s="21"/>
      <c r="J72" s="21"/>
      <c r="K72" s="22"/>
    </row>
    <row r="73" spans="2:14">
      <c r="B73" s="33" t="s">
        <v>61</v>
      </c>
      <c r="C73" s="129">
        <v>2.1800000000000002</v>
      </c>
      <c r="H73" t="s">
        <v>228</v>
      </c>
    </row>
    <row r="74" spans="2:14">
      <c r="B74" s="33" t="s">
        <v>62</v>
      </c>
      <c r="C74" s="129">
        <v>2.1800000000000002</v>
      </c>
      <c r="H74" s="173" t="s">
        <v>253</v>
      </c>
    </row>
    <row r="75" spans="2:14">
      <c r="B75" s="33" t="s">
        <v>63</v>
      </c>
      <c r="C75" s="129">
        <v>2.1800000000000002</v>
      </c>
    </row>
    <row r="76" spans="2:14">
      <c r="B76" s="33" t="s">
        <v>50</v>
      </c>
      <c r="C76" s="129">
        <v>2.1800000000000002</v>
      </c>
      <c r="F76" s="3"/>
      <c r="G76" s="3"/>
      <c r="H76" s="3"/>
      <c r="I76" s="3"/>
      <c r="J76" s="3"/>
      <c r="K76" s="3"/>
      <c r="L76" s="3"/>
      <c r="M76" s="3"/>
      <c r="N76" s="3"/>
    </row>
    <row r="77" spans="2:14">
      <c r="B77" s="33" t="s">
        <v>49</v>
      </c>
      <c r="C77" s="129">
        <v>2.1800000000000002</v>
      </c>
      <c r="F77" s="3"/>
    </row>
    <row r="78" spans="2:14">
      <c r="B78" s="33" t="s">
        <v>48</v>
      </c>
      <c r="C78" s="129">
        <v>0.56999999999999995</v>
      </c>
      <c r="F78" s="3"/>
    </row>
    <row r="79" spans="2:14">
      <c r="B79" s="33" t="s">
        <v>47</v>
      </c>
      <c r="C79" s="129">
        <v>0.56999999999999995</v>
      </c>
      <c r="F79" s="3"/>
    </row>
    <row r="80" spans="2:14">
      <c r="B80" s="33" t="s">
        <v>46</v>
      </c>
      <c r="C80" s="129">
        <v>0.56999999999999995</v>
      </c>
      <c r="F80" s="3"/>
    </row>
    <row r="81" spans="2:6">
      <c r="B81" s="33" t="s">
        <v>45</v>
      </c>
      <c r="C81" s="129">
        <v>0.56999999999999995</v>
      </c>
      <c r="F81" s="3"/>
    </row>
    <row r="82" spans="2:6">
      <c r="B82" s="33" t="s">
        <v>44</v>
      </c>
      <c r="C82" s="129">
        <v>0.56999999999999995</v>
      </c>
      <c r="F82" s="3"/>
    </row>
    <row r="83" spans="2:6">
      <c r="B83" s="33" t="s">
        <v>43</v>
      </c>
      <c r="C83" s="129">
        <v>0.56999999999999995</v>
      </c>
    </row>
    <row r="84" spans="2:6">
      <c r="B84" s="33" t="s">
        <v>42</v>
      </c>
      <c r="C84" s="129">
        <v>0.56999999999999995</v>
      </c>
      <c r="F84" s="3"/>
    </row>
    <row r="85" spans="2:6">
      <c r="B85" s="33" t="s">
        <v>41</v>
      </c>
      <c r="C85" s="129">
        <v>1.02</v>
      </c>
      <c r="F85" s="3"/>
    </row>
    <row r="86" spans="2:6">
      <c r="B86" s="33" t="s">
        <v>40</v>
      </c>
      <c r="C86" s="129">
        <v>2.2000000000000002</v>
      </c>
      <c r="F86" s="3"/>
    </row>
    <row r="87" spans="2:6">
      <c r="B87" s="33" t="s">
        <v>39</v>
      </c>
      <c r="C87" s="129">
        <v>3.87</v>
      </c>
      <c r="F87" s="3"/>
    </row>
    <row r="88" spans="2:6">
      <c r="B88" s="33" t="s">
        <v>38</v>
      </c>
      <c r="C88" s="129">
        <v>4.7300000000000004</v>
      </c>
    </row>
    <row r="89" spans="2:6">
      <c r="B89" s="33" t="s">
        <v>37</v>
      </c>
      <c r="C89" s="129">
        <v>4.9800000000000004</v>
      </c>
    </row>
    <row r="90" spans="2:6">
      <c r="B90" s="33" t="s">
        <v>36</v>
      </c>
      <c r="C90" s="129">
        <v>4.9800000000000004</v>
      </c>
    </row>
    <row r="91" spans="2:6">
      <c r="B91" s="33" t="s">
        <v>35</v>
      </c>
      <c r="C91" s="129">
        <v>5.49</v>
      </c>
    </row>
    <row r="92" spans="2:6">
      <c r="B92" s="33" t="s">
        <v>160</v>
      </c>
      <c r="C92" s="129">
        <v>5.49</v>
      </c>
    </row>
    <row r="93" spans="2:6">
      <c r="B93" s="33" t="s">
        <v>169</v>
      </c>
      <c r="C93" s="129">
        <v>5.49</v>
      </c>
    </row>
    <row r="94" spans="2:6">
      <c r="B94" s="33" t="s">
        <v>170</v>
      </c>
      <c r="C94" s="129">
        <v>5.2</v>
      </c>
    </row>
    <row r="95" spans="2:6">
      <c r="B95" s="33" t="s">
        <v>171</v>
      </c>
      <c r="C95" s="129">
        <v>4.4000000000000004</v>
      </c>
    </row>
    <row r="96" spans="2:6">
      <c r="B96" s="33" t="s">
        <v>172</v>
      </c>
      <c r="C96" s="129">
        <v>3.64</v>
      </c>
    </row>
    <row r="97" spans="2:16">
      <c r="B97" s="33" t="s">
        <v>173</v>
      </c>
      <c r="C97" s="129">
        <v>3.16</v>
      </c>
    </row>
    <row r="98" spans="2:16">
      <c r="B98" s="33" t="s">
        <v>174</v>
      </c>
      <c r="C98" s="129">
        <v>2.91</v>
      </c>
    </row>
    <row r="99" spans="2:16">
      <c r="B99" s="33" t="s">
        <v>175</v>
      </c>
      <c r="C99" s="129">
        <v>2.91</v>
      </c>
    </row>
    <row r="100" spans="2:16">
      <c r="B100" s="33" t="s">
        <v>176</v>
      </c>
      <c r="C100" s="129"/>
    </row>
    <row r="101" spans="2:16">
      <c r="B101" s="33" t="s">
        <v>177</v>
      </c>
      <c r="C101" s="129"/>
    </row>
    <row r="102" spans="2:16">
      <c r="B102" s="33" t="s">
        <v>178</v>
      </c>
      <c r="C102" s="129"/>
    </row>
    <row r="103" spans="2:16">
      <c r="B103" s="33" t="s">
        <v>179</v>
      </c>
      <c r="C103" s="129"/>
    </row>
    <row r="104" spans="2:16">
      <c r="B104" s="33" t="s">
        <v>180</v>
      </c>
      <c r="C104" s="129"/>
    </row>
    <row r="105" spans="2:16">
      <c r="B105" s="33" t="s">
        <v>181</v>
      </c>
      <c r="C105" s="129"/>
    </row>
    <row r="106" spans="2:16">
      <c r="B106" s="33" t="s">
        <v>182</v>
      </c>
      <c r="C106" s="129"/>
      <c r="G106" s="11"/>
      <c r="H106" s="2"/>
    </row>
    <row r="107" spans="2:16">
      <c r="B107" s="33" t="s">
        <v>183</v>
      </c>
      <c r="C107" s="129"/>
      <c r="G107" s="2"/>
      <c r="H107" s="11"/>
      <c r="O107" s="2"/>
    </row>
    <row r="108" spans="2:16">
      <c r="B108" s="33" t="s">
        <v>184</v>
      </c>
      <c r="C108" s="129"/>
      <c r="G108" s="2"/>
      <c r="H108" s="11"/>
      <c r="O108" s="2"/>
      <c r="P108" s="7"/>
    </row>
    <row r="109" spans="2:16">
      <c r="B109" s="33" t="s">
        <v>185</v>
      </c>
      <c r="C109" s="129"/>
      <c r="G109" s="2"/>
      <c r="H109" s="2"/>
      <c r="O109" s="2"/>
      <c r="P109" s="12"/>
    </row>
    <row r="110" spans="2:16">
      <c r="B110" s="33" t="s">
        <v>186</v>
      </c>
      <c r="C110" s="129"/>
      <c r="H110" s="12"/>
    </row>
    <row r="111" spans="2:16">
      <c r="B111" s="35" t="s">
        <v>187</v>
      </c>
      <c r="C111" s="130"/>
    </row>
  </sheetData>
  <mergeCells count="20">
    <mergeCell ref="B57:D57"/>
    <mergeCell ref="B70:C70"/>
    <mergeCell ref="AD3:AF3"/>
    <mergeCell ref="B20:N20"/>
    <mergeCell ref="B36:N36"/>
    <mergeCell ref="B40:Z40"/>
    <mergeCell ref="C41:N41"/>
    <mergeCell ref="O41:Z41"/>
    <mergeCell ref="C2:AL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G3:AI3"/>
    <mergeCell ref="AJ3:AL3"/>
  </mergeCells>
  <hyperlinks>
    <hyperlink ref="H74" r:id="rId1" xr:uid="{D07F0BF4-DD8E-4644-B06A-695B068C6D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7142-AF63-4447-9CB7-12767767B750}">
  <sheetPr codeName="Sheet2"/>
  <dimension ref="A1:AA72"/>
  <sheetViews>
    <sheetView tabSelected="1" topLeftCell="A18" zoomScaleNormal="100" workbookViewId="0">
      <selection activeCell="E43" sqref="E43"/>
    </sheetView>
  </sheetViews>
  <sheetFormatPr defaultColWidth="8.85546875" defaultRowHeight="15"/>
  <cols>
    <col min="3" max="3" width="35.140625" bestFit="1" customWidth="1"/>
    <col min="4" max="4" width="16.42578125" customWidth="1"/>
    <col min="5" max="5" width="11.42578125" bestFit="1" customWidth="1"/>
    <col min="6" max="6" width="49.42578125" style="132" customWidth="1"/>
    <col min="7" max="7" width="14.85546875" style="132" customWidth="1"/>
    <col min="8" max="8" width="12.28515625" bestFit="1" customWidth="1"/>
    <col min="9" max="9" width="14.28515625" style="25" bestFit="1" customWidth="1"/>
    <col min="10" max="10" width="10.28515625" bestFit="1" customWidth="1"/>
    <col min="11" max="11" width="12.28515625" bestFit="1" customWidth="1"/>
    <col min="12" max="12" width="11.42578125" bestFit="1" customWidth="1"/>
    <col min="13" max="14" width="12.28515625" bestFit="1" customWidth="1"/>
    <col min="15" max="15" width="14.85546875" customWidth="1"/>
    <col min="16" max="16" width="16" customWidth="1"/>
    <col min="17" max="17" width="13" customWidth="1"/>
    <col min="18" max="18" width="14.42578125" customWidth="1"/>
    <col min="19" max="19" width="8.42578125" bestFit="1" customWidth="1"/>
    <col min="20" max="20" width="11.140625" customWidth="1"/>
    <col min="21" max="21" width="11" customWidth="1"/>
    <col min="24" max="24" width="28.7109375" bestFit="1" customWidth="1"/>
    <col min="25" max="25" width="14.140625" customWidth="1"/>
    <col min="26" max="26" width="13" customWidth="1"/>
    <col min="27" max="27" width="84.140625" bestFit="1" customWidth="1"/>
  </cols>
  <sheetData>
    <row r="1" spans="2:27" ht="15.75" thickBot="1"/>
    <row r="2" spans="2:27" ht="15.75">
      <c r="H2" s="299" t="s">
        <v>159</v>
      </c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1"/>
    </row>
    <row r="3" spans="2:27" ht="45">
      <c r="H3" s="53"/>
      <c r="I3" s="63" t="s">
        <v>17</v>
      </c>
      <c r="J3" s="64" t="s">
        <v>16</v>
      </c>
      <c r="K3" s="65" t="s">
        <v>33</v>
      </c>
      <c r="L3" s="66" t="s">
        <v>15</v>
      </c>
      <c r="M3" s="67" t="s">
        <v>210</v>
      </c>
      <c r="N3" s="67" t="s">
        <v>135</v>
      </c>
      <c r="O3" s="67" t="s">
        <v>138</v>
      </c>
      <c r="P3" s="65" t="s">
        <v>32</v>
      </c>
      <c r="Q3" s="66" t="s">
        <v>18</v>
      </c>
      <c r="R3" s="64" t="s">
        <v>20</v>
      </c>
      <c r="S3" s="64" t="s">
        <v>22</v>
      </c>
      <c r="T3" s="64" t="s">
        <v>21</v>
      </c>
      <c r="U3" s="68" t="s">
        <v>86</v>
      </c>
    </row>
    <row r="4" spans="2:27" ht="15.75" thickBot="1">
      <c r="H4" s="112"/>
      <c r="I4" s="57" t="s">
        <v>23</v>
      </c>
      <c r="J4" s="58" t="s">
        <v>24</v>
      </c>
      <c r="K4" s="59" t="s">
        <v>28</v>
      </c>
      <c r="L4" s="60" t="s">
        <v>25</v>
      </c>
      <c r="M4" s="61" t="s">
        <v>29</v>
      </c>
      <c r="N4" s="61" t="s">
        <v>30</v>
      </c>
      <c r="O4" s="61" t="s">
        <v>26</v>
      </c>
      <c r="P4" s="59" t="s">
        <v>70</v>
      </c>
      <c r="Q4" s="60" t="s">
        <v>71</v>
      </c>
      <c r="R4" s="58" t="s">
        <v>27</v>
      </c>
      <c r="S4" s="277" t="s">
        <v>72</v>
      </c>
      <c r="T4" s="58" t="s">
        <v>73</v>
      </c>
      <c r="U4" s="62"/>
    </row>
    <row r="5" spans="2:27" ht="120.75" thickBot="1">
      <c r="C5" s="302" t="s">
        <v>146</v>
      </c>
      <c r="D5" s="303"/>
      <c r="E5" s="304"/>
      <c r="F5" s="136" t="s">
        <v>133</v>
      </c>
      <c r="G5" s="180"/>
      <c r="H5" s="179"/>
      <c r="I5" s="80" t="s">
        <v>158</v>
      </c>
      <c r="J5" s="81" t="s">
        <v>95</v>
      </c>
      <c r="K5" s="82" t="s">
        <v>96</v>
      </c>
      <c r="L5" s="83" t="s">
        <v>97</v>
      </c>
      <c r="M5" s="84" t="s">
        <v>98</v>
      </c>
      <c r="N5" s="84" t="s">
        <v>99</v>
      </c>
      <c r="O5" s="84" t="s">
        <v>194</v>
      </c>
      <c r="P5" s="82" t="s">
        <v>139</v>
      </c>
      <c r="Q5" s="83" t="s">
        <v>100</v>
      </c>
      <c r="R5" s="81" t="s">
        <v>101</v>
      </c>
      <c r="S5" s="107" t="s">
        <v>102</v>
      </c>
      <c r="T5" s="81" t="s">
        <v>103</v>
      </c>
      <c r="U5" s="139" t="s">
        <v>162</v>
      </c>
    </row>
    <row r="6" spans="2:27">
      <c r="B6" s="305" t="s">
        <v>206</v>
      </c>
      <c r="C6" s="108"/>
      <c r="D6" s="131" t="s">
        <v>143</v>
      </c>
      <c r="E6" s="108"/>
      <c r="F6" s="134"/>
      <c r="G6" s="314" t="s">
        <v>261</v>
      </c>
      <c r="H6" t="s">
        <v>0</v>
      </c>
      <c r="I6" s="48"/>
      <c r="J6" s="138"/>
      <c r="K6" s="49"/>
      <c r="L6" s="51"/>
      <c r="M6" s="10"/>
      <c r="N6" s="10"/>
      <c r="O6" s="10"/>
      <c r="P6" s="39"/>
      <c r="Q6" s="51"/>
      <c r="R6" s="10"/>
      <c r="S6" s="10"/>
      <c r="T6" s="79"/>
      <c r="U6" s="113"/>
      <c r="V6" s="10"/>
    </row>
    <row r="7" spans="2:27">
      <c r="B7" s="306"/>
      <c r="C7" s="78" t="s">
        <v>81</v>
      </c>
      <c r="D7" s="90">
        <f>'Input Data'!T55</f>
        <v>35587910</v>
      </c>
      <c r="F7" s="132" t="s">
        <v>123</v>
      </c>
      <c r="G7" s="315"/>
      <c r="H7" t="s">
        <v>1</v>
      </c>
      <c r="I7" s="48"/>
      <c r="J7" s="138"/>
      <c r="K7" s="49"/>
      <c r="L7" s="51"/>
      <c r="M7" s="10"/>
      <c r="N7" s="10"/>
      <c r="O7" s="10"/>
      <c r="P7" s="39"/>
      <c r="Q7" s="51"/>
      <c r="R7" s="10"/>
      <c r="S7" s="10"/>
      <c r="T7" s="79"/>
      <c r="U7" s="113"/>
      <c r="V7" s="10"/>
      <c r="W7" s="308" t="s">
        <v>230</v>
      </c>
      <c r="X7" s="16"/>
      <c r="Y7" s="16"/>
      <c r="Z7" s="17"/>
    </row>
    <row r="8" spans="2:27">
      <c r="B8" s="306"/>
      <c r="C8" s="78" t="s">
        <v>107</v>
      </c>
      <c r="D8" s="89">
        <f>'Input Data'!C64/1000</f>
        <v>7.2859999999999994E-2</v>
      </c>
      <c r="F8" s="132" t="s">
        <v>87</v>
      </c>
      <c r="G8" s="315"/>
      <c r="H8" t="s">
        <v>2</v>
      </c>
      <c r="I8" s="48"/>
      <c r="J8" s="138"/>
      <c r="K8" s="49"/>
      <c r="L8" s="51"/>
      <c r="M8" s="10"/>
      <c r="N8" s="10"/>
      <c r="O8" s="10"/>
      <c r="P8" s="39"/>
      <c r="Q8" s="51"/>
      <c r="R8" s="10"/>
      <c r="S8" s="10"/>
      <c r="T8" s="79"/>
      <c r="U8" s="113"/>
      <c r="V8" s="10"/>
      <c r="W8" s="309"/>
      <c r="X8" t="s">
        <v>94</v>
      </c>
      <c r="Z8" s="39">
        <f>L18</f>
        <v>2016472.4675851988</v>
      </c>
      <c r="AA8" t="s">
        <v>104</v>
      </c>
    </row>
    <row r="9" spans="2:27">
      <c r="B9" s="306"/>
      <c r="C9" s="78" t="s">
        <v>120</v>
      </c>
      <c r="D9" s="4">
        <f>D7*D8</f>
        <v>2592935.1225999999</v>
      </c>
      <c r="G9" s="315"/>
      <c r="H9" t="s">
        <v>3</v>
      </c>
      <c r="I9" s="48"/>
      <c r="J9" s="138"/>
      <c r="K9" s="49"/>
      <c r="L9" s="51"/>
      <c r="M9" s="10"/>
      <c r="N9" s="10"/>
      <c r="O9" s="10"/>
      <c r="P9" s="39"/>
      <c r="Q9" s="51"/>
      <c r="R9" s="10"/>
      <c r="S9" s="10"/>
      <c r="T9" s="79"/>
      <c r="U9" s="113"/>
      <c r="V9" s="10"/>
      <c r="W9" s="309"/>
      <c r="X9" t="s">
        <v>92</v>
      </c>
      <c r="Z9" s="39">
        <f>M18</f>
        <v>-1008236.2337925994</v>
      </c>
      <c r="AA9" t="s">
        <v>31</v>
      </c>
    </row>
    <row r="10" spans="2:27">
      <c r="B10" s="306"/>
      <c r="C10" s="78" t="s">
        <v>121</v>
      </c>
      <c r="E10" s="4">
        <f>D9/2</f>
        <v>1296467.5612999999</v>
      </c>
      <c r="F10" s="132" t="s">
        <v>132</v>
      </c>
      <c r="G10" s="315"/>
      <c r="H10" t="s">
        <v>4</v>
      </c>
      <c r="I10" s="87">
        <f>'Input Data'!J26</f>
        <v>13573289</v>
      </c>
      <c r="J10" s="138">
        <f>E17</f>
        <v>-7.0000000000000001E-3</v>
      </c>
      <c r="K10" s="49">
        <f t="shared" ref="K10:K17" si="0">I10*J10</f>
        <v>-95013.023000000001</v>
      </c>
      <c r="L10" s="86">
        <f>'Input Data'!Z9</f>
        <v>317034.83699083002</v>
      </c>
      <c r="M10" s="10">
        <f>-L10/2</f>
        <v>-158517.41849541501</v>
      </c>
      <c r="N10" s="10">
        <f t="shared" ref="N10:N17" si="1">-L10/2</f>
        <v>-158517.41849541501</v>
      </c>
      <c r="O10" s="10"/>
      <c r="P10" s="39">
        <f>N10+O10</f>
        <v>-158517.41849541501</v>
      </c>
      <c r="Q10" s="51">
        <f>P10-K10</f>
        <v>-63504.39549541501</v>
      </c>
      <c r="R10" s="10">
        <f t="shared" ref="R10:R17" si="2">Q10+R9</f>
        <v>-63504.39549541501</v>
      </c>
      <c r="S10" s="88">
        <f>'Input Data'!$C$93/100/12</f>
        <v>4.5750000000000001E-3</v>
      </c>
      <c r="T10" s="79"/>
      <c r="U10" s="113"/>
      <c r="V10" s="10"/>
      <c r="W10" s="309"/>
      <c r="X10" t="s">
        <v>67</v>
      </c>
      <c r="Y10" s="10">
        <f>N18</f>
        <v>-1008236.2337925994</v>
      </c>
      <c r="Z10" s="19"/>
      <c r="AA10" t="s">
        <v>105</v>
      </c>
    </row>
    <row r="11" spans="2:27">
      <c r="B11" s="306"/>
      <c r="C11" s="78" t="s">
        <v>109</v>
      </c>
      <c r="E11" s="4"/>
      <c r="F11" s="132" t="s">
        <v>134</v>
      </c>
      <c r="G11" s="315"/>
      <c r="H11" t="s">
        <v>5</v>
      </c>
      <c r="I11" s="87">
        <f>'Input Data'!J27</f>
        <v>14254114</v>
      </c>
      <c r="J11" s="138">
        <f>J10</f>
        <v>-7.0000000000000001E-3</v>
      </c>
      <c r="K11" s="49">
        <f t="shared" si="0"/>
        <v>-99778.797999999995</v>
      </c>
      <c r="L11" s="86">
        <f>'Input Data'!Z10</f>
        <v>360889.5672704</v>
      </c>
      <c r="M11" s="10">
        <f t="shared" ref="M11:M17" si="3">-L11/2</f>
        <v>-180444.7836352</v>
      </c>
      <c r="N11" s="10">
        <f t="shared" si="1"/>
        <v>-180444.7836352</v>
      </c>
      <c r="O11" s="10"/>
      <c r="P11" s="39">
        <f t="shared" ref="P11:P17" si="4">N11+O11</f>
        <v>-180444.7836352</v>
      </c>
      <c r="Q11" s="51">
        <f t="shared" ref="Q11:Q17" si="5">P11-K11</f>
        <v>-80665.985635200006</v>
      </c>
      <c r="R11" s="10">
        <f t="shared" si="2"/>
        <v>-144170.38113061502</v>
      </c>
      <c r="S11" s="88">
        <f>'Input Data'!$C$93/100/12</f>
        <v>4.5750000000000001E-3</v>
      </c>
      <c r="T11" s="79">
        <f>R10*S11</f>
        <v>-290.53260939152369</v>
      </c>
      <c r="U11" s="113"/>
      <c r="V11" s="10"/>
      <c r="W11" s="309"/>
      <c r="Y11" s="36"/>
      <c r="Z11" s="19"/>
    </row>
    <row r="12" spans="2:27">
      <c r="B12" s="306"/>
      <c r="C12" s="78" t="s">
        <v>110</v>
      </c>
      <c r="E12" s="4"/>
      <c r="F12" s="132" t="str">
        <f>F11</f>
        <v>(No variance in this year)</v>
      </c>
      <c r="G12" s="315"/>
      <c r="H12" t="s">
        <v>6</v>
      </c>
      <c r="I12" s="87">
        <f>'Input Data'!J28</f>
        <v>16291439</v>
      </c>
      <c r="J12" s="138">
        <f t="shared" ref="J12:J13" si="6">J11</f>
        <v>-7.0000000000000001E-3</v>
      </c>
      <c r="K12" s="49">
        <f t="shared" si="0"/>
        <v>-114040.073</v>
      </c>
      <c r="L12" s="86">
        <f>'Input Data'!Z11</f>
        <v>330148.21437</v>
      </c>
      <c r="M12" s="10">
        <f t="shared" si="3"/>
        <v>-165074.107185</v>
      </c>
      <c r="N12" s="10">
        <f t="shared" si="1"/>
        <v>-165074.107185</v>
      </c>
      <c r="O12" s="10"/>
      <c r="P12" s="39">
        <f t="shared" si="4"/>
        <v>-165074.107185</v>
      </c>
      <c r="Q12" s="51">
        <f t="shared" si="5"/>
        <v>-51034.034184999997</v>
      </c>
      <c r="R12" s="10">
        <f t="shared" si="2"/>
        <v>-195204.41531561501</v>
      </c>
      <c r="S12" s="88">
        <f>'Input Data'!$C$94/100/12</f>
        <v>4.333333333333334E-3</v>
      </c>
      <c r="T12" s="79">
        <f t="shared" ref="T12" si="7">R11*S12</f>
        <v>-624.73831823266516</v>
      </c>
      <c r="U12" s="113"/>
      <c r="V12" s="10"/>
      <c r="W12" s="309"/>
      <c r="X12" t="s">
        <v>32</v>
      </c>
      <c r="Z12" s="39">
        <f>Y11+Y10</f>
        <v>-1008236.2337925994</v>
      </c>
      <c r="AA12" t="s">
        <v>106</v>
      </c>
    </row>
    <row r="13" spans="2:27">
      <c r="B13" s="306"/>
      <c r="C13" s="53" t="s">
        <v>147</v>
      </c>
      <c r="E13" s="24">
        <f>SUM(E10:E12)</f>
        <v>1296467.5612999999</v>
      </c>
      <c r="G13" s="315"/>
      <c r="H13" t="s">
        <v>7</v>
      </c>
      <c r="I13" s="87">
        <f>'Input Data'!J29</f>
        <v>15097971</v>
      </c>
      <c r="J13" s="138">
        <f t="shared" si="6"/>
        <v>-7.0000000000000001E-3</v>
      </c>
      <c r="K13" s="49">
        <f t="shared" si="0"/>
        <v>-105685.79700000001</v>
      </c>
      <c r="L13" s="86">
        <f>'Input Data'!Z12</f>
        <v>250813.80869999997</v>
      </c>
      <c r="M13" s="10">
        <f t="shared" si="3"/>
        <v>-125406.90434999998</v>
      </c>
      <c r="N13" s="10">
        <f t="shared" si="1"/>
        <v>-125406.90434999998</v>
      </c>
      <c r="O13" s="10"/>
      <c r="P13" s="39">
        <f t="shared" si="4"/>
        <v>-125406.90434999998</v>
      </c>
      <c r="Q13" s="51">
        <f t="shared" si="5"/>
        <v>-19721.107349999977</v>
      </c>
      <c r="R13" s="10">
        <f t="shared" si="2"/>
        <v>-214925.52266561499</v>
      </c>
      <c r="S13" s="88">
        <f>'Input Data'!$C$94/100/12</f>
        <v>4.333333333333334E-3</v>
      </c>
      <c r="T13" s="79">
        <f>R12*S13</f>
        <v>-845.88579970099852</v>
      </c>
      <c r="U13" s="113"/>
      <c r="V13" s="10"/>
      <c r="W13" s="309"/>
      <c r="X13" t="s">
        <v>33</v>
      </c>
      <c r="Z13" s="56">
        <f>K18</f>
        <v>-828585.48499999999</v>
      </c>
      <c r="AA13" t="s">
        <v>148</v>
      </c>
    </row>
    <row r="14" spans="2:27">
      <c r="B14" s="306"/>
      <c r="C14" s="78"/>
      <c r="G14" s="315"/>
      <c r="H14" t="s">
        <v>8</v>
      </c>
      <c r="I14" s="87">
        <f>'Input Data'!J30</f>
        <v>13424902</v>
      </c>
      <c r="J14" s="138">
        <f>J13</f>
        <v>-7.0000000000000001E-3</v>
      </c>
      <c r="K14" s="49">
        <f t="shared" si="0"/>
        <v>-93974.313999999998</v>
      </c>
      <c r="L14" s="86">
        <f>'Input Data'!Z13</f>
        <v>392933.87840000005</v>
      </c>
      <c r="M14" s="10">
        <f t="shared" si="3"/>
        <v>-196466.93920000002</v>
      </c>
      <c r="N14" s="10">
        <f t="shared" si="1"/>
        <v>-196466.93920000002</v>
      </c>
      <c r="O14" s="10"/>
      <c r="P14" s="39">
        <f t="shared" si="4"/>
        <v>-196466.93920000002</v>
      </c>
      <c r="Q14" s="51">
        <f t="shared" si="5"/>
        <v>-102492.62520000002</v>
      </c>
      <c r="R14" s="10">
        <f t="shared" si="2"/>
        <v>-317418.14786561503</v>
      </c>
      <c r="S14" s="88">
        <f>'Input Data'!$C$94/100/12</f>
        <v>4.333333333333334E-3</v>
      </c>
      <c r="T14" s="79">
        <f t="shared" ref="T14:T17" si="8">R13*S14</f>
        <v>-931.34393155099838</v>
      </c>
      <c r="U14" s="113"/>
      <c r="V14" s="10"/>
      <c r="W14" s="309"/>
      <c r="X14" t="s">
        <v>18</v>
      </c>
      <c r="Z14" s="69">
        <f>Z12-Z13</f>
        <v>-179650.74879259942</v>
      </c>
      <c r="AA14" t="s">
        <v>254</v>
      </c>
    </row>
    <row r="15" spans="2:27">
      <c r="B15" s="306"/>
      <c r="C15" s="78" t="s">
        <v>108</v>
      </c>
      <c r="D15" s="90">
        <f>'Input Data'!H38</f>
        <v>185090366</v>
      </c>
      <c r="F15" s="132" t="s">
        <v>88</v>
      </c>
      <c r="G15" s="315"/>
      <c r="H15" t="s">
        <v>9</v>
      </c>
      <c r="I15" s="87">
        <f>'Input Data'!J31</f>
        <v>13403433</v>
      </c>
      <c r="J15" s="138">
        <f>J14</f>
        <v>-7.0000000000000001E-3</v>
      </c>
      <c r="K15" s="49">
        <f t="shared" si="0"/>
        <v>-93824.031000000003</v>
      </c>
      <c r="L15" s="86">
        <f>'Input Data'!Z14</f>
        <v>230181.02018791999</v>
      </c>
      <c r="M15" s="10">
        <f t="shared" si="3"/>
        <v>-115090.51009395999</v>
      </c>
      <c r="N15" s="10">
        <f t="shared" si="1"/>
        <v>-115090.51009395999</v>
      </c>
      <c r="O15" s="10"/>
      <c r="P15" s="39">
        <f t="shared" si="4"/>
        <v>-115090.51009395999</v>
      </c>
      <c r="Q15" s="51">
        <f t="shared" si="5"/>
        <v>-21266.479093959992</v>
      </c>
      <c r="R15" s="10">
        <f t="shared" si="2"/>
        <v>-338684.62695957499</v>
      </c>
      <c r="S15" s="88">
        <f>'Input Data'!$C$95/100/12</f>
        <v>3.666666666666667E-3</v>
      </c>
      <c r="T15" s="79">
        <f t="shared" si="8"/>
        <v>-1163.866542173922</v>
      </c>
      <c r="U15" s="113"/>
      <c r="V15" s="10"/>
      <c r="W15" s="309"/>
      <c r="X15" t="s">
        <v>34</v>
      </c>
      <c r="Z15" s="39">
        <f>T18+U31</f>
        <v>-11777.804729643409</v>
      </c>
      <c r="AA15" t="s">
        <v>255</v>
      </c>
    </row>
    <row r="16" spans="2:27">
      <c r="B16" s="306"/>
      <c r="C16" s="53"/>
      <c r="D16" s="4"/>
      <c r="G16" s="315"/>
      <c r="H16" t="s">
        <v>10</v>
      </c>
      <c r="I16" s="87">
        <f>'Input Data'!J32</f>
        <v>14249902</v>
      </c>
      <c r="J16" s="138">
        <f>J15</f>
        <v>-7.0000000000000001E-3</v>
      </c>
      <c r="K16" s="49">
        <f t="shared" si="0"/>
        <v>-99749.313999999998</v>
      </c>
      <c r="L16" s="86">
        <f>'Input Data'!Z15</f>
        <v>73918.158809040004</v>
      </c>
      <c r="M16" s="10">
        <f t="shared" si="3"/>
        <v>-36959.079404520002</v>
      </c>
      <c r="N16" s="10">
        <f t="shared" si="1"/>
        <v>-36959.079404520002</v>
      </c>
      <c r="O16" s="10"/>
      <c r="P16" s="39">
        <f t="shared" si="4"/>
        <v>-36959.079404520002</v>
      </c>
      <c r="Q16" s="51">
        <f t="shared" si="5"/>
        <v>62790.234595479997</v>
      </c>
      <c r="R16" s="10">
        <f t="shared" si="2"/>
        <v>-275894.39236409497</v>
      </c>
      <c r="S16" s="88">
        <f>'Input Data'!$C$95/100/12</f>
        <v>3.666666666666667E-3</v>
      </c>
      <c r="T16" s="79">
        <f t="shared" si="8"/>
        <v>-1241.8436321851084</v>
      </c>
      <c r="U16" s="113"/>
      <c r="V16" s="10"/>
      <c r="W16" s="310"/>
      <c r="X16" s="21"/>
      <c r="Y16" s="21"/>
      <c r="Z16" s="22"/>
    </row>
    <row r="17" spans="1:27">
      <c r="B17" s="306"/>
      <c r="C17" s="53" t="s">
        <v>150</v>
      </c>
      <c r="E17" s="23">
        <f>ROUND(-E13/D15,4)</f>
        <v>-7.0000000000000001E-3</v>
      </c>
      <c r="G17" s="315"/>
      <c r="H17" t="s">
        <v>11</v>
      </c>
      <c r="I17" s="87">
        <f>'Input Data'!J33</f>
        <v>18074305</v>
      </c>
      <c r="J17" s="138">
        <f>J16</f>
        <v>-7.0000000000000001E-3</v>
      </c>
      <c r="K17" s="49">
        <f t="shared" si="0"/>
        <v>-126520.13500000001</v>
      </c>
      <c r="L17" s="86">
        <f>'Input Data'!Z16</f>
        <v>60552.982857008996</v>
      </c>
      <c r="M17" s="10">
        <f t="shared" si="3"/>
        <v>-30276.491428504498</v>
      </c>
      <c r="N17" s="10">
        <f t="shared" si="1"/>
        <v>-30276.491428504498</v>
      </c>
      <c r="O17" s="10"/>
      <c r="P17" s="39">
        <f t="shared" si="4"/>
        <v>-30276.491428504498</v>
      </c>
      <c r="Q17" s="51">
        <f t="shared" si="5"/>
        <v>96243.643571495515</v>
      </c>
      <c r="R17" s="10">
        <f t="shared" si="2"/>
        <v>-179650.74879259945</v>
      </c>
      <c r="S17" s="88">
        <f>'Input Data'!$C$95/100/12</f>
        <v>3.666666666666667E-3</v>
      </c>
      <c r="T17" s="79">
        <f t="shared" si="8"/>
        <v>-1011.6127720016816</v>
      </c>
      <c r="U17" s="113"/>
      <c r="V17" s="10"/>
    </row>
    <row r="18" spans="1:27" ht="15.75" thickBot="1">
      <c r="B18" s="307"/>
      <c r="G18" s="316"/>
      <c r="H18" s="93" t="s">
        <v>14</v>
      </c>
      <c r="I18" s="92">
        <f>SUM(I6:I17)</f>
        <v>118369355</v>
      </c>
      <c r="J18" s="93"/>
      <c r="K18" s="94">
        <f t="shared" ref="K18:Q18" si="9">SUM(K6:K17)</f>
        <v>-828585.48499999999</v>
      </c>
      <c r="L18" s="95">
        <f t="shared" si="9"/>
        <v>2016472.4675851988</v>
      </c>
      <c r="M18" s="96">
        <f t="shared" si="9"/>
        <v>-1008236.2337925994</v>
      </c>
      <c r="N18" s="96">
        <f t="shared" si="9"/>
        <v>-1008236.2337925994</v>
      </c>
      <c r="O18" s="96">
        <f t="shared" si="9"/>
        <v>0</v>
      </c>
      <c r="P18" s="94">
        <f t="shared" si="9"/>
        <v>-1008236.2337925994</v>
      </c>
      <c r="Q18" s="95">
        <f t="shared" si="9"/>
        <v>-179650.74879259945</v>
      </c>
      <c r="R18" s="97"/>
      <c r="S18" s="93"/>
      <c r="T18" s="96">
        <f>SUM(T6:T17)</f>
        <v>-6109.8236052368975</v>
      </c>
      <c r="U18" s="135"/>
      <c r="V18" s="11"/>
    </row>
    <row r="19" spans="1:27">
      <c r="B19" s="305" t="s">
        <v>207</v>
      </c>
      <c r="C19" s="108"/>
      <c r="D19" s="108"/>
      <c r="E19" s="108"/>
      <c r="F19" s="134"/>
      <c r="G19" s="317" t="s">
        <v>262</v>
      </c>
      <c r="H19" s="204" t="s">
        <v>0</v>
      </c>
      <c r="I19" s="215">
        <f>'Input Data'!K22</f>
        <v>19192080</v>
      </c>
      <c r="J19" s="216">
        <f>J17</f>
        <v>-7.0000000000000001E-3</v>
      </c>
      <c r="K19" s="217">
        <f t="shared" ref="K19:K30" si="10">I19*J19</f>
        <v>-134344.56</v>
      </c>
      <c r="L19" s="218">
        <f>'Input Data'!AC5</f>
        <v>50747.070498180001</v>
      </c>
      <c r="M19" s="206">
        <f t="shared" ref="M19:M30" si="11">-L19/2</f>
        <v>-25373.53524909</v>
      </c>
      <c r="N19" s="206">
        <f t="shared" ref="N19:N30" si="12">-L19/2</f>
        <v>-25373.53524909</v>
      </c>
      <c r="O19" s="206"/>
      <c r="P19" s="205">
        <f t="shared" ref="P19:P21" si="13">N19+O19</f>
        <v>-25373.53524909</v>
      </c>
      <c r="Q19" s="219">
        <f t="shared" ref="Q19:Q30" si="14">P19-K19</f>
        <v>108971.02475091</v>
      </c>
      <c r="R19" s="206">
        <f>Q19</f>
        <v>108971.02475091</v>
      </c>
      <c r="S19" s="199">
        <f>'Input Data'!$C$96/100/12</f>
        <v>3.0333333333333336E-3</v>
      </c>
      <c r="T19" s="220"/>
      <c r="U19" s="275">
        <f>$Q$18*S19</f>
        <v>-544.94060467088502</v>
      </c>
      <c r="V19" s="198"/>
      <c r="W19" s="200"/>
      <c r="X19" s="201" t="s">
        <v>238</v>
      </c>
      <c r="Y19" s="200"/>
      <c r="Z19" s="200"/>
      <c r="AA19" s="200"/>
    </row>
    <row r="20" spans="1:27" ht="14.45" customHeight="1">
      <c r="B20" s="306"/>
      <c r="C20" s="78" t="s">
        <v>81</v>
      </c>
      <c r="D20" s="90">
        <f>'Input Data'!U55</f>
        <v>37710876.140000001</v>
      </c>
      <c r="F20" s="132" t="s">
        <v>124</v>
      </c>
      <c r="G20" s="318"/>
      <c r="H20" s="204" t="s">
        <v>1</v>
      </c>
      <c r="I20" s="215">
        <f>'Input Data'!K23</f>
        <v>17602645</v>
      </c>
      <c r="J20" s="216">
        <f>J19</f>
        <v>-7.0000000000000001E-3</v>
      </c>
      <c r="K20" s="217">
        <f t="shared" si="10"/>
        <v>-123218.515</v>
      </c>
      <c r="L20" s="218">
        <f>'Input Data'!AC6</f>
        <v>2406.2231999999999</v>
      </c>
      <c r="M20" s="206">
        <f t="shared" si="11"/>
        <v>-1203.1116</v>
      </c>
      <c r="N20" s="206">
        <f t="shared" si="12"/>
        <v>-1203.1116</v>
      </c>
      <c r="O20" s="206"/>
      <c r="P20" s="205">
        <f>N20+O20</f>
        <v>-1203.1116</v>
      </c>
      <c r="Q20" s="219">
        <f t="shared" si="14"/>
        <v>122015.4034</v>
      </c>
      <c r="R20" s="206">
        <f t="shared" ref="R20:R30" si="15">Q20+R19</f>
        <v>230986.42815091001</v>
      </c>
      <c r="S20" s="199">
        <f>'Input Data'!$C$96/100/12</f>
        <v>3.0333333333333336E-3</v>
      </c>
      <c r="T20" s="220">
        <f>R19*S20</f>
        <v>330.54544174442702</v>
      </c>
      <c r="U20" s="275">
        <f t="shared" ref="U20:U30" si="16">$Q$18*S20</f>
        <v>-544.94060467088502</v>
      </c>
      <c r="V20" s="198"/>
      <c r="W20" s="311" t="s">
        <v>231</v>
      </c>
      <c r="X20" s="202"/>
      <c r="Y20" s="202"/>
      <c r="Z20" s="203"/>
      <c r="AA20" s="204"/>
    </row>
    <row r="21" spans="1:27">
      <c r="B21" s="306"/>
      <c r="C21" s="78" t="s">
        <v>107</v>
      </c>
      <c r="D21" s="89">
        <f>'Input Data'!C65/1000</f>
        <v>6.6640000000000005E-2</v>
      </c>
      <c r="F21" s="132" t="s">
        <v>251</v>
      </c>
      <c r="G21" s="318"/>
      <c r="H21" s="204" t="s">
        <v>2</v>
      </c>
      <c r="I21" s="215">
        <f>'Input Data'!K24</f>
        <v>16662539</v>
      </c>
      <c r="J21" s="216">
        <f>J20</f>
        <v>-7.0000000000000001E-3</v>
      </c>
      <c r="K21" s="217">
        <f t="shared" si="10"/>
        <v>-116637.773</v>
      </c>
      <c r="L21" s="218">
        <f>'Input Data'!AC7</f>
        <v>191148.03993600002</v>
      </c>
      <c r="M21" s="206">
        <f t="shared" si="11"/>
        <v>-95574.019968000008</v>
      </c>
      <c r="N21" s="206">
        <f t="shared" si="12"/>
        <v>-95574.019968000008</v>
      </c>
      <c r="O21" s="206"/>
      <c r="P21" s="205">
        <f t="shared" si="13"/>
        <v>-95574.019968000008</v>
      </c>
      <c r="Q21" s="219">
        <f>P21-K21</f>
        <v>21063.753031999993</v>
      </c>
      <c r="R21" s="206">
        <f t="shared" si="15"/>
        <v>252050.18118290999</v>
      </c>
      <c r="S21" s="199">
        <f>'Input Data'!$C$96/100/12</f>
        <v>3.0333333333333336E-3</v>
      </c>
      <c r="T21" s="220">
        <f t="shared" ref="T21:T30" si="17">R20*S21</f>
        <v>700.65883205776038</v>
      </c>
      <c r="U21" s="275">
        <f t="shared" si="16"/>
        <v>-544.94060467088502</v>
      </c>
      <c r="V21" s="198"/>
      <c r="W21" s="312"/>
      <c r="X21" s="204" t="s">
        <v>15</v>
      </c>
      <c r="Y21" s="204"/>
      <c r="Z21" s="205">
        <f>L31</f>
        <v>1619494.6824524801</v>
      </c>
      <c r="AA21" s="204" t="s">
        <v>104</v>
      </c>
    </row>
    <row r="22" spans="1:27">
      <c r="B22" s="306"/>
      <c r="C22" s="78" t="s">
        <v>120</v>
      </c>
      <c r="D22" s="4">
        <f>D20*D21</f>
        <v>2513052.7859696001</v>
      </c>
      <c r="G22" s="318"/>
      <c r="H22" s="204" t="s">
        <v>3</v>
      </c>
      <c r="I22" s="215">
        <f>'Input Data'!K25</f>
        <v>14159976</v>
      </c>
      <c r="J22" s="216">
        <f>J21</f>
        <v>-7.0000000000000001E-3</v>
      </c>
      <c r="K22" s="217">
        <f t="shared" si="10"/>
        <v>-99119.831999999995</v>
      </c>
      <c r="L22" s="218">
        <f>'Input Data'!AC8</f>
        <v>301893.57912600006</v>
      </c>
      <c r="M22" s="206">
        <f t="shared" si="11"/>
        <v>-150946.78956300003</v>
      </c>
      <c r="N22" s="206">
        <f t="shared" si="12"/>
        <v>-150946.78956300003</v>
      </c>
      <c r="O22" s="206"/>
      <c r="P22" s="205">
        <f t="shared" ref="P22:P30" si="18">N22+O22</f>
        <v>-150946.78956300003</v>
      </c>
      <c r="Q22" s="219">
        <f t="shared" si="14"/>
        <v>-51826.957563000033</v>
      </c>
      <c r="R22" s="206">
        <f t="shared" si="15"/>
        <v>200223.22361990996</v>
      </c>
      <c r="S22" s="199">
        <f>'Input Data'!$C$97/100/12</f>
        <v>2.6333333333333334E-3</v>
      </c>
      <c r="T22" s="220">
        <f t="shared" si="17"/>
        <v>663.73214378166301</v>
      </c>
      <c r="U22" s="275">
        <f t="shared" si="16"/>
        <v>-473.08030515384525</v>
      </c>
      <c r="V22" s="198"/>
      <c r="W22" s="312"/>
      <c r="X22" s="204" t="s">
        <v>92</v>
      </c>
      <c r="Y22" s="204"/>
      <c r="Z22" s="205">
        <f>M31</f>
        <v>-809747.34122624004</v>
      </c>
      <c r="AA22" s="204" t="s">
        <v>31</v>
      </c>
    </row>
    <row r="23" spans="1:27">
      <c r="B23" s="306"/>
      <c r="C23" s="78" t="s">
        <v>121</v>
      </c>
      <c r="E23" s="4">
        <f>D22/2</f>
        <v>1256526.3929848</v>
      </c>
      <c r="F23" s="132" t="s">
        <v>132</v>
      </c>
      <c r="G23" s="318"/>
      <c r="H23" s="204" t="s">
        <v>4</v>
      </c>
      <c r="I23" s="215">
        <f>'Input Data'!K26</f>
        <v>12923705</v>
      </c>
      <c r="J23" s="216">
        <f>E30</f>
        <v>-1.0699999999999999E-2</v>
      </c>
      <c r="K23" s="217">
        <f>I23*J23</f>
        <v>-138283.64350000001</v>
      </c>
      <c r="L23" s="218">
        <f>'Input Data'!AC9</f>
        <v>706955.80550130003</v>
      </c>
      <c r="M23" s="206">
        <f t="shared" si="11"/>
        <v>-353477.90275065001</v>
      </c>
      <c r="N23" s="206">
        <f t="shared" si="12"/>
        <v>-353477.90275065001</v>
      </c>
      <c r="O23" s="206">
        <f>IF(I23=0,0,-($E$24+$E$25+$E$26)/12)</f>
        <v>-56369.661682821061</v>
      </c>
      <c r="P23" s="205">
        <f>N23+O23</f>
        <v>-409847.56443347107</v>
      </c>
      <c r="Q23" s="219">
        <f>P23-K23</f>
        <v>-271563.92093347106</v>
      </c>
      <c r="R23" s="206">
        <f t="shared" si="15"/>
        <v>-71340.697313561104</v>
      </c>
      <c r="S23" s="199">
        <f>'Input Data'!$C$97/100/12</f>
        <v>2.6333333333333334E-3</v>
      </c>
      <c r="T23" s="220">
        <f t="shared" si="17"/>
        <v>527.25448886576294</v>
      </c>
      <c r="U23" s="275">
        <f t="shared" si="16"/>
        <v>-473.08030515384525</v>
      </c>
      <c r="V23" s="198"/>
      <c r="W23" s="312"/>
      <c r="X23" s="204" t="s">
        <v>67</v>
      </c>
      <c r="Y23" s="206">
        <f>N31</f>
        <v>-809747.34122624004</v>
      </c>
      <c r="Z23" s="207"/>
      <c r="AA23" s="204" t="s">
        <v>105</v>
      </c>
    </row>
    <row r="24" spans="1:27">
      <c r="A24" s="154"/>
      <c r="B24" s="306"/>
      <c r="C24" s="78" t="s">
        <v>109</v>
      </c>
      <c r="E24" s="4"/>
      <c r="F24" s="132" t="s">
        <v>134</v>
      </c>
      <c r="G24" s="318"/>
      <c r="H24" s="204" t="s">
        <v>5</v>
      </c>
      <c r="I24" s="215">
        <f>'Input Data'!K27</f>
        <v>14558252</v>
      </c>
      <c r="J24" s="216">
        <f>J23</f>
        <v>-1.0699999999999999E-2</v>
      </c>
      <c r="K24" s="217">
        <f t="shared" si="10"/>
        <v>-155773.29639999999</v>
      </c>
      <c r="L24" s="218">
        <f>'Input Data'!AC10</f>
        <v>206912.64841600001</v>
      </c>
      <c r="M24" s="206">
        <f t="shared" si="11"/>
        <v>-103456.32420800001</v>
      </c>
      <c r="N24" s="206">
        <f t="shared" si="12"/>
        <v>-103456.32420800001</v>
      </c>
      <c r="O24" s="206">
        <f t="shared" ref="O24:O26" si="19">IF(I24=0,0,-($E$24+$E$25+$E$26)/12)</f>
        <v>-56369.661682821061</v>
      </c>
      <c r="P24" s="205">
        <f t="shared" si="18"/>
        <v>-159825.98589082106</v>
      </c>
      <c r="Q24" s="219">
        <f t="shared" si="14"/>
        <v>-4052.689490821067</v>
      </c>
      <c r="R24" s="206">
        <f t="shared" si="15"/>
        <v>-75393.386804382171</v>
      </c>
      <c r="S24" s="199">
        <f>'Input Data'!$C$97/100/12</f>
        <v>2.6333333333333334E-3</v>
      </c>
      <c r="T24" s="220">
        <f t="shared" si="17"/>
        <v>-187.86383625904426</v>
      </c>
      <c r="U24" s="275">
        <f t="shared" si="16"/>
        <v>-473.08030515384525</v>
      </c>
      <c r="V24" s="198"/>
      <c r="W24" s="312"/>
      <c r="X24" s="204" t="s">
        <v>242</v>
      </c>
      <c r="Y24" s="208">
        <f>O31</f>
        <v>-112739.32336564212</v>
      </c>
      <c r="Z24" s="207"/>
      <c r="AA24" s="204" t="s">
        <v>243</v>
      </c>
    </row>
    <row r="25" spans="1:27">
      <c r="B25" s="306"/>
      <c r="C25" s="78" t="s">
        <v>110</v>
      </c>
      <c r="E25" s="4"/>
      <c r="F25" s="132" t="str">
        <f>F24</f>
        <v>(No variance in this year)</v>
      </c>
      <c r="G25" s="318"/>
      <c r="H25" s="204" t="s">
        <v>6</v>
      </c>
      <c r="I25" s="215">
        <f>'Input Data'!K28</f>
        <v>0</v>
      </c>
      <c r="J25" s="216">
        <f t="shared" ref="J25:J30" si="20">J24</f>
        <v>-1.0699999999999999E-2</v>
      </c>
      <c r="K25" s="217">
        <f t="shared" si="10"/>
        <v>0</v>
      </c>
      <c r="L25" s="218">
        <f>'Input Data'!AC11</f>
        <v>79628.606495</v>
      </c>
      <c r="M25" s="206">
        <f t="shared" si="11"/>
        <v>-39814.3032475</v>
      </c>
      <c r="N25" s="206">
        <f t="shared" si="12"/>
        <v>-39814.3032475</v>
      </c>
      <c r="O25" s="206">
        <f t="shared" si="19"/>
        <v>0</v>
      </c>
      <c r="P25" s="205">
        <f t="shared" si="18"/>
        <v>-39814.3032475</v>
      </c>
      <c r="Q25" s="219">
        <f t="shared" si="14"/>
        <v>-39814.3032475</v>
      </c>
      <c r="R25" s="206">
        <f t="shared" si="15"/>
        <v>-115207.69005188218</v>
      </c>
      <c r="S25" s="199">
        <f>'Input Data'!$C$98/100/12</f>
        <v>2.4250000000000001E-3</v>
      </c>
      <c r="T25" s="220">
        <f t="shared" si="17"/>
        <v>-182.82896300062677</v>
      </c>
      <c r="U25" s="275">
        <f t="shared" si="16"/>
        <v>-435.65306582205369</v>
      </c>
      <c r="V25" s="198"/>
      <c r="W25" s="312"/>
      <c r="X25" s="204" t="s">
        <v>32</v>
      </c>
      <c r="Y25" s="204"/>
      <c r="Z25" s="205">
        <f>Y24+Y23</f>
        <v>-922486.66459188215</v>
      </c>
      <c r="AA25" s="204" t="s">
        <v>106</v>
      </c>
    </row>
    <row r="26" spans="1:27">
      <c r="B26" s="306"/>
      <c r="C26" s="78" t="s">
        <v>208</v>
      </c>
      <c r="E26" s="79">
        <f>IF(D21=0,0,-'2023-24 Overcollection'!O9-'2023-24 Overcollection'!O10)</f>
        <v>676435.94019385276</v>
      </c>
      <c r="F26" s="132" t="s">
        <v>249</v>
      </c>
      <c r="G26" s="318"/>
      <c r="H26" s="204" t="s">
        <v>7</v>
      </c>
      <c r="I26" s="215">
        <f>'Input Data'!K29</f>
        <v>0</v>
      </c>
      <c r="J26" s="216">
        <f t="shared" si="20"/>
        <v>-1.0699999999999999E-2</v>
      </c>
      <c r="K26" s="217">
        <f t="shared" si="10"/>
        <v>0</v>
      </c>
      <c r="L26" s="218">
        <f>'Input Data'!AC12</f>
        <v>79802.709279999995</v>
      </c>
      <c r="M26" s="206">
        <f t="shared" si="11"/>
        <v>-39901.354639999998</v>
      </c>
      <c r="N26" s="206">
        <f t="shared" si="12"/>
        <v>-39901.354639999998</v>
      </c>
      <c r="O26" s="206">
        <f t="shared" si="19"/>
        <v>0</v>
      </c>
      <c r="P26" s="205">
        <f t="shared" si="18"/>
        <v>-39901.354639999998</v>
      </c>
      <c r="Q26" s="219">
        <f t="shared" si="14"/>
        <v>-39901.354639999998</v>
      </c>
      <c r="R26" s="206">
        <f t="shared" si="15"/>
        <v>-155109.04469188218</v>
      </c>
      <c r="S26" s="199">
        <f>'Input Data'!$C$98/100/12</f>
        <v>2.4250000000000001E-3</v>
      </c>
      <c r="T26" s="220">
        <f>R25*S26</f>
        <v>-279.37864837581429</v>
      </c>
      <c r="U26" s="275">
        <f t="shared" si="16"/>
        <v>-435.65306582205369</v>
      </c>
      <c r="V26" s="198"/>
      <c r="W26" s="312"/>
      <c r="X26" s="204" t="s">
        <v>33</v>
      </c>
      <c r="Y26" s="204"/>
      <c r="Z26" s="209">
        <f>K31</f>
        <v>-767377.61989999993</v>
      </c>
      <c r="AA26" s="204" t="s">
        <v>148</v>
      </c>
    </row>
    <row r="27" spans="1:27">
      <c r="B27" s="306"/>
      <c r="C27" s="53" t="s">
        <v>147</v>
      </c>
      <c r="E27" s="24">
        <f>SUM(E23:E26)</f>
        <v>1932962.3331786529</v>
      </c>
      <c r="G27" s="318"/>
      <c r="H27" s="204" t="s">
        <v>8</v>
      </c>
      <c r="I27" s="215">
        <f>'Input Data'!K30</f>
        <v>0</v>
      </c>
      <c r="J27" s="216">
        <f t="shared" si="20"/>
        <v>-1.0699999999999999E-2</v>
      </c>
      <c r="K27" s="217">
        <f t="shared" si="10"/>
        <v>0</v>
      </c>
      <c r="L27" s="218">
        <f>'Input Data'!AC13</f>
        <v>0</v>
      </c>
      <c r="M27" s="206">
        <f t="shared" si="11"/>
        <v>0</v>
      </c>
      <c r="N27" s="206">
        <f t="shared" si="12"/>
        <v>0</v>
      </c>
      <c r="O27" s="206">
        <f t="shared" ref="O27:O29" si="21">IF(I27=0,0,-($E$24+$E$25+$E$26)/12)</f>
        <v>0</v>
      </c>
      <c r="P27" s="205">
        <f t="shared" si="18"/>
        <v>0</v>
      </c>
      <c r="Q27" s="219">
        <f t="shared" si="14"/>
        <v>0</v>
      </c>
      <c r="R27" s="206">
        <f t="shared" si="15"/>
        <v>-155109.04469188218</v>
      </c>
      <c r="S27" s="199">
        <f>'Input Data'!$C$98/100/12</f>
        <v>2.4250000000000001E-3</v>
      </c>
      <c r="T27" s="220">
        <f t="shared" si="17"/>
        <v>-376.13943337781433</v>
      </c>
      <c r="U27" s="275">
        <f t="shared" si="16"/>
        <v>-435.65306582205369</v>
      </c>
      <c r="V27" s="198"/>
      <c r="W27" s="312"/>
      <c r="X27" s="204" t="s">
        <v>18</v>
      </c>
      <c r="Y27" s="204"/>
      <c r="Z27" s="210">
        <f>Z25-Z26</f>
        <v>-155109.04469188221</v>
      </c>
      <c r="AA27" s="204" t="s">
        <v>256</v>
      </c>
    </row>
    <row r="28" spans="1:27">
      <c r="B28" s="306"/>
      <c r="C28" s="18"/>
      <c r="G28" s="318"/>
      <c r="H28" s="204" t="s">
        <v>9</v>
      </c>
      <c r="I28" s="215">
        <f>'Input Data'!K31</f>
        <v>0</v>
      </c>
      <c r="J28" s="216">
        <f t="shared" si="20"/>
        <v>-1.0699999999999999E-2</v>
      </c>
      <c r="K28" s="217">
        <f t="shared" si="10"/>
        <v>0</v>
      </c>
      <c r="L28" s="218">
        <f>'Input Data'!AC14</f>
        <v>0</v>
      </c>
      <c r="M28" s="206">
        <f t="shared" si="11"/>
        <v>0</v>
      </c>
      <c r="N28" s="206">
        <f t="shared" si="12"/>
        <v>0</v>
      </c>
      <c r="O28" s="206">
        <f t="shared" si="21"/>
        <v>0</v>
      </c>
      <c r="P28" s="205">
        <f t="shared" si="18"/>
        <v>0</v>
      </c>
      <c r="Q28" s="219">
        <f t="shared" si="14"/>
        <v>0</v>
      </c>
      <c r="R28" s="206">
        <f t="shared" si="15"/>
        <v>-155109.04469188218</v>
      </c>
      <c r="S28" s="199">
        <f>'Input Data'!$C$99/100/12</f>
        <v>2.4250000000000001E-3</v>
      </c>
      <c r="T28" s="220">
        <f t="shared" si="17"/>
        <v>-376.13943337781433</v>
      </c>
      <c r="U28" s="275">
        <f t="shared" si="16"/>
        <v>-435.65306582205369</v>
      </c>
      <c r="V28" s="198"/>
      <c r="W28" s="312"/>
      <c r="X28" s="204" t="s">
        <v>34</v>
      </c>
      <c r="Y28" s="204"/>
      <c r="Z28" s="205">
        <f>T31+U44</f>
        <v>67.561725302870741</v>
      </c>
      <c r="AA28" s="204" t="s">
        <v>257</v>
      </c>
    </row>
    <row r="29" spans="1:27">
      <c r="B29" s="306"/>
      <c r="C29" s="18" t="s">
        <v>108</v>
      </c>
      <c r="D29" s="90">
        <f>'Input Data'!I38</f>
        <v>180529178</v>
      </c>
      <c r="F29" s="132" t="s">
        <v>89</v>
      </c>
      <c r="G29" s="318"/>
      <c r="H29" s="204" t="s">
        <v>10</v>
      </c>
      <c r="I29" s="215">
        <f>'Input Data'!K32</f>
        <v>0</v>
      </c>
      <c r="J29" s="216">
        <f t="shared" si="20"/>
        <v>-1.0699999999999999E-2</v>
      </c>
      <c r="K29" s="217">
        <f t="shared" si="10"/>
        <v>0</v>
      </c>
      <c r="L29" s="218">
        <f>'Input Data'!AC15</f>
        <v>0</v>
      </c>
      <c r="M29" s="206">
        <f t="shared" si="11"/>
        <v>0</v>
      </c>
      <c r="N29" s="206">
        <f t="shared" si="12"/>
        <v>0</v>
      </c>
      <c r="O29" s="206">
        <f t="shared" si="21"/>
        <v>0</v>
      </c>
      <c r="P29" s="205">
        <f t="shared" si="18"/>
        <v>0</v>
      </c>
      <c r="Q29" s="219">
        <f t="shared" si="14"/>
        <v>0</v>
      </c>
      <c r="R29" s="206">
        <f t="shared" si="15"/>
        <v>-155109.04469188218</v>
      </c>
      <c r="S29" s="199">
        <f>'Input Data'!$C$99/100/12</f>
        <v>2.4250000000000001E-3</v>
      </c>
      <c r="T29" s="220">
        <f t="shared" si="17"/>
        <v>-376.13943337781433</v>
      </c>
      <c r="U29" s="275">
        <f t="shared" si="16"/>
        <v>-435.65306582205369</v>
      </c>
      <c r="V29" s="198"/>
      <c r="W29" s="313"/>
      <c r="X29" s="211"/>
      <c r="Y29" s="211"/>
      <c r="Z29" s="212"/>
      <c r="AA29" s="204"/>
    </row>
    <row r="30" spans="1:27">
      <c r="B30" s="306"/>
      <c r="C30" s="53" t="s">
        <v>151</v>
      </c>
      <c r="E30" s="23">
        <f>IFERROR(ROUND(-E27/D29,4),0)</f>
        <v>-1.0699999999999999E-2</v>
      </c>
      <c r="G30" s="318"/>
      <c r="H30" s="204" t="s">
        <v>11</v>
      </c>
      <c r="I30" s="215">
        <f>'Input Data'!K33</f>
        <v>0</v>
      </c>
      <c r="J30" s="216">
        <f t="shared" si="20"/>
        <v>-1.0699999999999999E-2</v>
      </c>
      <c r="K30" s="217">
        <f t="shared" si="10"/>
        <v>0</v>
      </c>
      <c r="L30" s="218">
        <f>'Input Data'!AC16</f>
        <v>0</v>
      </c>
      <c r="M30" s="206">
        <f t="shared" si="11"/>
        <v>0</v>
      </c>
      <c r="N30" s="206">
        <f t="shared" si="12"/>
        <v>0</v>
      </c>
      <c r="O30" s="206">
        <f>IF(I30=0,0,-($E$24+$E$25+$E$26)/12)</f>
        <v>0</v>
      </c>
      <c r="P30" s="205">
        <f t="shared" si="18"/>
        <v>0</v>
      </c>
      <c r="Q30" s="219">
        <f t="shared" si="14"/>
        <v>0</v>
      </c>
      <c r="R30" s="206">
        <f t="shared" si="15"/>
        <v>-155109.04469188218</v>
      </c>
      <c r="S30" s="199">
        <f>'Input Data'!$C$99/100/12</f>
        <v>2.4250000000000001E-3</v>
      </c>
      <c r="T30" s="220">
        <f t="shared" si="17"/>
        <v>-376.13943337781433</v>
      </c>
      <c r="U30" s="275">
        <f t="shared" si="16"/>
        <v>-435.65306582205369</v>
      </c>
      <c r="V30" s="198"/>
      <c r="W30" s="204"/>
      <c r="X30" s="204"/>
      <c r="Y30" s="204"/>
      <c r="Z30" s="204"/>
      <c r="AA30" s="204"/>
    </row>
    <row r="31" spans="1:27" ht="15.75" thickBot="1">
      <c r="B31" s="307"/>
      <c r="C31" s="109"/>
      <c r="D31" s="109"/>
      <c r="E31" s="109"/>
      <c r="F31" s="133"/>
      <c r="G31" s="319"/>
      <c r="H31" s="222" t="s">
        <v>14</v>
      </c>
      <c r="I31" s="223">
        <f>SUM(I19:I30)</f>
        <v>95099197</v>
      </c>
      <c r="J31" s="222"/>
      <c r="K31" s="224">
        <f t="shared" ref="K31:P31" si="22">SUM(K19:K30)</f>
        <v>-767377.61989999993</v>
      </c>
      <c r="L31" s="225">
        <f t="shared" si="22"/>
        <v>1619494.6824524801</v>
      </c>
      <c r="M31" s="226">
        <f t="shared" si="22"/>
        <v>-809747.34122624004</v>
      </c>
      <c r="N31" s="226">
        <f t="shared" si="22"/>
        <v>-809747.34122624004</v>
      </c>
      <c r="O31" s="226">
        <f>SUM(O19:O30)</f>
        <v>-112739.32336564212</v>
      </c>
      <c r="P31" s="224">
        <f t="shared" si="22"/>
        <v>-922486.66459188215</v>
      </c>
      <c r="Q31" s="225">
        <f>SUM(Q19:Q30)</f>
        <v>-155109.04469188218</v>
      </c>
      <c r="R31" s="227"/>
      <c r="S31" s="222"/>
      <c r="T31" s="226">
        <f>SUM(T19:T30)</f>
        <v>67.561725302870741</v>
      </c>
      <c r="U31" s="276">
        <f>SUM(U19:U30)</f>
        <v>-5667.9811244065122</v>
      </c>
      <c r="V31" s="214"/>
      <c r="W31" s="204"/>
      <c r="X31" s="204"/>
      <c r="Y31" s="204"/>
      <c r="Z31" s="204"/>
      <c r="AA31" s="204"/>
    </row>
    <row r="32" spans="1:27">
      <c r="B32" s="305" t="s">
        <v>252</v>
      </c>
      <c r="C32" s="152"/>
      <c r="D32" s="152"/>
      <c r="E32" s="152"/>
      <c r="F32" s="134"/>
      <c r="G32" s="317" t="s">
        <v>263</v>
      </c>
      <c r="H32" s="204" t="s">
        <v>0</v>
      </c>
      <c r="I32" s="215">
        <f>'Input Data'!L22</f>
        <v>0</v>
      </c>
      <c r="J32" s="216">
        <f>J30</f>
        <v>-1.0699999999999999E-2</v>
      </c>
      <c r="K32" s="217">
        <f t="shared" ref="K32:K43" si="23">I32*J32</f>
        <v>0</v>
      </c>
      <c r="L32" s="218">
        <f>'Input Data'!AF5</f>
        <v>0</v>
      </c>
      <c r="M32" s="206">
        <f t="shared" ref="M32:M56" si="24">-L32/2</f>
        <v>0</v>
      </c>
      <c r="N32" s="206">
        <f t="shared" ref="N32:N43" si="25">-L32/2</f>
        <v>0</v>
      </c>
      <c r="O32" s="206">
        <f t="shared" ref="O32:O33" si="26">IF(I32=0,0,-($E$24+$E$25+$E$26)/12)</f>
        <v>0</v>
      </c>
      <c r="P32" s="205">
        <f t="shared" ref="P32:P43" si="27">N32+O32</f>
        <v>0</v>
      </c>
      <c r="Q32" s="219">
        <f t="shared" ref="Q32:Q43" si="28">P32-K32</f>
        <v>0</v>
      </c>
      <c r="R32" s="206">
        <f>Q32</f>
        <v>0</v>
      </c>
      <c r="S32" s="199">
        <f>'Input Data'!$C$100/100/12</f>
        <v>0</v>
      </c>
      <c r="T32" s="220"/>
      <c r="U32" s="221">
        <f>$Q$31*S32</f>
        <v>0</v>
      </c>
      <c r="V32" s="198"/>
      <c r="W32" s="204"/>
      <c r="X32" s="204"/>
      <c r="Y32" s="204"/>
      <c r="Z32" s="204"/>
      <c r="AA32" s="204"/>
    </row>
    <row r="33" spans="2:27" ht="14.45" customHeight="1">
      <c r="B33" s="306"/>
      <c r="C33" s="78" t="s">
        <v>81</v>
      </c>
      <c r="D33" s="181">
        <f>'Input Data'!V55</f>
        <v>37538265.084675007</v>
      </c>
      <c r="F33" s="132" t="s">
        <v>125</v>
      </c>
      <c r="G33" s="318"/>
      <c r="H33" s="204" t="s">
        <v>1</v>
      </c>
      <c r="I33" s="215">
        <f>'Input Data'!L23</f>
        <v>0</v>
      </c>
      <c r="J33" s="216">
        <f>J32</f>
        <v>-1.0699999999999999E-2</v>
      </c>
      <c r="K33" s="217">
        <f t="shared" si="23"/>
        <v>0</v>
      </c>
      <c r="L33" s="218">
        <f>'Input Data'!AF6</f>
        <v>0</v>
      </c>
      <c r="M33" s="206">
        <f t="shared" si="24"/>
        <v>0</v>
      </c>
      <c r="N33" s="206">
        <f t="shared" si="25"/>
        <v>0</v>
      </c>
      <c r="O33" s="206">
        <f t="shared" si="26"/>
        <v>0</v>
      </c>
      <c r="P33" s="205">
        <f t="shared" si="27"/>
        <v>0</v>
      </c>
      <c r="Q33" s="219">
        <f t="shared" si="28"/>
        <v>0</v>
      </c>
      <c r="R33" s="206">
        <f t="shared" ref="R33:R43" si="29">Q33+R32</f>
        <v>0</v>
      </c>
      <c r="S33" s="199">
        <f>'Input Data'!$C$100/100/12</f>
        <v>0</v>
      </c>
      <c r="T33" s="220">
        <f>R32*S33</f>
        <v>0</v>
      </c>
      <c r="U33" s="221">
        <f t="shared" ref="U33:U43" si="30">$Q$31*S33</f>
        <v>0</v>
      </c>
      <c r="V33" s="198"/>
      <c r="W33" s="311" t="s">
        <v>232</v>
      </c>
      <c r="X33" s="202"/>
      <c r="Y33" s="202"/>
      <c r="Z33" s="203"/>
      <c r="AA33" s="204"/>
    </row>
    <row r="34" spans="2:27">
      <c r="B34" s="306"/>
      <c r="C34" s="78" t="s">
        <v>107</v>
      </c>
      <c r="D34" s="338">
        <f>'Input Data'!C66/1000</f>
        <v>5.9810000000000002E-2</v>
      </c>
      <c r="F34" s="132" t="s">
        <v>266</v>
      </c>
      <c r="G34" s="318"/>
      <c r="H34" s="204" t="s">
        <v>2</v>
      </c>
      <c r="I34" s="215">
        <f>'Input Data'!L24</f>
        <v>0</v>
      </c>
      <c r="J34" s="216">
        <f>J33</f>
        <v>-1.0699999999999999E-2</v>
      </c>
      <c r="K34" s="217">
        <f t="shared" si="23"/>
        <v>0</v>
      </c>
      <c r="L34" s="218">
        <f>'Input Data'!AF7</f>
        <v>0</v>
      </c>
      <c r="M34" s="206">
        <f t="shared" si="24"/>
        <v>0</v>
      </c>
      <c r="N34" s="206">
        <f t="shared" si="25"/>
        <v>0</v>
      </c>
      <c r="O34" s="206">
        <f>IF(I34=0,0,-($E$24+$E$25+$E$26)/12)</f>
        <v>0</v>
      </c>
      <c r="P34" s="205">
        <f t="shared" si="27"/>
        <v>0</v>
      </c>
      <c r="Q34" s="219">
        <f t="shared" si="28"/>
        <v>0</v>
      </c>
      <c r="R34" s="206">
        <f t="shared" si="29"/>
        <v>0</v>
      </c>
      <c r="S34" s="199">
        <f>'Input Data'!$C$100/100/12</f>
        <v>0</v>
      </c>
      <c r="T34" s="220">
        <f t="shared" ref="T34:T43" si="31">R33*S34</f>
        <v>0</v>
      </c>
      <c r="U34" s="221">
        <f t="shared" si="30"/>
        <v>0</v>
      </c>
      <c r="V34" s="198"/>
      <c r="W34" s="312"/>
      <c r="X34" s="204" t="s">
        <v>15</v>
      </c>
      <c r="Y34" s="204"/>
      <c r="Z34" s="205">
        <f>L44</f>
        <v>0</v>
      </c>
      <c r="AA34" s="204" t="s">
        <v>104</v>
      </c>
    </row>
    <row r="35" spans="2:27">
      <c r="B35" s="306"/>
      <c r="C35" s="78" t="s">
        <v>120</v>
      </c>
      <c r="D35" s="79">
        <f>D33*D34</f>
        <v>2245163.634714412</v>
      </c>
      <c r="G35" s="318"/>
      <c r="H35" s="204" t="s">
        <v>3</v>
      </c>
      <c r="I35" s="215">
        <f>'Input Data'!L25</f>
        <v>0</v>
      </c>
      <c r="J35" s="216">
        <f>J34</f>
        <v>-1.0699999999999999E-2</v>
      </c>
      <c r="K35" s="217">
        <f t="shared" si="23"/>
        <v>0</v>
      </c>
      <c r="L35" s="218">
        <f>'Input Data'!AF8</f>
        <v>0</v>
      </c>
      <c r="M35" s="206">
        <f t="shared" si="24"/>
        <v>0</v>
      </c>
      <c r="N35" s="206">
        <f t="shared" si="25"/>
        <v>0</v>
      </c>
      <c r="O35" s="206">
        <f>IF(I35=0,0,-($E$24+$E$25+$E$26)/12)</f>
        <v>0</v>
      </c>
      <c r="P35" s="205">
        <f t="shared" si="27"/>
        <v>0</v>
      </c>
      <c r="Q35" s="219">
        <f t="shared" si="28"/>
        <v>0</v>
      </c>
      <c r="R35" s="206">
        <f t="shared" si="29"/>
        <v>0</v>
      </c>
      <c r="S35" s="199">
        <f>'Input Data'!$C$101/100/12</f>
        <v>0</v>
      </c>
      <c r="T35" s="220">
        <f t="shared" si="31"/>
        <v>0</v>
      </c>
      <c r="U35" s="221">
        <f t="shared" si="30"/>
        <v>0</v>
      </c>
      <c r="V35" s="198"/>
      <c r="W35" s="312"/>
      <c r="X35" s="204" t="s">
        <v>92</v>
      </c>
      <c r="Y35" s="204"/>
      <c r="Z35" s="205">
        <f>M44</f>
        <v>0</v>
      </c>
      <c r="AA35" s="204" t="s">
        <v>31</v>
      </c>
    </row>
    <row r="36" spans="2:27">
      <c r="B36" s="306"/>
      <c r="C36" s="78" t="s">
        <v>121</v>
      </c>
      <c r="E36" s="79">
        <f>D35/2</f>
        <v>1122581.817357206</v>
      </c>
      <c r="F36" s="132" t="s">
        <v>132</v>
      </c>
      <c r="G36" s="318"/>
      <c r="H36" s="204" t="s">
        <v>4</v>
      </c>
      <c r="I36" s="215">
        <f>'Input Data'!L26</f>
        <v>0</v>
      </c>
      <c r="J36" s="216">
        <f>E43</f>
        <v>-9.5999999999999992E-3</v>
      </c>
      <c r="K36" s="217">
        <f t="shared" si="23"/>
        <v>0</v>
      </c>
      <c r="L36" s="218">
        <f>'Input Data'!AF9</f>
        <v>0</v>
      </c>
      <c r="M36" s="206">
        <f t="shared" si="24"/>
        <v>0</v>
      </c>
      <c r="N36" s="206">
        <f t="shared" si="25"/>
        <v>0</v>
      </c>
      <c r="O36" s="206">
        <f>IF(I36=0,0,-($E$37+$E$38+$E$39)/12)</f>
        <v>0</v>
      </c>
      <c r="P36" s="205">
        <f t="shared" si="27"/>
        <v>0</v>
      </c>
      <c r="Q36" s="219">
        <f t="shared" si="28"/>
        <v>0</v>
      </c>
      <c r="R36" s="206">
        <f t="shared" si="29"/>
        <v>0</v>
      </c>
      <c r="S36" s="199">
        <f>'Input Data'!$C$101/100/12</f>
        <v>0</v>
      </c>
      <c r="T36" s="220">
        <f t="shared" si="31"/>
        <v>0</v>
      </c>
      <c r="U36" s="221">
        <f t="shared" si="30"/>
        <v>0</v>
      </c>
      <c r="V36" s="198"/>
      <c r="W36" s="312"/>
      <c r="X36" s="204" t="s">
        <v>67</v>
      </c>
      <c r="Y36" s="206">
        <f>N44</f>
        <v>0</v>
      </c>
      <c r="Z36" s="207"/>
      <c r="AA36" s="204" t="s">
        <v>105</v>
      </c>
    </row>
    <row r="37" spans="2:27">
      <c r="B37" s="306"/>
      <c r="C37" s="78" t="s">
        <v>109</v>
      </c>
      <c r="E37" s="79">
        <f>-Z14</f>
        <v>179650.74879259942</v>
      </c>
      <c r="F37" s="132" t="s">
        <v>140</v>
      </c>
      <c r="G37" s="318"/>
      <c r="H37" s="204" t="s">
        <v>5</v>
      </c>
      <c r="I37" s="215">
        <f>'Input Data'!L27</f>
        <v>0</v>
      </c>
      <c r="J37" s="216">
        <f>J36</f>
        <v>-9.5999999999999992E-3</v>
      </c>
      <c r="K37" s="217">
        <f t="shared" si="23"/>
        <v>0</v>
      </c>
      <c r="L37" s="218">
        <f>'Input Data'!AF10</f>
        <v>0</v>
      </c>
      <c r="M37" s="206">
        <f t="shared" si="24"/>
        <v>0</v>
      </c>
      <c r="N37" s="206">
        <f t="shared" si="25"/>
        <v>0</v>
      </c>
      <c r="O37" s="206">
        <f t="shared" ref="O37:O39" si="32">IF(I37=0,0,-($E$37+$E$38+$E$39)/12)</f>
        <v>0</v>
      </c>
      <c r="P37" s="205">
        <f t="shared" si="27"/>
        <v>0</v>
      </c>
      <c r="Q37" s="219">
        <f t="shared" si="28"/>
        <v>0</v>
      </c>
      <c r="R37" s="206">
        <f t="shared" si="29"/>
        <v>0</v>
      </c>
      <c r="S37" s="199">
        <f>'Input Data'!$C$101/100/12</f>
        <v>0</v>
      </c>
      <c r="T37" s="220">
        <f t="shared" si="31"/>
        <v>0</v>
      </c>
      <c r="U37" s="221">
        <f t="shared" si="30"/>
        <v>0</v>
      </c>
      <c r="V37" s="198"/>
      <c r="W37" s="312"/>
      <c r="X37" s="204" t="s">
        <v>245</v>
      </c>
      <c r="Y37" s="208">
        <f>O44</f>
        <v>0</v>
      </c>
      <c r="Z37" s="207"/>
      <c r="AA37" s="204" t="s">
        <v>244</v>
      </c>
    </row>
    <row r="38" spans="2:27">
      <c r="B38" s="306"/>
      <c r="C38" s="78" t="s">
        <v>110</v>
      </c>
      <c r="E38" s="79">
        <f>-Z15</f>
        <v>11777.804729643409</v>
      </c>
      <c r="F38" s="132" t="s">
        <v>141</v>
      </c>
      <c r="G38" s="318"/>
      <c r="H38" s="204" t="s">
        <v>6</v>
      </c>
      <c r="I38" s="215">
        <f>'Input Data'!L28</f>
        <v>0</v>
      </c>
      <c r="J38" s="216">
        <f t="shared" ref="J38:J43" si="33">J37</f>
        <v>-9.5999999999999992E-3</v>
      </c>
      <c r="K38" s="217">
        <f t="shared" si="23"/>
        <v>0</v>
      </c>
      <c r="L38" s="218">
        <f>'Input Data'!AF11</f>
        <v>0</v>
      </c>
      <c r="M38" s="206">
        <f t="shared" si="24"/>
        <v>0</v>
      </c>
      <c r="N38" s="206">
        <f t="shared" si="25"/>
        <v>0</v>
      </c>
      <c r="O38" s="206">
        <f>IF(I38=0,0,-($E$37+$E$38+$E$39)/12)</f>
        <v>0</v>
      </c>
      <c r="P38" s="205">
        <f t="shared" si="27"/>
        <v>0</v>
      </c>
      <c r="Q38" s="219">
        <f t="shared" si="28"/>
        <v>0</v>
      </c>
      <c r="R38" s="206">
        <f t="shared" si="29"/>
        <v>0</v>
      </c>
      <c r="S38" s="199">
        <f>'Input Data'!$C$102/100/12</f>
        <v>0</v>
      </c>
      <c r="T38" s="220">
        <f t="shared" si="31"/>
        <v>0</v>
      </c>
      <c r="U38" s="221">
        <f t="shared" si="30"/>
        <v>0</v>
      </c>
      <c r="V38" s="198"/>
      <c r="W38" s="312"/>
      <c r="X38" s="204" t="s">
        <v>32</v>
      </c>
      <c r="Y38" s="204"/>
      <c r="Z38" s="205">
        <f>Y37+Y36</f>
        <v>0</v>
      </c>
      <c r="AA38" s="204" t="s">
        <v>106</v>
      </c>
    </row>
    <row r="39" spans="2:27">
      <c r="B39" s="306"/>
      <c r="C39" s="78" t="s">
        <v>209</v>
      </c>
      <c r="E39" s="79">
        <f>IF(D34=0,0,-'2023-24 Overcollection'!O22-'2023-24 Overcollection'!O23)</f>
        <v>442313.0512197747</v>
      </c>
      <c r="F39" s="132" t="s">
        <v>250</v>
      </c>
      <c r="G39" s="318"/>
      <c r="H39" s="204" t="s">
        <v>7</v>
      </c>
      <c r="I39" s="215">
        <f>'Input Data'!L29</f>
        <v>0</v>
      </c>
      <c r="J39" s="216">
        <f t="shared" si="33"/>
        <v>-9.5999999999999992E-3</v>
      </c>
      <c r="K39" s="217">
        <f t="shared" si="23"/>
        <v>0</v>
      </c>
      <c r="L39" s="218">
        <f>'Input Data'!AF12</f>
        <v>0</v>
      </c>
      <c r="M39" s="206">
        <f t="shared" si="24"/>
        <v>0</v>
      </c>
      <c r="N39" s="206">
        <f t="shared" si="25"/>
        <v>0</v>
      </c>
      <c r="O39" s="206">
        <f t="shared" si="32"/>
        <v>0</v>
      </c>
      <c r="P39" s="205">
        <f t="shared" si="27"/>
        <v>0</v>
      </c>
      <c r="Q39" s="219">
        <f t="shared" si="28"/>
        <v>0</v>
      </c>
      <c r="R39" s="206">
        <f t="shared" si="29"/>
        <v>0</v>
      </c>
      <c r="S39" s="199">
        <f>'Input Data'!$C$102/100/12</f>
        <v>0</v>
      </c>
      <c r="T39" s="220">
        <f t="shared" si="31"/>
        <v>0</v>
      </c>
      <c r="U39" s="221">
        <f t="shared" si="30"/>
        <v>0</v>
      </c>
      <c r="V39" s="198"/>
      <c r="W39" s="312"/>
      <c r="X39" s="204" t="s">
        <v>33</v>
      </c>
      <c r="Y39" s="204"/>
      <c r="Z39" s="209">
        <f>K44</f>
        <v>0</v>
      </c>
      <c r="AA39" s="204" t="s">
        <v>148</v>
      </c>
    </row>
    <row r="40" spans="2:27">
      <c r="B40" s="306"/>
      <c r="C40" s="53" t="s">
        <v>147</v>
      </c>
      <c r="E40" s="24">
        <f>SUM(E36:E39)</f>
        <v>1756323.4220992236</v>
      </c>
      <c r="G40" s="318"/>
      <c r="H40" s="204" t="s">
        <v>8</v>
      </c>
      <c r="I40" s="215">
        <f>'Input Data'!L30</f>
        <v>0</v>
      </c>
      <c r="J40" s="216">
        <f t="shared" si="33"/>
        <v>-9.5999999999999992E-3</v>
      </c>
      <c r="K40" s="217">
        <f t="shared" si="23"/>
        <v>0</v>
      </c>
      <c r="L40" s="218">
        <f>'Input Data'!AF13</f>
        <v>0</v>
      </c>
      <c r="M40" s="206">
        <f t="shared" si="24"/>
        <v>0</v>
      </c>
      <c r="N40" s="206">
        <f t="shared" si="25"/>
        <v>0</v>
      </c>
      <c r="O40" s="206">
        <f>IF(I40=0,0,-($E$37+$E$38+$E$39)/12)</f>
        <v>0</v>
      </c>
      <c r="P40" s="205">
        <f t="shared" si="27"/>
        <v>0</v>
      </c>
      <c r="Q40" s="219">
        <f t="shared" si="28"/>
        <v>0</v>
      </c>
      <c r="R40" s="206">
        <f t="shared" si="29"/>
        <v>0</v>
      </c>
      <c r="S40" s="199">
        <f>'Input Data'!$C$102/100/12</f>
        <v>0</v>
      </c>
      <c r="T40" s="220">
        <f t="shared" si="31"/>
        <v>0</v>
      </c>
      <c r="U40" s="221">
        <f t="shared" si="30"/>
        <v>0</v>
      </c>
      <c r="V40" s="198"/>
      <c r="W40" s="312"/>
      <c r="X40" s="204" t="s">
        <v>18</v>
      </c>
      <c r="Y40" s="204"/>
      <c r="Z40" s="210">
        <f>Z38-Z39</f>
        <v>0</v>
      </c>
      <c r="AA40" s="204" t="s">
        <v>195</v>
      </c>
    </row>
    <row r="41" spans="2:27">
      <c r="B41" s="306"/>
      <c r="C41" s="18"/>
      <c r="G41" s="318"/>
      <c r="H41" s="204" t="s">
        <v>9</v>
      </c>
      <c r="I41" s="215">
        <f>'Input Data'!L31</f>
        <v>0</v>
      </c>
      <c r="J41" s="216">
        <f t="shared" si="33"/>
        <v>-9.5999999999999992E-3</v>
      </c>
      <c r="K41" s="217">
        <f t="shared" si="23"/>
        <v>0</v>
      </c>
      <c r="L41" s="218">
        <f>'Input Data'!AF14</f>
        <v>0</v>
      </c>
      <c r="M41" s="206">
        <f t="shared" si="24"/>
        <v>0</v>
      </c>
      <c r="N41" s="206">
        <f t="shared" si="25"/>
        <v>0</v>
      </c>
      <c r="O41" s="206">
        <f t="shared" ref="O41:O42" si="34">IF(I41=0,0,-($E$37+$E$38+$E$39)/12)</f>
        <v>0</v>
      </c>
      <c r="P41" s="205">
        <f t="shared" si="27"/>
        <v>0</v>
      </c>
      <c r="Q41" s="219">
        <f t="shared" si="28"/>
        <v>0</v>
      </c>
      <c r="R41" s="206">
        <f t="shared" si="29"/>
        <v>0</v>
      </c>
      <c r="S41" s="199">
        <f>'Input Data'!$C$103/100/12</f>
        <v>0</v>
      </c>
      <c r="T41" s="220">
        <f t="shared" si="31"/>
        <v>0</v>
      </c>
      <c r="U41" s="221">
        <f t="shared" si="30"/>
        <v>0</v>
      </c>
      <c r="V41" s="198"/>
      <c r="W41" s="312"/>
      <c r="X41" s="204" t="s">
        <v>34</v>
      </c>
      <c r="Y41" s="204"/>
      <c r="Z41" s="205">
        <f>T44+U57</f>
        <v>0</v>
      </c>
      <c r="AA41" s="204" t="s">
        <v>196</v>
      </c>
    </row>
    <row r="42" spans="2:27">
      <c r="B42" s="306"/>
      <c r="C42" s="18" t="s">
        <v>108</v>
      </c>
      <c r="D42" s="181">
        <f>'Input Data'!J38</f>
        <v>182078136</v>
      </c>
      <c r="F42" s="132" t="s">
        <v>204</v>
      </c>
      <c r="G42" s="318"/>
      <c r="H42" s="204" t="s">
        <v>10</v>
      </c>
      <c r="I42" s="215">
        <f>'Input Data'!L32</f>
        <v>0</v>
      </c>
      <c r="J42" s="216">
        <f t="shared" si="33"/>
        <v>-9.5999999999999992E-3</v>
      </c>
      <c r="K42" s="217">
        <f t="shared" si="23"/>
        <v>0</v>
      </c>
      <c r="L42" s="218">
        <f>'Input Data'!AF15</f>
        <v>0</v>
      </c>
      <c r="M42" s="206">
        <f t="shared" si="24"/>
        <v>0</v>
      </c>
      <c r="N42" s="206">
        <f t="shared" si="25"/>
        <v>0</v>
      </c>
      <c r="O42" s="206">
        <f t="shared" si="34"/>
        <v>0</v>
      </c>
      <c r="P42" s="205">
        <f t="shared" si="27"/>
        <v>0</v>
      </c>
      <c r="Q42" s="219">
        <f t="shared" si="28"/>
        <v>0</v>
      </c>
      <c r="R42" s="206">
        <f t="shared" si="29"/>
        <v>0</v>
      </c>
      <c r="S42" s="199">
        <f>'Input Data'!$C$103/100/12</f>
        <v>0</v>
      </c>
      <c r="T42" s="220">
        <f t="shared" si="31"/>
        <v>0</v>
      </c>
      <c r="U42" s="221">
        <f t="shared" si="30"/>
        <v>0</v>
      </c>
      <c r="V42" s="198"/>
      <c r="W42" s="313"/>
      <c r="X42" s="211"/>
      <c r="Y42" s="211"/>
      <c r="Z42" s="212"/>
      <c r="AA42" s="204"/>
    </row>
    <row r="43" spans="2:27">
      <c r="B43" s="306"/>
      <c r="C43" s="53" t="s">
        <v>152</v>
      </c>
      <c r="E43" s="137">
        <f>IFERROR(ROUND(-E40/D42,4),0)</f>
        <v>-9.5999999999999992E-3</v>
      </c>
      <c r="G43" s="318"/>
      <c r="H43" s="204" t="s">
        <v>11</v>
      </c>
      <c r="I43" s="215">
        <f>'Input Data'!L33</f>
        <v>0</v>
      </c>
      <c r="J43" s="216">
        <f t="shared" si="33"/>
        <v>-9.5999999999999992E-3</v>
      </c>
      <c r="K43" s="217">
        <f t="shared" si="23"/>
        <v>0</v>
      </c>
      <c r="L43" s="218">
        <f>'Input Data'!AF16</f>
        <v>0</v>
      </c>
      <c r="M43" s="206">
        <f t="shared" si="24"/>
        <v>0</v>
      </c>
      <c r="N43" s="206">
        <f t="shared" si="25"/>
        <v>0</v>
      </c>
      <c r="O43" s="206">
        <f>IF(I43=0,0,-($E$37+$E$38+$E$39)/12)</f>
        <v>0</v>
      </c>
      <c r="P43" s="205">
        <f t="shared" si="27"/>
        <v>0</v>
      </c>
      <c r="Q43" s="219">
        <f t="shared" si="28"/>
        <v>0</v>
      </c>
      <c r="R43" s="206">
        <f t="shared" si="29"/>
        <v>0</v>
      </c>
      <c r="S43" s="199">
        <f>'Input Data'!$C$103/100/12</f>
        <v>0</v>
      </c>
      <c r="T43" s="220">
        <f t="shared" si="31"/>
        <v>0</v>
      </c>
      <c r="U43" s="221">
        <f t="shared" si="30"/>
        <v>0</v>
      </c>
      <c r="V43" s="198"/>
      <c r="W43" s="204"/>
      <c r="X43" s="204"/>
      <c r="Y43" s="204"/>
      <c r="Z43" s="204"/>
      <c r="AA43" s="204"/>
    </row>
    <row r="44" spans="2:27" ht="15.75" thickBot="1">
      <c r="B44" s="307"/>
      <c r="C44" s="153"/>
      <c r="D44" s="153"/>
      <c r="E44" s="153"/>
      <c r="F44" s="133"/>
      <c r="G44" s="319"/>
      <c r="H44" s="222" t="s">
        <v>14</v>
      </c>
      <c r="I44" s="223">
        <f>SUM(I32:I43)</f>
        <v>0</v>
      </c>
      <c r="J44" s="222"/>
      <c r="K44" s="224">
        <f t="shared" ref="K44:Q44" si="35">SUM(K32:K43)</f>
        <v>0</v>
      </c>
      <c r="L44" s="225">
        <f t="shared" si="35"/>
        <v>0</v>
      </c>
      <c r="M44" s="226">
        <f t="shared" si="35"/>
        <v>0</v>
      </c>
      <c r="N44" s="226">
        <f t="shared" si="35"/>
        <v>0</v>
      </c>
      <c r="O44" s="226">
        <f t="shared" si="35"/>
        <v>0</v>
      </c>
      <c r="P44" s="224">
        <f t="shared" si="35"/>
        <v>0</v>
      </c>
      <c r="Q44" s="225">
        <f t="shared" si="35"/>
        <v>0</v>
      </c>
      <c r="R44" s="227"/>
      <c r="S44" s="222"/>
      <c r="T44" s="226">
        <f>SUM(T32:T43)</f>
        <v>0</v>
      </c>
      <c r="U44" s="228">
        <f>SUM(U32:U43)</f>
        <v>0</v>
      </c>
      <c r="V44" s="214"/>
      <c r="W44" s="204"/>
      <c r="X44" s="204"/>
      <c r="Y44" s="204"/>
      <c r="Z44" s="204"/>
      <c r="AA44" s="204"/>
    </row>
    <row r="45" spans="2:27" hidden="1">
      <c r="B45" s="320">
        <v>2027</v>
      </c>
      <c r="C45" s="232"/>
      <c r="D45" s="232"/>
      <c r="E45" s="232"/>
      <c r="F45" s="233"/>
      <c r="G45" s="326" t="s">
        <v>264</v>
      </c>
      <c r="H45" s="204" t="s">
        <v>0</v>
      </c>
      <c r="I45" s="215">
        <f>'Input Data'!M22</f>
        <v>0</v>
      </c>
      <c r="J45" s="216">
        <f>J43</f>
        <v>-9.5999999999999992E-3</v>
      </c>
      <c r="K45" s="217">
        <f t="shared" ref="K45:K56" si="36">I45*J45</f>
        <v>0</v>
      </c>
      <c r="L45" s="218">
        <f>'Input Data'!AI5</f>
        <v>0</v>
      </c>
      <c r="M45" s="206">
        <f t="shared" si="24"/>
        <v>0</v>
      </c>
      <c r="N45" s="206">
        <f t="shared" ref="N45:N56" si="37">-L45/2</f>
        <v>0</v>
      </c>
      <c r="O45" s="206">
        <f t="shared" ref="O45:O47" si="38">IF(I45=0,0,-($E$37+$E$38+$E$39)/12)</f>
        <v>0</v>
      </c>
      <c r="P45" s="205">
        <f t="shared" ref="P45:P56" si="39">N45+O45</f>
        <v>0</v>
      </c>
      <c r="Q45" s="219">
        <f t="shared" ref="Q45:Q56" si="40">P45-K45</f>
        <v>0</v>
      </c>
      <c r="R45" s="206">
        <f>Q45</f>
        <v>0</v>
      </c>
      <c r="S45" s="278">
        <f>'Input Data'!$C$104/100/12</f>
        <v>0</v>
      </c>
      <c r="T45" s="220"/>
      <c r="U45" s="221">
        <f>$Q$44*S45</f>
        <v>0</v>
      </c>
      <c r="V45" s="198"/>
      <c r="W45" s="204"/>
      <c r="X45" s="204"/>
      <c r="Y45" s="204"/>
      <c r="Z45" s="204"/>
      <c r="AA45" s="204"/>
    </row>
    <row r="46" spans="2:27" hidden="1">
      <c r="B46" s="321"/>
      <c r="C46" s="234" t="s">
        <v>81</v>
      </c>
      <c r="D46" s="235">
        <f>'Input Data'!W55</f>
        <v>37150609.659400009</v>
      </c>
      <c r="E46" s="204"/>
      <c r="F46" s="229" t="s">
        <v>136</v>
      </c>
      <c r="G46" s="327"/>
      <c r="H46" s="204" t="s">
        <v>1</v>
      </c>
      <c r="I46" s="215">
        <f>'Input Data'!M23</f>
        <v>0</v>
      </c>
      <c r="J46" s="216">
        <f>J45</f>
        <v>-9.5999999999999992E-3</v>
      </c>
      <c r="K46" s="217">
        <f t="shared" si="36"/>
        <v>0</v>
      </c>
      <c r="L46" s="218">
        <f>'Input Data'!AI6</f>
        <v>0</v>
      </c>
      <c r="M46" s="206">
        <f t="shared" si="24"/>
        <v>0</v>
      </c>
      <c r="N46" s="206">
        <f t="shared" si="37"/>
        <v>0</v>
      </c>
      <c r="O46" s="206">
        <f t="shared" si="38"/>
        <v>0</v>
      </c>
      <c r="P46" s="205">
        <f t="shared" si="39"/>
        <v>0</v>
      </c>
      <c r="Q46" s="219">
        <f t="shared" si="40"/>
        <v>0</v>
      </c>
      <c r="R46" s="206">
        <f t="shared" ref="R46:R56" si="41">Q46+R45</f>
        <v>0</v>
      </c>
      <c r="S46" s="278">
        <f>'Input Data'!$C$104/100/12</f>
        <v>0</v>
      </c>
      <c r="T46" s="220">
        <f>R45*S46</f>
        <v>0</v>
      </c>
      <c r="U46" s="221">
        <f t="shared" ref="U46:U56" si="42">$Q$44*S46</f>
        <v>0</v>
      </c>
      <c r="V46" s="198"/>
      <c r="W46" s="311" t="s">
        <v>233</v>
      </c>
      <c r="X46" s="202"/>
      <c r="Y46" s="202"/>
      <c r="Z46" s="203"/>
      <c r="AA46" s="204"/>
    </row>
    <row r="47" spans="2:27" hidden="1">
      <c r="B47" s="321"/>
      <c r="C47" s="234" t="s">
        <v>107</v>
      </c>
      <c r="D47" s="236">
        <f>'Input Data'!C67/1000</f>
        <v>0</v>
      </c>
      <c r="E47" s="204"/>
      <c r="F47" s="229" t="s">
        <v>190</v>
      </c>
      <c r="G47" s="327"/>
      <c r="H47" s="204" t="s">
        <v>2</v>
      </c>
      <c r="I47" s="215">
        <f>'Input Data'!M24</f>
        <v>0</v>
      </c>
      <c r="J47" s="216">
        <f>J46</f>
        <v>-9.5999999999999992E-3</v>
      </c>
      <c r="K47" s="217">
        <f t="shared" si="36"/>
        <v>0</v>
      </c>
      <c r="L47" s="218">
        <f>'Input Data'!AI7</f>
        <v>0</v>
      </c>
      <c r="M47" s="206">
        <f t="shared" si="24"/>
        <v>0</v>
      </c>
      <c r="N47" s="206">
        <f t="shared" si="37"/>
        <v>0</v>
      </c>
      <c r="O47" s="206">
        <f t="shared" si="38"/>
        <v>0</v>
      </c>
      <c r="P47" s="205">
        <f t="shared" si="39"/>
        <v>0</v>
      </c>
      <c r="Q47" s="219">
        <f t="shared" si="40"/>
        <v>0</v>
      </c>
      <c r="R47" s="206">
        <f t="shared" si="41"/>
        <v>0</v>
      </c>
      <c r="S47" s="278">
        <f>'Input Data'!$C$104/100/12</f>
        <v>0</v>
      </c>
      <c r="T47" s="220">
        <f t="shared" ref="T47:T56" si="43">R46*S47</f>
        <v>0</v>
      </c>
      <c r="U47" s="221">
        <f t="shared" si="42"/>
        <v>0</v>
      </c>
      <c r="V47" s="198"/>
      <c r="W47" s="312"/>
      <c r="X47" s="204" t="s">
        <v>15</v>
      </c>
      <c r="Y47" s="204"/>
      <c r="Z47" s="205">
        <f>L57</f>
        <v>0</v>
      </c>
      <c r="AA47" s="204" t="s">
        <v>104</v>
      </c>
    </row>
    <row r="48" spans="2:27" hidden="1">
      <c r="B48" s="321"/>
      <c r="C48" s="234" t="s">
        <v>120</v>
      </c>
      <c r="D48" s="220">
        <f>D46*D47</f>
        <v>0</v>
      </c>
      <c r="E48" s="204"/>
      <c r="F48" s="229"/>
      <c r="G48" s="327"/>
      <c r="H48" s="204" t="s">
        <v>3</v>
      </c>
      <c r="I48" s="215">
        <f>'Input Data'!M25</f>
        <v>0</v>
      </c>
      <c r="J48" s="216">
        <f>J47</f>
        <v>-9.5999999999999992E-3</v>
      </c>
      <c r="K48" s="217">
        <f t="shared" si="36"/>
        <v>0</v>
      </c>
      <c r="L48" s="218">
        <f>'Input Data'!AI8</f>
        <v>0</v>
      </c>
      <c r="M48" s="206">
        <f t="shared" si="24"/>
        <v>0</v>
      </c>
      <c r="N48" s="206">
        <f t="shared" si="37"/>
        <v>0</v>
      </c>
      <c r="O48" s="206">
        <f>IF(I48=0,0,-($E$37+$E$38+$E$39)/12)</f>
        <v>0</v>
      </c>
      <c r="P48" s="205">
        <f t="shared" si="39"/>
        <v>0</v>
      </c>
      <c r="Q48" s="219">
        <f t="shared" si="40"/>
        <v>0</v>
      </c>
      <c r="R48" s="206">
        <f t="shared" si="41"/>
        <v>0</v>
      </c>
      <c r="S48" s="278">
        <f>'Input Data'!$C$105/100/12</f>
        <v>0</v>
      </c>
      <c r="T48" s="220">
        <f t="shared" si="43"/>
        <v>0</v>
      </c>
      <c r="U48" s="221">
        <f t="shared" si="42"/>
        <v>0</v>
      </c>
      <c r="V48" s="198"/>
      <c r="W48" s="312"/>
      <c r="X48" s="204" t="s">
        <v>92</v>
      </c>
      <c r="Y48" s="204"/>
      <c r="Z48" s="205">
        <f>M57</f>
        <v>0</v>
      </c>
      <c r="AA48" s="204" t="s">
        <v>31</v>
      </c>
    </row>
    <row r="49" spans="2:27" hidden="1">
      <c r="B49" s="321"/>
      <c r="C49" s="234" t="s">
        <v>121</v>
      </c>
      <c r="D49" s="204"/>
      <c r="E49" s="220">
        <f>D48/2</f>
        <v>0</v>
      </c>
      <c r="F49" s="229" t="s">
        <v>132</v>
      </c>
      <c r="G49" s="327"/>
      <c r="H49" s="204" t="s">
        <v>4</v>
      </c>
      <c r="I49" s="215">
        <f>'Input Data'!M26</f>
        <v>0</v>
      </c>
      <c r="J49" s="216">
        <f>E55</f>
        <v>0</v>
      </c>
      <c r="K49" s="217">
        <f t="shared" si="36"/>
        <v>0</v>
      </c>
      <c r="L49" s="218">
        <f>'Input Data'!AI9</f>
        <v>0</v>
      </c>
      <c r="M49" s="206">
        <f t="shared" si="24"/>
        <v>0</v>
      </c>
      <c r="N49" s="206">
        <f t="shared" si="37"/>
        <v>0</v>
      </c>
      <c r="O49" s="206">
        <f>IF(I49=0,0,-($E$50+$E$51)/12)</f>
        <v>0</v>
      </c>
      <c r="P49" s="205">
        <f t="shared" si="39"/>
        <v>0</v>
      </c>
      <c r="Q49" s="219">
        <f t="shared" si="40"/>
        <v>0</v>
      </c>
      <c r="R49" s="206">
        <f t="shared" si="41"/>
        <v>0</v>
      </c>
      <c r="S49" s="278">
        <f>'Input Data'!$C$105/100/12</f>
        <v>0</v>
      </c>
      <c r="T49" s="220">
        <f t="shared" si="43"/>
        <v>0</v>
      </c>
      <c r="U49" s="221">
        <f>$Q$44*S49</f>
        <v>0</v>
      </c>
      <c r="V49" s="198"/>
      <c r="W49" s="312"/>
      <c r="X49" s="204" t="s">
        <v>67</v>
      </c>
      <c r="Y49" s="206">
        <f>N57</f>
        <v>0</v>
      </c>
      <c r="Z49" s="207"/>
      <c r="AA49" s="204" t="s">
        <v>105</v>
      </c>
    </row>
    <row r="50" spans="2:27" hidden="1">
      <c r="B50" s="321"/>
      <c r="C50" s="234" t="s">
        <v>109</v>
      </c>
      <c r="D50" s="204"/>
      <c r="E50" s="220">
        <f>IF(I30=0,0,-Z27)</f>
        <v>0</v>
      </c>
      <c r="F50" s="229" t="s">
        <v>163</v>
      </c>
      <c r="G50" s="327"/>
      <c r="H50" s="204" t="s">
        <v>5</v>
      </c>
      <c r="I50" s="215">
        <f>'Input Data'!M27</f>
        <v>0</v>
      </c>
      <c r="J50" s="216">
        <f>J49</f>
        <v>0</v>
      </c>
      <c r="K50" s="217">
        <f t="shared" si="36"/>
        <v>0</v>
      </c>
      <c r="L50" s="218">
        <f>'Input Data'!AI10</f>
        <v>0</v>
      </c>
      <c r="M50" s="206">
        <f t="shared" si="24"/>
        <v>0</v>
      </c>
      <c r="N50" s="206">
        <f t="shared" si="37"/>
        <v>0</v>
      </c>
      <c r="O50" s="206">
        <f t="shared" ref="O50:O61" si="44">IF(I50=0,0,-($E$50+$E$51)/12)</f>
        <v>0</v>
      </c>
      <c r="P50" s="205">
        <f t="shared" si="39"/>
        <v>0</v>
      </c>
      <c r="Q50" s="219">
        <f t="shared" si="40"/>
        <v>0</v>
      </c>
      <c r="R50" s="206">
        <f t="shared" si="41"/>
        <v>0</v>
      </c>
      <c r="S50" s="278">
        <f>'Input Data'!$C$105/100/12</f>
        <v>0</v>
      </c>
      <c r="T50" s="220">
        <f t="shared" si="43"/>
        <v>0</v>
      </c>
      <c r="U50" s="221">
        <f t="shared" si="42"/>
        <v>0</v>
      </c>
      <c r="V50" s="198"/>
      <c r="W50" s="312"/>
      <c r="X50" s="204" t="s">
        <v>246</v>
      </c>
      <c r="Y50" s="208">
        <f>O57</f>
        <v>0</v>
      </c>
      <c r="Z50" s="207"/>
      <c r="AA50" s="204" t="s">
        <v>161</v>
      </c>
    </row>
    <row r="51" spans="2:27" hidden="1">
      <c r="B51" s="321"/>
      <c r="C51" s="234" t="s">
        <v>110</v>
      </c>
      <c r="D51" s="204"/>
      <c r="E51" s="220">
        <f>IF(I30=0,0,-Z28)</f>
        <v>0</v>
      </c>
      <c r="F51" s="229" t="s">
        <v>164</v>
      </c>
      <c r="G51" s="327"/>
      <c r="H51" s="204" t="s">
        <v>6</v>
      </c>
      <c r="I51" s="215">
        <f>'Input Data'!M28</f>
        <v>0</v>
      </c>
      <c r="J51" s="216">
        <f t="shared" ref="J51:J56" si="45">J50</f>
        <v>0</v>
      </c>
      <c r="K51" s="217">
        <f t="shared" si="36"/>
        <v>0</v>
      </c>
      <c r="L51" s="218">
        <f>'Input Data'!AI11</f>
        <v>0</v>
      </c>
      <c r="M51" s="206">
        <f t="shared" si="24"/>
        <v>0</v>
      </c>
      <c r="N51" s="206">
        <f t="shared" si="37"/>
        <v>0</v>
      </c>
      <c r="O51" s="206">
        <f t="shared" si="44"/>
        <v>0</v>
      </c>
      <c r="P51" s="205">
        <f t="shared" si="39"/>
        <v>0</v>
      </c>
      <c r="Q51" s="219">
        <f t="shared" si="40"/>
        <v>0</v>
      </c>
      <c r="R51" s="206">
        <f t="shared" si="41"/>
        <v>0</v>
      </c>
      <c r="S51" s="278">
        <f>'Input Data'!$C$106/100/12</f>
        <v>0</v>
      </c>
      <c r="T51" s="220">
        <f t="shared" si="43"/>
        <v>0</v>
      </c>
      <c r="U51" s="221">
        <f t="shared" si="42"/>
        <v>0</v>
      </c>
      <c r="V51" s="198"/>
      <c r="W51" s="312"/>
      <c r="X51" s="204" t="s">
        <v>32</v>
      </c>
      <c r="Y51" s="204"/>
      <c r="Z51" s="205">
        <f>Y50+Y49</f>
        <v>0</v>
      </c>
      <c r="AA51" s="204" t="s">
        <v>106</v>
      </c>
    </row>
    <row r="52" spans="2:27" hidden="1">
      <c r="B52" s="321"/>
      <c r="C52" s="237" t="s">
        <v>147</v>
      </c>
      <c r="D52" s="204"/>
      <c r="E52" s="238">
        <f>SUM(E49:E51)</f>
        <v>0</v>
      </c>
      <c r="F52" s="229"/>
      <c r="G52" s="327"/>
      <c r="H52" s="204" t="s">
        <v>7</v>
      </c>
      <c r="I52" s="215">
        <f>'Input Data'!M29</f>
        <v>0</v>
      </c>
      <c r="J52" s="216">
        <f t="shared" si="45"/>
        <v>0</v>
      </c>
      <c r="K52" s="217">
        <f t="shared" si="36"/>
        <v>0</v>
      </c>
      <c r="L52" s="218">
        <f>'Input Data'!AI12</f>
        <v>0</v>
      </c>
      <c r="M52" s="206">
        <f t="shared" si="24"/>
        <v>0</v>
      </c>
      <c r="N52" s="206">
        <f t="shared" si="37"/>
        <v>0</v>
      </c>
      <c r="O52" s="206">
        <f t="shared" si="44"/>
        <v>0</v>
      </c>
      <c r="P52" s="205">
        <f t="shared" si="39"/>
        <v>0</v>
      </c>
      <c r="Q52" s="219">
        <f t="shared" si="40"/>
        <v>0</v>
      </c>
      <c r="R52" s="206">
        <f t="shared" si="41"/>
        <v>0</v>
      </c>
      <c r="S52" s="278">
        <f>'Input Data'!$C$106/100/12</f>
        <v>0</v>
      </c>
      <c r="T52" s="220">
        <f t="shared" si="43"/>
        <v>0</v>
      </c>
      <c r="U52" s="221">
        <f t="shared" si="42"/>
        <v>0</v>
      </c>
      <c r="V52" s="198"/>
      <c r="W52" s="312"/>
      <c r="X52" s="204" t="s">
        <v>33</v>
      </c>
      <c r="Y52" s="204"/>
      <c r="Z52" s="209">
        <f>K57</f>
        <v>0</v>
      </c>
      <c r="AA52" s="204" t="s">
        <v>148</v>
      </c>
    </row>
    <row r="53" spans="2:27" hidden="1">
      <c r="B53" s="321"/>
      <c r="C53" s="204"/>
      <c r="D53" s="204"/>
      <c r="E53" s="204"/>
      <c r="F53" s="229"/>
      <c r="G53" s="327"/>
      <c r="H53" s="204" t="s">
        <v>8</v>
      </c>
      <c r="I53" s="215">
        <f>'Input Data'!M30</f>
        <v>0</v>
      </c>
      <c r="J53" s="216">
        <f t="shared" si="45"/>
        <v>0</v>
      </c>
      <c r="K53" s="217">
        <f t="shared" si="36"/>
        <v>0</v>
      </c>
      <c r="L53" s="218">
        <f>'Input Data'!AI13</f>
        <v>0</v>
      </c>
      <c r="M53" s="206">
        <f t="shared" si="24"/>
        <v>0</v>
      </c>
      <c r="N53" s="206">
        <f t="shared" si="37"/>
        <v>0</v>
      </c>
      <c r="O53" s="206">
        <f t="shared" si="44"/>
        <v>0</v>
      </c>
      <c r="P53" s="205">
        <f t="shared" si="39"/>
        <v>0</v>
      </c>
      <c r="Q53" s="219">
        <f t="shared" si="40"/>
        <v>0</v>
      </c>
      <c r="R53" s="206">
        <f t="shared" si="41"/>
        <v>0</v>
      </c>
      <c r="S53" s="278">
        <f>'Input Data'!$C$106/100/12</f>
        <v>0</v>
      </c>
      <c r="T53" s="220">
        <f t="shared" si="43"/>
        <v>0</v>
      </c>
      <c r="U53" s="221">
        <f t="shared" si="42"/>
        <v>0</v>
      </c>
      <c r="V53" s="198"/>
      <c r="W53" s="312"/>
      <c r="X53" s="204" t="s">
        <v>18</v>
      </c>
      <c r="Y53" s="204"/>
      <c r="Z53" s="210">
        <f>Z51-Z52</f>
        <v>0</v>
      </c>
      <c r="AA53" s="204" t="s">
        <v>197</v>
      </c>
    </row>
    <row r="54" spans="2:27" hidden="1">
      <c r="B54" s="321"/>
      <c r="C54" s="239" t="s">
        <v>108</v>
      </c>
      <c r="D54" s="235">
        <f>'Input Data'!K38</f>
        <v>95099197</v>
      </c>
      <c r="E54" s="204"/>
      <c r="F54" s="229" t="s">
        <v>137</v>
      </c>
      <c r="G54" s="327"/>
      <c r="H54" s="204" t="s">
        <v>9</v>
      </c>
      <c r="I54" s="215">
        <f>'Input Data'!M31</f>
        <v>0</v>
      </c>
      <c r="J54" s="216">
        <f t="shared" si="45"/>
        <v>0</v>
      </c>
      <c r="K54" s="217">
        <f t="shared" si="36"/>
        <v>0</v>
      </c>
      <c r="L54" s="218">
        <f>'Input Data'!AI14</f>
        <v>0</v>
      </c>
      <c r="M54" s="206">
        <f t="shared" si="24"/>
        <v>0</v>
      </c>
      <c r="N54" s="206">
        <f t="shared" si="37"/>
        <v>0</v>
      </c>
      <c r="O54" s="206">
        <f t="shared" si="44"/>
        <v>0</v>
      </c>
      <c r="P54" s="205">
        <f t="shared" si="39"/>
        <v>0</v>
      </c>
      <c r="Q54" s="219">
        <f t="shared" si="40"/>
        <v>0</v>
      </c>
      <c r="R54" s="206">
        <f t="shared" si="41"/>
        <v>0</v>
      </c>
      <c r="S54" s="278">
        <f>'Input Data'!$C$107/100/12</f>
        <v>0</v>
      </c>
      <c r="T54" s="220">
        <f t="shared" si="43"/>
        <v>0</v>
      </c>
      <c r="U54" s="221">
        <f t="shared" si="42"/>
        <v>0</v>
      </c>
      <c r="V54" s="198"/>
      <c r="W54" s="312"/>
      <c r="X54" s="204" t="s">
        <v>34</v>
      </c>
      <c r="Y54" s="204"/>
      <c r="Z54" s="205">
        <f>T57+U70</f>
        <v>0</v>
      </c>
      <c r="AA54" s="204" t="s">
        <v>198</v>
      </c>
    </row>
    <row r="55" spans="2:27" hidden="1">
      <c r="B55" s="321"/>
      <c r="C55" s="237" t="s">
        <v>149</v>
      </c>
      <c r="D55" s="204"/>
      <c r="E55" s="240">
        <f>IFERROR(ROUND(-E52/D54,4),0)</f>
        <v>0</v>
      </c>
      <c r="F55" s="229"/>
      <c r="G55" s="327"/>
      <c r="H55" s="204" t="s">
        <v>10</v>
      </c>
      <c r="I55" s="215">
        <f>'Input Data'!M32</f>
        <v>0</v>
      </c>
      <c r="J55" s="216">
        <f t="shared" si="45"/>
        <v>0</v>
      </c>
      <c r="K55" s="217">
        <f t="shared" si="36"/>
        <v>0</v>
      </c>
      <c r="L55" s="218">
        <f>'Input Data'!AI15</f>
        <v>0</v>
      </c>
      <c r="M55" s="206">
        <f t="shared" si="24"/>
        <v>0</v>
      </c>
      <c r="N55" s="206">
        <f t="shared" si="37"/>
        <v>0</v>
      </c>
      <c r="O55" s="206">
        <f t="shared" si="44"/>
        <v>0</v>
      </c>
      <c r="P55" s="205">
        <f t="shared" si="39"/>
        <v>0</v>
      </c>
      <c r="Q55" s="219">
        <f t="shared" si="40"/>
        <v>0</v>
      </c>
      <c r="R55" s="206">
        <f t="shared" si="41"/>
        <v>0</v>
      </c>
      <c r="S55" s="278">
        <f>'Input Data'!$C$107/100/12</f>
        <v>0</v>
      </c>
      <c r="T55" s="220">
        <f t="shared" si="43"/>
        <v>0</v>
      </c>
      <c r="U55" s="221">
        <f t="shared" si="42"/>
        <v>0</v>
      </c>
      <c r="V55" s="198"/>
      <c r="W55" s="313"/>
      <c r="X55" s="211"/>
      <c r="Y55" s="211"/>
      <c r="Z55" s="212"/>
      <c r="AA55" s="204"/>
    </row>
    <row r="56" spans="2:27" hidden="1">
      <c r="B56" s="321"/>
      <c r="C56" s="204"/>
      <c r="D56" s="204"/>
      <c r="E56" s="204"/>
      <c r="F56" s="229"/>
      <c r="G56" s="327"/>
      <c r="H56" s="204" t="s">
        <v>11</v>
      </c>
      <c r="I56" s="215">
        <f>'Input Data'!M33</f>
        <v>0</v>
      </c>
      <c r="J56" s="216">
        <f t="shared" si="45"/>
        <v>0</v>
      </c>
      <c r="K56" s="217">
        <f t="shared" si="36"/>
        <v>0</v>
      </c>
      <c r="L56" s="218">
        <f>'Input Data'!AI16</f>
        <v>0</v>
      </c>
      <c r="M56" s="206">
        <f t="shared" si="24"/>
        <v>0</v>
      </c>
      <c r="N56" s="206">
        <f t="shared" si="37"/>
        <v>0</v>
      </c>
      <c r="O56" s="206">
        <f t="shared" si="44"/>
        <v>0</v>
      </c>
      <c r="P56" s="205">
        <f t="shared" si="39"/>
        <v>0</v>
      </c>
      <c r="Q56" s="219">
        <f t="shared" si="40"/>
        <v>0</v>
      </c>
      <c r="R56" s="206">
        <f t="shared" si="41"/>
        <v>0</v>
      </c>
      <c r="S56" s="278">
        <f>'Input Data'!$C$107/100/12</f>
        <v>0</v>
      </c>
      <c r="T56" s="220">
        <f t="shared" si="43"/>
        <v>0</v>
      </c>
      <c r="U56" s="221">
        <f t="shared" si="42"/>
        <v>0</v>
      </c>
      <c r="V56" s="198"/>
      <c r="W56" s="204"/>
      <c r="X56" s="204"/>
      <c r="Y56" s="204"/>
      <c r="Z56" s="204"/>
      <c r="AA56" s="204"/>
    </row>
    <row r="57" spans="2:27" ht="15.75" hidden="1" thickBot="1">
      <c r="B57" s="322"/>
      <c r="C57" s="241"/>
      <c r="D57" s="241"/>
      <c r="E57" s="241"/>
      <c r="F57" s="242"/>
      <c r="G57" s="328"/>
      <c r="H57" s="222" t="s">
        <v>14</v>
      </c>
      <c r="I57" s="223">
        <f>SUM(I45:I56)</f>
        <v>0</v>
      </c>
      <c r="J57" s="222"/>
      <c r="K57" s="224">
        <f t="shared" ref="K57:N57" si="46">SUM(K45:K56)</f>
        <v>0</v>
      </c>
      <c r="L57" s="225">
        <f t="shared" si="46"/>
        <v>0</v>
      </c>
      <c r="M57" s="226">
        <f t="shared" si="46"/>
        <v>0</v>
      </c>
      <c r="N57" s="226">
        <f t="shared" si="46"/>
        <v>0</v>
      </c>
      <c r="O57" s="226">
        <f>SUM(O45:O56)</f>
        <v>0</v>
      </c>
      <c r="P57" s="224">
        <f>SUM(P45:P56)</f>
        <v>0</v>
      </c>
      <c r="Q57" s="225">
        <f>SUM(Q45:Q56)</f>
        <v>0</v>
      </c>
      <c r="R57" s="227"/>
      <c r="S57" s="213"/>
      <c r="T57" s="226">
        <f>SUM(T45:T56)</f>
        <v>0</v>
      </c>
      <c r="U57" s="228">
        <f>SUM(U45:U56)</f>
        <v>0</v>
      </c>
      <c r="V57" s="214"/>
      <c r="W57" s="204"/>
      <c r="X57" s="204"/>
      <c r="Y57" s="204"/>
      <c r="Z57" s="204"/>
      <c r="AA57" s="204"/>
    </row>
    <row r="58" spans="2:27" hidden="1">
      <c r="B58" s="323">
        <v>2028</v>
      </c>
      <c r="C58" s="187"/>
      <c r="D58" s="187"/>
      <c r="E58" s="187"/>
      <c r="F58" s="188"/>
      <c r="G58" s="326" t="s">
        <v>265</v>
      </c>
      <c r="H58" s="204" t="s">
        <v>0</v>
      </c>
      <c r="I58" s="215">
        <f>'Input Data'!N22</f>
        <v>0</v>
      </c>
      <c r="J58" s="216">
        <f>J56</f>
        <v>0</v>
      </c>
      <c r="K58" s="217">
        <f t="shared" ref="K58:K69" si="47">I58*J58</f>
        <v>0</v>
      </c>
      <c r="L58" s="218">
        <f>'Input Data'!AL5</f>
        <v>0</v>
      </c>
      <c r="M58" s="206">
        <f t="shared" ref="M58:M69" si="48">-L58/2</f>
        <v>0</v>
      </c>
      <c r="N58" s="206">
        <f t="shared" ref="N58:N69" si="49">-L58/2</f>
        <v>0</v>
      </c>
      <c r="O58" s="206">
        <f>IF(I58=0,0,-($E$50+$E$51)/12)</f>
        <v>0</v>
      </c>
      <c r="P58" s="205">
        <f t="shared" ref="P58:P69" si="50">N58+O58</f>
        <v>0</v>
      </c>
      <c r="Q58" s="219">
        <f t="shared" ref="Q58:Q69" si="51">P58-K58</f>
        <v>0</v>
      </c>
      <c r="R58" s="206">
        <f>Q58</f>
        <v>0</v>
      </c>
      <c r="S58" s="278">
        <f>'Input Data'!$C$108/100/12</f>
        <v>0</v>
      </c>
      <c r="T58" s="220"/>
      <c r="U58" s="221">
        <f>$Q$57*S58</f>
        <v>0</v>
      </c>
      <c r="V58" s="198"/>
      <c r="W58" s="204"/>
      <c r="X58" s="204"/>
      <c r="Y58" s="204"/>
      <c r="Z58" s="204"/>
      <c r="AA58" s="204"/>
    </row>
    <row r="59" spans="2:27" hidden="1">
      <c r="B59" s="324"/>
      <c r="C59" s="189" t="s">
        <v>81</v>
      </c>
      <c r="D59" s="190">
        <f>'Input Data'!X55</f>
        <v>38124758.312016666</v>
      </c>
      <c r="E59" s="183"/>
      <c r="F59" s="185" t="s">
        <v>189</v>
      </c>
      <c r="G59" s="327"/>
      <c r="H59" s="204" t="s">
        <v>1</v>
      </c>
      <c r="I59" s="215">
        <f>'Input Data'!N23</f>
        <v>0</v>
      </c>
      <c r="J59" s="216">
        <f>J58</f>
        <v>0</v>
      </c>
      <c r="K59" s="217">
        <f t="shared" si="47"/>
        <v>0</v>
      </c>
      <c r="L59" s="218">
        <f>'Input Data'!AL6</f>
        <v>0</v>
      </c>
      <c r="M59" s="206">
        <f t="shared" si="48"/>
        <v>0</v>
      </c>
      <c r="N59" s="206">
        <f t="shared" si="49"/>
        <v>0</v>
      </c>
      <c r="O59" s="206">
        <f>IF(I59=0,0,-($E$50+$E$51)/12)</f>
        <v>0</v>
      </c>
      <c r="P59" s="205">
        <f t="shared" si="50"/>
        <v>0</v>
      </c>
      <c r="Q59" s="219">
        <f t="shared" si="51"/>
        <v>0</v>
      </c>
      <c r="R59" s="206">
        <f t="shared" ref="R59:R69" si="52">Q59+R58</f>
        <v>0</v>
      </c>
      <c r="S59" s="278">
        <f>'Input Data'!$C$108/100/12</f>
        <v>0</v>
      </c>
      <c r="T59" s="220">
        <f>R58*S59</f>
        <v>0</v>
      </c>
      <c r="U59" s="221">
        <f t="shared" ref="U59:U69" si="53">$Q$57*S59</f>
        <v>0</v>
      </c>
      <c r="V59" s="198"/>
      <c r="W59" s="311" t="s">
        <v>234</v>
      </c>
      <c r="X59" s="202"/>
      <c r="Y59" s="202"/>
      <c r="Z59" s="203"/>
      <c r="AA59" s="204"/>
    </row>
    <row r="60" spans="2:27" hidden="1">
      <c r="B60" s="324"/>
      <c r="C60" s="189" t="s">
        <v>107</v>
      </c>
      <c r="D60" s="191">
        <f>'Input Data'!C68/1000</f>
        <v>0</v>
      </c>
      <c r="E60" s="183"/>
      <c r="F60" s="185" t="s">
        <v>229</v>
      </c>
      <c r="G60" s="327"/>
      <c r="H60" s="204" t="s">
        <v>2</v>
      </c>
      <c r="I60" s="215">
        <f>'Input Data'!N24</f>
        <v>0</v>
      </c>
      <c r="J60" s="216">
        <f>J59</f>
        <v>0</v>
      </c>
      <c r="K60" s="217">
        <f t="shared" si="47"/>
        <v>0</v>
      </c>
      <c r="L60" s="218">
        <f>'Input Data'!AL7</f>
        <v>0</v>
      </c>
      <c r="M60" s="206">
        <f t="shared" si="48"/>
        <v>0</v>
      </c>
      <c r="N60" s="206">
        <f t="shared" si="49"/>
        <v>0</v>
      </c>
      <c r="O60" s="206">
        <f t="shared" si="44"/>
        <v>0</v>
      </c>
      <c r="P60" s="205">
        <f t="shared" si="50"/>
        <v>0</v>
      </c>
      <c r="Q60" s="219">
        <f t="shared" si="51"/>
        <v>0</v>
      </c>
      <c r="R60" s="206">
        <f t="shared" si="52"/>
        <v>0</v>
      </c>
      <c r="S60" s="278">
        <f>'Input Data'!$C$108/100/12</f>
        <v>0</v>
      </c>
      <c r="T60" s="220">
        <f t="shared" ref="T60:T69" si="54">R59*S60</f>
        <v>0</v>
      </c>
      <c r="U60" s="221">
        <f t="shared" si="53"/>
        <v>0</v>
      </c>
      <c r="V60" s="198"/>
      <c r="W60" s="312"/>
      <c r="X60" s="204" t="s">
        <v>15</v>
      </c>
      <c r="Y60" s="204"/>
      <c r="Z60" s="205">
        <f>L70</f>
        <v>0</v>
      </c>
      <c r="AA60" s="204" t="s">
        <v>104</v>
      </c>
    </row>
    <row r="61" spans="2:27" hidden="1">
      <c r="B61" s="324"/>
      <c r="C61" s="189" t="s">
        <v>120</v>
      </c>
      <c r="D61" s="184">
        <f>D59*D60</f>
        <v>0</v>
      </c>
      <c r="E61" s="183"/>
      <c r="F61" s="185"/>
      <c r="G61" s="327"/>
      <c r="H61" s="204" t="s">
        <v>3</v>
      </c>
      <c r="I61" s="215">
        <f>'Input Data'!N25</f>
        <v>0</v>
      </c>
      <c r="J61" s="216">
        <f>J60</f>
        <v>0</v>
      </c>
      <c r="K61" s="217">
        <f t="shared" si="47"/>
        <v>0</v>
      </c>
      <c r="L61" s="218">
        <f>'Input Data'!AL8</f>
        <v>0</v>
      </c>
      <c r="M61" s="206">
        <f t="shared" si="48"/>
        <v>0</v>
      </c>
      <c r="N61" s="206">
        <f t="shared" si="49"/>
        <v>0</v>
      </c>
      <c r="O61" s="206">
        <f t="shared" si="44"/>
        <v>0</v>
      </c>
      <c r="P61" s="205">
        <f t="shared" si="50"/>
        <v>0</v>
      </c>
      <c r="Q61" s="219">
        <f t="shared" si="51"/>
        <v>0</v>
      </c>
      <c r="R61" s="206">
        <f t="shared" si="52"/>
        <v>0</v>
      </c>
      <c r="S61" s="278">
        <f>'Input Data'!$C$109/100/12</f>
        <v>0</v>
      </c>
      <c r="T61" s="220">
        <f t="shared" si="54"/>
        <v>0</v>
      </c>
      <c r="U61" s="221">
        <f t="shared" si="53"/>
        <v>0</v>
      </c>
      <c r="V61" s="198"/>
      <c r="W61" s="312"/>
      <c r="X61" s="204" t="s">
        <v>92</v>
      </c>
      <c r="Y61" s="204"/>
      <c r="Z61" s="205">
        <f>M70</f>
        <v>0</v>
      </c>
      <c r="AA61" s="204" t="s">
        <v>31</v>
      </c>
    </row>
    <row r="62" spans="2:27" hidden="1">
      <c r="B62" s="324"/>
      <c r="C62" s="189" t="s">
        <v>121</v>
      </c>
      <c r="D62" s="183"/>
      <c r="E62" s="184">
        <f>D61/2</f>
        <v>0</v>
      </c>
      <c r="F62" s="185" t="s">
        <v>132</v>
      </c>
      <c r="G62" s="327"/>
      <c r="H62" s="204" t="s">
        <v>4</v>
      </c>
      <c r="I62" s="215">
        <f>'Input Data'!N26</f>
        <v>0</v>
      </c>
      <c r="J62" s="216">
        <f>E68</f>
        <v>0</v>
      </c>
      <c r="K62" s="217">
        <f t="shared" si="47"/>
        <v>0</v>
      </c>
      <c r="L62" s="218">
        <f>'Input Data'!AL9</f>
        <v>0</v>
      </c>
      <c r="M62" s="206">
        <f t="shared" si="48"/>
        <v>0</v>
      </c>
      <c r="N62" s="206">
        <f t="shared" si="49"/>
        <v>0</v>
      </c>
      <c r="O62" s="206">
        <f>IF(I62=0,0,-($E$63+$E$64)/12)</f>
        <v>0</v>
      </c>
      <c r="P62" s="205">
        <f t="shared" si="50"/>
        <v>0</v>
      </c>
      <c r="Q62" s="219">
        <f t="shared" si="51"/>
        <v>0</v>
      </c>
      <c r="R62" s="206">
        <f t="shared" si="52"/>
        <v>0</v>
      </c>
      <c r="S62" s="278">
        <f>'Input Data'!$C$109/100/12</f>
        <v>0</v>
      </c>
      <c r="T62" s="220">
        <f t="shared" si="54"/>
        <v>0</v>
      </c>
      <c r="U62" s="221">
        <f t="shared" si="53"/>
        <v>0</v>
      </c>
      <c r="V62" s="198"/>
      <c r="W62" s="312"/>
      <c r="X62" s="204" t="s">
        <v>67</v>
      </c>
      <c r="Y62" s="206">
        <f>N70</f>
        <v>0</v>
      </c>
      <c r="Z62" s="207"/>
      <c r="AA62" s="204" t="s">
        <v>105</v>
      </c>
    </row>
    <row r="63" spans="2:27" hidden="1">
      <c r="B63" s="324"/>
      <c r="C63" s="189" t="s">
        <v>109</v>
      </c>
      <c r="D63" s="183"/>
      <c r="E63" s="184">
        <f>IF(I43=0,0,-Z40)</f>
        <v>0</v>
      </c>
      <c r="F63" s="185" t="s">
        <v>191</v>
      </c>
      <c r="G63" s="327"/>
      <c r="H63" s="204" t="s">
        <v>5</v>
      </c>
      <c r="I63" s="215">
        <f>'Input Data'!N27</f>
        <v>0</v>
      </c>
      <c r="J63" s="216">
        <f>J62</f>
        <v>0</v>
      </c>
      <c r="K63" s="217">
        <f t="shared" si="47"/>
        <v>0</v>
      </c>
      <c r="L63" s="218">
        <f>'Input Data'!AL10</f>
        <v>0</v>
      </c>
      <c r="M63" s="206">
        <f t="shared" si="48"/>
        <v>0</v>
      </c>
      <c r="N63" s="206">
        <f t="shared" si="49"/>
        <v>0</v>
      </c>
      <c r="O63" s="206">
        <f t="shared" ref="O63:O69" si="55">IF(I63=0,0,-($E$63+$E$64)/12)</f>
        <v>0</v>
      </c>
      <c r="P63" s="205">
        <f t="shared" si="50"/>
        <v>0</v>
      </c>
      <c r="Q63" s="219">
        <f t="shared" si="51"/>
        <v>0</v>
      </c>
      <c r="R63" s="206">
        <f t="shared" si="52"/>
        <v>0</v>
      </c>
      <c r="S63" s="278">
        <f>'Input Data'!$C$109/100/12</f>
        <v>0</v>
      </c>
      <c r="T63" s="220">
        <f t="shared" si="54"/>
        <v>0</v>
      </c>
      <c r="U63" s="221">
        <f t="shared" si="53"/>
        <v>0</v>
      </c>
      <c r="V63" s="198"/>
      <c r="W63" s="312"/>
      <c r="X63" s="204" t="s">
        <v>247</v>
      </c>
      <c r="Y63" s="208">
        <f>O70</f>
        <v>0</v>
      </c>
      <c r="Z63" s="207"/>
      <c r="AA63" s="204" t="s">
        <v>161</v>
      </c>
    </row>
    <row r="64" spans="2:27" hidden="1">
      <c r="B64" s="324"/>
      <c r="C64" s="189" t="s">
        <v>110</v>
      </c>
      <c r="D64" s="183"/>
      <c r="E64" s="184">
        <f>IF(I43=0,0,-Z41)</f>
        <v>0</v>
      </c>
      <c r="F64" s="185" t="s">
        <v>192</v>
      </c>
      <c r="G64" s="327"/>
      <c r="H64" s="204" t="s">
        <v>6</v>
      </c>
      <c r="I64" s="215">
        <f>'Input Data'!N28</f>
        <v>0</v>
      </c>
      <c r="J64" s="216">
        <f t="shared" ref="J64:J69" si="56">J63</f>
        <v>0</v>
      </c>
      <c r="K64" s="217">
        <f t="shared" si="47"/>
        <v>0</v>
      </c>
      <c r="L64" s="218">
        <f>'Input Data'!AL11</f>
        <v>0</v>
      </c>
      <c r="M64" s="206">
        <f t="shared" si="48"/>
        <v>0</v>
      </c>
      <c r="N64" s="206">
        <f t="shared" si="49"/>
        <v>0</v>
      </c>
      <c r="O64" s="206">
        <f t="shared" si="55"/>
        <v>0</v>
      </c>
      <c r="P64" s="205">
        <f t="shared" si="50"/>
        <v>0</v>
      </c>
      <c r="Q64" s="219">
        <f t="shared" si="51"/>
        <v>0</v>
      </c>
      <c r="R64" s="206">
        <f t="shared" si="52"/>
        <v>0</v>
      </c>
      <c r="S64" s="278">
        <f>'Input Data'!$C$110/100/12</f>
        <v>0</v>
      </c>
      <c r="T64" s="220">
        <f t="shared" si="54"/>
        <v>0</v>
      </c>
      <c r="U64" s="221">
        <f t="shared" si="53"/>
        <v>0</v>
      </c>
      <c r="V64" s="198"/>
      <c r="W64" s="312"/>
      <c r="X64" s="204" t="s">
        <v>32</v>
      </c>
      <c r="Y64" s="204"/>
      <c r="Z64" s="205">
        <f>Y63+Y62</f>
        <v>0</v>
      </c>
      <c r="AA64" s="204" t="s">
        <v>106</v>
      </c>
    </row>
    <row r="65" spans="2:27" hidden="1">
      <c r="B65" s="324"/>
      <c r="C65" s="192" t="s">
        <v>147</v>
      </c>
      <c r="D65" s="183"/>
      <c r="E65" s="193">
        <f>SUM(E62:E64)</f>
        <v>0</v>
      </c>
      <c r="F65" s="185"/>
      <c r="G65" s="327"/>
      <c r="H65" s="204" t="s">
        <v>7</v>
      </c>
      <c r="I65" s="215">
        <f>'Input Data'!N29</f>
        <v>0</v>
      </c>
      <c r="J65" s="216">
        <f t="shared" si="56"/>
        <v>0</v>
      </c>
      <c r="K65" s="217">
        <f t="shared" si="47"/>
        <v>0</v>
      </c>
      <c r="L65" s="218">
        <f>'Input Data'!AL12</f>
        <v>0</v>
      </c>
      <c r="M65" s="206">
        <f t="shared" si="48"/>
        <v>0</v>
      </c>
      <c r="N65" s="206">
        <f t="shared" si="49"/>
        <v>0</v>
      </c>
      <c r="O65" s="206">
        <f t="shared" si="55"/>
        <v>0</v>
      </c>
      <c r="P65" s="205">
        <f t="shared" si="50"/>
        <v>0</v>
      </c>
      <c r="Q65" s="219">
        <f t="shared" si="51"/>
        <v>0</v>
      </c>
      <c r="R65" s="206">
        <f t="shared" si="52"/>
        <v>0</v>
      </c>
      <c r="S65" s="278">
        <f>'Input Data'!$C$110/100/12</f>
        <v>0</v>
      </c>
      <c r="T65" s="220">
        <f t="shared" si="54"/>
        <v>0</v>
      </c>
      <c r="U65" s="221">
        <f t="shared" si="53"/>
        <v>0</v>
      </c>
      <c r="V65" s="198"/>
      <c r="W65" s="312"/>
      <c r="X65" s="204" t="s">
        <v>33</v>
      </c>
      <c r="Y65" s="204"/>
      <c r="Z65" s="209">
        <f>K70</f>
        <v>0</v>
      </c>
      <c r="AA65" s="204" t="s">
        <v>148</v>
      </c>
    </row>
    <row r="66" spans="2:27" hidden="1">
      <c r="B66" s="324"/>
      <c r="C66" s="183"/>
      <c r="D66" s="183"/>
      <c r="E66" s="183"/>
      <c r="F66" s="185"/>
      <c r="G66" s="327"/>
      <c r="H66" s="204" t="s">
        <v>8</v>
      </c>
      <c r="I66" s="215">
        <f>'Input Data'!N30</f>
        <v>0</v>
      </c>
      <c r="J66" s="216">
        <f t="shared" si="56"/>
        <v>0</v>
      </c>
      <c r="K66" s="217">
        <f t="shared" si="47"/>
        <v>0</v>
      </c>
      <c r="L66" s="218">
        <f>'Input Data'!AL13</f>
        <v>0</v>
      </c>
      <c r="M66" s="206">
        <f t="shared" si="48"/>
        <v>0</v>
      </c>
      <c r="N66" s="206">
        <f t="shared" si="49"/>
        <v>0</v>
      </c>
      <c r="O66" s="206">
        <f t="shared" si="55"/>
        <v>0</v>
      </c>
      <c r="P66" s="205">
        <f t="shared" si="50"/>
        <v>0</v>
      </c>
      <c r="Q66" s="219">
        <f t="shared" si="51"/>
        <v>0</v>
      </c>
      <c r="R66" s="206">
        <f t="shared" si="52"/>
        <v>0</v>
      </c>
      <c r="S66" s="278">
        <f>'Input Data'!$C$110/100/12</f>
        <v>0</v>
      </c>
      <c r="T66" s="220">
        <f t="shared" si="54"/>
        <v>0</v>
      </c>
      <c r="U66" s="221">
        <f t="shared" si="53"/>
        <v>0</v>
      </c>
      <c r="V66" s="198"/>
      <c r="W66" s="312"/>
      <c r="X66" s="204" t="s">
        <v>18</v>
      </c>
      <c r="Y66" s="204"/>
      <c r="Z66" s="210">
        <f>Z64-Z65</f>
        <v>0</v>
      </c>
      <c r="AA66" s="204" t="s">
        <v>199</v>
      </c>
    </row>
    <row r="67" spans="2:27" hidden="1">
      <c r="B67" s="324"/>
      <c r="C67" s="194" t="s">
        <v>108</v>
      </c>
      <c r="D67" s="190">
        <f>'Input Data'!L38</f>
        <v>0</v>
      </c>
      <c r="E67" s="183"/>
      <c r="F67" s="185" t="s">
        <v>193</v>
      </c>
      <c r="G67" s="327"/>
      <c r="H67" s="204" t="s">
        <v>9</v>
      </c>
      <c r="I67" s="215">
        <f>'Input Data'!N31</f>
        <v>0</v>
      </c>
      <c r="J67" s="216">
        <f t="shared" si="56"/>
        <v>0</v>
      </c>
      <c r="K67" s="217">
        <f t="shared" si="47"/>
        <v>0</v>
      </c>
      <c r="L67" s="218">
        <f>'Input Data'!AL14</f>
        <v>0</v>
      </c>
      <c r="M67" s="206">
        <f t="shared" si="48"/>
        <v>0</v>
      </c>
      <c r="N67" s="206">
        <f t="shared" si="49"/>
        <v>0</v>
      </c>
      <c r="O67" s="206">
        <f t="shared" si="55"/>
        <v>0</v>
      </c>
      <c r="P67" s="205">
        <f t="shared" si="50"/>
        <v>0</v>
      </c>
      <c r="Q67" s="219">
        <f t="shared" si="51"/>
        <v>0</v>
      </c>
      <c r="R67" s="206">
        <f t="shared" si="52"/>
        <v>0</v>
      </c>
      <c r="S67" s="278">
        <f>'Input Data'!$C$111/100/12</f>
        <v>0</v>
      </c>
      <c r="T67" s="220">
        <f t="shared" si="54"/>
        <v>0</v>
      </c>
      <c r="U67" s="221">
        <f t="shared" si="53"/>
        <v>0</v>
      </c>
      <c r="V67" s="198"/>
      <c r="W67" s="312"/>
      <c r="X67" s="204" t="s">
        <v>34</v>
      </c>
      <c r="Y67" s="204"/>
      <c r="Z67" s="205">
        <f>T70+U83</f>
        <v>0</v>
      </c>
      <c r="AA67" s="204" t="s">
        <v>200</v>
      </c>
    </row>
    <row r="68" spans="2:27" hidden="1">
      <c r="B68" s="324"/>
      <c r="C68" s="192" t="s">
        <v>188</v>
      </c>
      <c r="D68" s="183"/>
      <c r="E68" s="195">
        <f>IFERROR(ROUND(-E65/D67,4),0)</f>
        <v>0</v>
      </c>
      <c r="F68" s="185"/>
      <c r="G68" s="327"/>
      <c r="H68" s="204" t="s">
        <v>10</v>
      </c>
      <c r="I68" s="215">
        <f>'Input Data'!N32</f>
        <v>0</v>
      </c>
      <c r="J68" s="216">
        <f t="shared" si="56"/>
        <v>0</v>
      </c>
      <c r="K68" s="217">
        <f t="shared" si="47"/>
        <v>0</v>
      </c>
      <c r="L68" s="218">
        <f>'Input Data'!AL15</f>
        <v>0</v>
      </c>
      <c r="M68" s="206">
        <f t="shared" si="48"/>
        <v>0</v>
      </c>
      <c r="N68" s="206">
        <f t="shared" si="49"/>
        <v>0</v>
      </c>
      <c r="O68" s="206">
        <f t="shared" si="55"/>
        <v>0</v>
      </c>
      <c r="P68" s="205">
        <f t="shared" si="50"/>
        <v>0</v>
      </c>
      <c r="Q68" s="219">
        <f t="shared" si="51"/>
        <v>0</v>
      </c>
      <c r="R68" s="206">
        <f t="shared" si="52"/>
        <v>0</v>
      </c>
      <c r="S68" s="278">
        <f>'Input Data'!$C$111/100/12</f>
        <v>0</v>
      </c>
      <c r="T68" s="220">
        <f t="shared" si="54"/>
        <v>0</v>
      </c>
      <c r="U68" s="221">
        <f t="shared" si="53"/>
        <v>0</v>
      </c>
      <c r="V68" s="198"/>
      <c r="W68" s="313"/>
      <c r="X68" s="211"/>
      <c r="Y68" s="211"/>
      <c r="Z68" s="212"/>
      <c r="AA68" s="204"/>
    </row>
    <row r="69" spans="2:27" hidden="1">
      <c r="B69" s="324"/>
      <c r="C69" s="183"/>
      <c r="D69" s="183"/>
      <c r="E69" s="183"/>
      <c r="F69" s="185"/>
      <c r="G69" s="327"/>
      <c r="H69" s="204" t="s">
        <v>11</v>
      </c>
      <c r="I69" s="215">
        <f>'Input Data'!N33</f>
        <v>0</v>
      </c>
      <c r="J69" s="216">
        <f t="shared" si="56"/>
        <v>0</v>
      </c>
      <c r="K69" s="217">
        <f t="shared" si="47"/>
        <v>0</v>
      </c>
      <c r="L69" s="218">
        <f>'Input Data'!AL16</f>
        <v>0</v>
      </c>
      <c r="M69" s="206">
        <f t="shared" si="48"/>
        <v>0</v>
      </c>
      <c r="N69" s="206">
        <f t="shared" si="49"/>
        <v>0</v>
      </c>
      <c r="O69" s="206">
        <f t="shared" si="55"/>
        <v>0</v>
      </c>
      <c r="P69" s="205">
        <f t="shared" si="50"/>
        <v>0</v>
      </c>
      <c r="Q69" s="219">
        <f t="shared" si="51"/>
        <v>0</v>
      </c>
      <c r="R69" s="206">
        <f t="shared" si="52"/>
        <v>0</v>
      </c>
      <c r="S69" s="278">
        <f>'Input Data'!$C$111/100/12</f>
        <v>0</v>
      </c>
      <c r="T69" s="220">
        <f t="shared" si="54"/>
        <v>0</v>
      </c>
      <c r="U69" s="221">
        <f t="shared" si="53"/>
        <v>0</v>
      </c>
      <c r="V69" s="198"/>
      <c r="W69" s="204"/>
      <c r="X69" s="204"/>
      <c r="Y69" s="204"/>
      <c r="Z69" s="204"/>
      <c r="AA69" s="204"/>
    </row>
    <row r="70" spans="2:27" ht="15.75" hidden="1" thickBot="1">
      <c r="B70" s="325"/>
      <c r="C70" s="196"/>
      <c r="D70" s="196"/>
      <c r="E70" s="196"/>
      <c r="F70" s="197"/>
      <c r="G70" s="328"/>
      <c r="H70" s="222" t="s">
        <v>14</v>
      </c>
      <c r="I70" s="223">
        <f>SUM(I58:I69)</f>
        <v>0</v>
      </c>
      <c r="J70" s="222"/>
      <c r="K70" s="224">
        <f t="shared" ref="K70:Q70" si="57">SUM(K58:K69)</f>
        <v>0</v>
      </c>
      <c r="L70" s="225">
        <f t="shared" si="57"/>
        <v>0</v>
      </c>
      <c r="M70" s="226">
        <f t="shared" si="57"/>
        <v>0</v>
      </c>
      <c r="N70" s="226">
        <f t="shared" si="57"/>
        <v>0</v>
      </c>
      <c r="O70" s="226">
        <f t="shared" si="57"/>
        <v>0</v>
      </c>
      <c r="P70" s="224">
        <f t="shared" si="57"/>
        <v>0</v>
      </c>
      <c r="Q70" s="225">
        <f t="shared" si="57"/>
        <v>0</v>
      </c>
      <c r="R70" s="227"/>
      <c r="S70" s="213"/>
      <c r="T70" s="226">
        <f>SUM(T58:T69)</f>
        <v>0</v>
      </c>
      <c r="U70" s="228">
        <f>SUM(U58:U69)</f>
        <v>0</v>
      </c>
      <c r="V70" s="214"/>
      <c r="W70" s="200"/>
      <c r="X70" s="200"/>
      <c r="Y70" s="200"/>
      <c r="Z70" s="200"/>
      <c r="AA70" s="200"/>
    </row>
    <row r="71" spans="2:27">
      <c r="G71" s="229"/>
      <c r="H71" s="200"/>
      <c r="I71" s="23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31"/>
      <c r="Z71" s="200"/>
      <c r="AA71" s="200"/>
    </row>
    <row r="72" spans="2:27">
      <c r="G72" s="185"/>
      <c r="H72" s="182"/>
      <c r="I72" s="186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</row>
  </sheetData>
  <mergeCells count="17">
    <mergeCell ref="B32:B44"/>
    <mergeCell ref="W33:W42"/>
    <mergeCell ref="B45:B57"/>
    <mergeCell ref="W46:W55"/>
    <mergeCell ref="B58:B70"/>
    <mergeCell ref="W59:W68"/>
    <mergeCell ref="G32:G44"/>
    <mergeCell ref="G45:G57"/>
    <mergeCell ref="G58:G70"/>
    <mergeCell ref="H2:U2"/>
    <mergeCell ref="C5:E5"/>
    <mergeCell ref="B6:B18"/>
    <mergeCell ref="W7:W16"/>
    <mergeCell ref="B19:B31"/>
    <mergeCell ref="W20:W29"/>
    <mergeCell ref="G6:G18"/>
    <mergeCell ref="G19:G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D7F5-1492-454F-B5B0-95B8F9FD5735}">
  <sheetPr codeName="Sheet3"/>
  <dimension ref="B1:P43"/>
  <sheetViews>
    <sheetView workbookViewId="0">
      <selection activeCell="O24" sqref="O24"/>
    </sheetView>
  </sheetViews>
  <sheetFormatPr defaultColWidth="8.85546875" defaultRowHeight="15"/>
  <cols>
    <col min="3" max="3" width="11.28515625" bestFit="1" customWidth="1"/>
    <col min="4" max="4" width="11.42578125" bestFit="1" customWidth="1"/>
    <col min="5" max="6" width="12.28515625" bestFit="1" customWidth="1"/>
    <col min="7" max="7" width="11.42578125" customWidth="1"/>
    <col min="8" max="8" width="8.42578125" bestFit="1" customWidth="1"/>
    <col min="9" max="9" width="11" customWidth="1"/>
    <col min="10" max="10" width="9.7109375" bestFit="1" customWidth="1"/>
    <col min="13" max="13" width="33.42578125" bestFit="1" customWidth="1"/>
    <col min="14" max="14" width="11.140625" customWidth="1"/>
    <col min="15" max="15" width="13" customWidth="1"/>
    <col min="16" max="16" width="43" bestFit="1" customWidth="1"/>
  </cols>
  <sheetData>
    <row r="1" spans="2:16" ht="15.75" thickBot="1"/>
    <row r="2" spans="2:16" ht="15.75">
      <c r="C2" s="329" t="s">
        <v>112</v>
      </c>
      <c r="D2" s="330"/>
      <c r="E2" s="330"/>
      <c r="F2" s="330"/>
      <c r="G2" s="330"/>
      <c r="H2" s="330"/>
      <c r="I2" s="330"/>
      <c r="J2" s="331"/>
    </row>
    <row r="3" spans="2:16" ht="45">
      <c r="C3" s="53"/>
      <c r="D3" s="66" t="s">
        <v>15</v>
      </c>
      <c r="E3" s="67" t="s">
        <v>210</v>
      </c>
      <c r="F3" s="67" t="s">
        <v>67</v>
      </c>
      <c r="G3" s="64" t="s">
        <v>113</v>
      </c>
      <c r="H3" s="64" t="s">
        <v>22</v>
      </c>
      <c r="I3" s="64" t="s">
        <v>21</v>
      </c>
      <c r="J3" s="68" t="s">
        <v>86</v>
      </c>
    </row>
    <row r="4" spans="2:16" ht="15.75" thickBot="1">
      <c r="C4" s="55"/>
      <c r="D4" s="83" t="s">
        <v>23</v>
      </c>
      <c r="E4" s="84" t="s">
        <v>128</v>
      </c>
      <c r="F4" s="84" t="s">
        <v>129</v>
      </c>
      <c r="G4" s="81" t="s">
        <v>25</v>
      </c>
      <c r="H4" s="81" t="s">
        <v>130</v>
      </c>
      <c r="I4" s="81" t="s">
        <v>211</v>
      </c>
      <c r="J4" s="85"/>
    </row>
    <row r="5" spans="2:16">
      <c r="B5" s="305">
        <v>2023</v>
      </c>
      <c r="C5" t="s">
        <v>0</v>
      </c>
      <c r="D5" s="51"/>
      <c r="E5" s="10">
        <f t="shared" ref="E5:E16" si="0">-D5/2</f>
        <v>0</v>
      </c>
      <c r="F5" s="10">
        <f t="shared" ref="F5:F16" si="1">-D5/2</f>
        <v>0</v>
      </c>
      <c r="G5" s="10">
        <f>F5</f>
        <v>0</v>
      </c>
      <c r="H5" s="52">
        <f>'Input Data'!$C$88/100/12</f>
        <v>3.9416666666666671E-3</v>
      </c>
      <c r="I5" s="79">
        <f t="shared" ref="I5:I10" si="2">G5*H5</f>
        <v>0</v>
      </c>
      <c r="J5" s="54"/>
      <c r="K5" s="10"/>
    </row>
    <row r="6" spans="2:16">
      <c r="B6" s="306"/>
      <c r="C6" t="s">
        <v>1</v>
      </c>
      <c r="D6" s="51"/>
      <c r="E6" s="10">
        <f t="shared" si="0"/>
        <v>0</v>
      </c>
      <c r="F6" s="10">
        <f t="shared" si="1"/>
        <v>0</v>
      </c>
      <c r="G6" s="10">
        <f t="shared" ref="G6:G16" si="3">G5+F6</f>
        <v>0</v>
      </c>
      <c r="H6" s="52">
        <f>'Input Data'!$C$88/100/12</f>
        <v>3.9416666666666671E-3</v>
      </c>
      <c r="I6" s="79">
        <f t="shared" si="2"/>
        <v>0</v>
      </c>
      <c r="J6" s="54"/>
      <c r="K6" s="10"/>
      <c r="L6" s="110" t="s">
        <v>93</v>
      </c>
      <c r="M6" s="16"/>
      <c r="N6" s="16"/>
      <c r="O6" s="17"/>
    </row>
    <row r="7" spans="2:16">
      <c r="B7" s="306"/>
      <c r="C7" t="s">
        <v>2</v>
      </c>
      <c r="D7" s="51"/>
      <c r="E7" s="10">
        <f t="shared" si="0"/>
        <v>0</v>
      </c>
      <c r="F7" s="10">
        <f t="shared" si="1"/>
        <v>0</v>
      </c>
      <c r="G7" s="10">
        <f t="shared" si="3"/>
        <v>0</v>
      </c>
      <c r="H7" s="52">
        <f>'Input Data'!$C$88/100/12</f>
        <v>3.9416666666666671E-3</v>
      </c>
      <c r="I7" s="79">
        <f t="shared" si="2"/>
        <v>0</v>
      </c>
      <c r="J7" s="54"/>
      <c r="K7" s="10"/>
      <c r="L7" s="70"/>
      <c r="M7" t="s">
        <v>94</v>
      </c>
      <c r="O7" s="39">
        <f>D17</f>
        <v>1269949.6811176802</v>
      </c>
      <c r="P7" t="s">
        <v>104</v>
      </c>
    </row>
    <row r="8" spans="2:16">
      <c r="B8" s="306"/>
      <c r="C8" t="s">
        <v>3</v>
      </c>
      <c r="D8" s="51"/>
      <c r="E8" s="10">
        <f t="shared" si="0"/>
        <v>0</v>
      </c>
      <c r="F8" s="10">
        <f t="shared" si="1"/>
        <v>0</v>
      </c>
      <c r="G8" s="10">
        <f t="shared" si="3"/>
        <v>0</v>
      </c>
      <c r="H8" s="52">
        <f>'Input Data'!$C$89/100/12</f>
        <v>4.15E-3</v>
      </c>
      <c r="I8" s="79">
        <f t="shared" si="2"/>
        <v>0</v>
      </c>
      <c r="J8" s="54"/>
      <c r="K8" s="10"/>
      <c r="L8" s="70"/>
      <c r="M8" t="s">
        <v>92</v>
      </c>
      <c r="O8" s="39">
        <f>E17</f>
        <v>-634974.84055884008</v>
      </c>
      <c r="P8" t="s">
        <v>31</v>
      </c>
    </row>
    <row r="9" spans="2:16">
      <c r="B9" s="306"/>
      <c r="C9" t="s">
        <v>4</v>
      </c>
      <c r="D9" s="51"/>
      <c r="E9" s="10">
        <f t="shared" si="0"/>
        <v>0</v>
      </c>
      <c r="F9" s="10">
        <f t="shared" si="1"/>
        <v>0</v>
      </c>
      <c r="G9" s="10">
        <f t="shared" si="3"/>
        <v>0</v>
      </c>
      <c r="H9" s="52">
        <f>'Input Data'!$C$89/100/12</f>
        <v>4.15E-3</v>
      </c>
      <c r="I9" s="79">
        <f t="shared" si="2"/>
        <v>0</v>
      </c>
      <c r="J9" s="54"/>
      <c r="K9" s="10"/>
      <c r="L9" s="70"/>
      <c r="M9" t="s">
        <v>114</v>
      </c>
      <c r="O9" s="39">
        <f>F17</f>
        <v>-634974.84055884008</v>
      </c>
      <c r="P9" t="s">
        <v>115</v>
      </c>
    </row>
    <row r="10" spans="2:16">
      <c r="B10" s="306"/>
      <c r="C10" t="s">
        <v>5</v>
      </c>
      <c r="D10" s="51"/>
      <c r="E10" s="10">
        <f t="shared" si="0"/>
        <v>0</v>
      </c>
      <c r="F10" s="10">
        <f t="shared" si="1"/>
        <v>0</v>
      </c>
      <c r="G10" s="10">
        <f t="shared" si="3"/>
        <v>0</v>
      </c>
      <c r="H10" s="52">
        <f>'Input Data'!$C$89/100/12</f>
        <v>4.15E-3</v>
      </c>
      <c r="I10" s="79">
        <f t="shared" si="2"/>
        <v>0</v>
      </c>
      <c r="J10" s="54"/>
      <c r="K10" s="10"/>
      <c r="L10" s="71"/>
      <c r="M10" s="21" t="s">
        <v>19</v>
      </c>
      <c r="N10" s="21"/>
      <c r="O10" s="56">
        <f>I17+J30</f>
        <v>-41461.099635012637</v>
      </c>
      <c r="P10" t="s">
        <v>116</v>
      </c>
    </row>
    <row r="11" spans="2:16">
      <c r="B11" s="306"/>
      <c r="C11" t="s">
        <v>6</v>
      </c>
      <c r="D11" s="86">
        <f>'Input Data'!W11</f>
        <v>256400.04</v>
      </c>
      <c r="E11" s="10">
        <f>-D11/2</f>
        <v>-128200.02</v>
      </c>
      <c r="F11" s="10">
        <f t="shared" si="1"/>
        <v>-128200.02</v>
      </c>
      <c r="G11" s="10">
        <f t="shared" si="3"/>
        <v>-128200.02</v>
      </c>
      <c r="H11" s="88">
        <f>'Input Data'!$C$90/100/12</f>
        <v>4.15E-3</v>
      </c>
      <c r="I11" s="79">
        <f>G10*H11</f>
        <v>0</v>
      </c>
      <c r="J11" s="54"/>
      <c r="K11" s="10"/>
    </row>
    <row r="12" spans="2:16">
      <c r="B12" s="306"/>
      <c r="C12" t="s">
        <v>7</v>
      </c>
      <c r="D12" s="86">
        <f>'Input Data'!W12</f>
        <v>388490.9</v>
      </c>
      <c r="E12" s="10">
        <f t="shared" si="0"/>
        <v>-194245.45</v>
      </c>
      <c r="F12" s="10">
        <f t="shared" si="1"/>
        <v>-194245.45</v>
      </c>
      <c r="G12" s="10">
        <f t="shared" si="3"/>
        <v>-322445.47000000003</v>
      </c>
      <c r="H12" s="88">
        <f>'Input Data'!$C$90/100/12</f>
        <v>4.15E-3</v>
      </c>
      <c r="I12" s="79">
        <f t="shared" ref="I12:I16" si="4">G11*H12</f>
        <v>-532.03008299999999</v>
      </c>
      <c r="J12" s="54"/>
      <c r="K12" s="10"/>
    </row>
    <row r="13" spans="2:16">
      <c r="B13" s="306"/>
      <c r="C13" t="s">
        <v>8</v>
      </c>
      <c r="D13" s="86">
        <f>'Input Data'!W13</f>
        <v>202525.97</v>
      </c>
      <c r="E13" s="10">
        <f t="shared" si="0"/>
        <v>-101262.985</v>
      </c>
      <c r="F13" s="10">
        <f t="shared" si="1"/>
        <v>-101262.985</v>
      </c>
      <c r="G13" s="10">
        <f t="shared" si="3"/>
        <v>-423708.45500000002</v>
      </c>
      <c r="H13" s="88">
        <f>'Input Data'!$C$90/100/12</f>
        <v>4.15E-3</v>
      </c>
      <c r="I13" s="79">
        <f t="shared" si="4"/>
        <v>-1338.1487005000001</v>
      </c>
      <c r="J13" s="54"/>
      <c r="K13" s="10"/>
    </row>
    <row r="14" spans="2:16">
      <c r="B14" s="306"/>
      <c r="C14" t="s">
        <v>9</v>
      </c>
      <c r="D14" s="86">
        <f>'Input Data'!W14</f>
        <v>185558.62950044</v>
      </c>
      <c r="E14" s="10">
        <f t="shared" si="0"/>
        <v>-92779.314750220001</v>
      </c>
      <c r="F14" s="10">
        <f t="shared" si="1"/>
        <v>-92779.314750220001</v>
      </c>
      <c r="G14" s="10">
        <f t="shared" si="3"/>
        <v>-516487.76975022</v>
      </c>
      <c r="H14" s="88">
        <f>'Input Data'!$C$91/100/12</f>
        <v>4.5750000000000001E-3</v>
      </c>
      <c r="I14" s="79">
        <f t="shared" si="4"/>
        <v>-1938.4661816250002</v>
      </c>
      <c r="J14" s="54"/>
      <c r="K14" s="10"/>
    </row>
    <row r="15" spans="2:16">
      <c r="B15" s="306"/>
      <c r="C15" t="s">
        <v>10</v>
      </c>
      <c r="D15" s="86">
        <f>'Input Data'!W15</f>
        <v>112409.19340800002</v>
      </c>
      <c r="E15" s="10">
        <f t="shared" si="0"/>
        <v>-56204.596704000011</v>
      </c>
      <c r="F15" s="10">
        <f t="shared" si="1"/>
        <v>-56204.596704000011</v>
      </c>
      <c r="G15" s="10">
        <f t="shared" si="3"/>
        <v>-572692.36645422003</v>
      </c>
      <c r="H15" s="88">
        <f>'Input Data'!$C$91/100/12</f>
        <v>4.5750000000000001E-3</v>
      </c>
      <c r="I15" s="79">
        <f t="shared" si="4"/>
        <v>-2362.9315466072567</v>
      </c>
      <c r="J15" s="54"/>
      <c r="K15" s="10"/>
    </row>
    <row r="16" spans="2:16">
      <c r="B16" s="306"/>
      <c r="C16" t="s">
        <v>11</v>
      </c>
      <c r="D16" s="86">
        <f>'Input Data'!W16</f>
        <v>124564.94820924</v>
      </c>
      <c r="E16" s="10">
        <f t="shared" si="0"/>
        <v>-62282.47410462</v>
      </c>
      <c r="F16" s="10">
        <f t="shared" si="1"/>
        <v>-62282.47410462</v>
      </c>
      <c r="G16" s="10">
        <f t="shared" si="3"/>
        <v>-634974.84055884008</v>
      </c>
      <c r="H16" s="88">
        <f>'Input Data'!$C$91/100/12</f>
        <v>4.5750000000000001E-3</v>
      </c>
      <c r="I16" s="79">
        <f t="shared" si="4"/>
        <v>-2620.0675765280566</v>
      </c>
      <c r="J16" s="54"/>
      <c r="K16" s="10"/>
    </row>
    <row r="17" spans="2:16" ht="15.75" thickBot="1">
      <c r="B17" s="307"/>
      <c r="C17" s="93" t="s">
        <v>14</v>
      </c>
      <c r="D17" s="95">
        <f>SUM(D5:D16)</f>
        <v>1269949.6811176802</v>
      </c>
      <c r="E17" s="96">
        <f>SUM(E5:E16)</f>
        <v>-634974.84055884008</v>
      </c>
      <c r="F17" s="96">
        <f>SUM(F5:F16)</f>
        <v>-634974.84055884008</v>
      </c>
      <c r="G17" s="97"/>
      <c r="H17" s="93"/>
      <c r="I17" s="96">
        <f>SUM(I5:I16)</f>
        <v>-8791.6440882603129</v>
      </c>
      <c r="J17" s="98">
        <f>SUM(J5:J16)</f>
        <v>0</v>
      </c>
      <c r="K17" s="11"/>
    </row>
    <row r="18" spans="2:16">
      <c r="B18" s="305">
        <v>2024</v>
      </c>
      <c r="C18" s="281" t="s">
        <v>0</v>
      </c>
      <c r="D18" s="86">
        <f>'Input Data'!Z5</f>
        <v>87567.933434679988</v>
      </c>
      <c r="E18" s="279">
        <f t="shared" ref="E18:E29" si="5">-D18/2</f>
        <v>-43783.966717339994</v>
      </c>
      <c r="F18" s="279">
        <f t="shared" ref="F18:F29" si="6">-D18/2</f>
        <v>-43783.966717339994</v>
      </c>
      <c r="G18" s="279">
        <f>F18</f>
        <v>-43783.966717339994</v>
      </c>
      <c r="H18" s="280">
        <f>'Input Data'!$C$92/100/12</f>
        <v>4.5750000000000001E-3</v>
      </c>
      <c r="I18" s="79">
        <f>G17*H18</f>
        <v>0</v>
      </c>
      <c r="J18" s="54">
        <f>$G$16*H18</f>
        <v>-2905.0098955566932</v>
      </c>
      <c r="K18" s="10"/>
    </row>
    <row r="19" spans="2:16">
      <c r="B19" s="306"/>
      <c r="C19" s="78" t="s">
        <v>1</v>
      </c>
      <c r="D19" s="86">
        <f>'Input Data'!Z6</f>
        <v>142970.66640000002</v>
      </c>
      <c r="E19" s="10">
        <f t="shared" si="5"/>
        <v>-71485.333200000008</v>
      </c>
      <c r="F19" s="10">
        <f t="shared" si="6"/>
        <v>-71485.333200000008</v>
      </c>
      <c r="G19" s="10">
        <f t="shared" ref="G19:G29" si="7">G18+F19</f>
        <v>-115269.29991734</v>
      </c>
      <c r="H19" s="88">
        <f>'Input Data'!$C$92/100/12</f>
        <v>4.5750000000000001E-3</v>
      </c>
      <c r="I19" s="79">
        <f>G18*H19</f>
        <v>-200.31164773183048</v>
      </c>
      <c r="J19" s="54">
        <f>$G$16*H19</f>
        <v>-2905.0098955566932</v>
      </c>
      <c r="K19" s="10"/>
      <c r="L19" s="110" t="s">
        <v>93</v>
      </c>
      <c r="M19" s="16"/>
      <c r="N19" s="16"/>
      <c r="O19" s="17"/>
    </row>
    <row r="20" spans="2:16">
      <c r="B20" s="306"/>
      <c r="C20" s="78" t="s">
        <v>2</v>
      </c>
      <c r="D20" s="86">
        <f>'Input Data'!Z7</f>
        <v>255343.31799923003</v>
      </c>
      <c r="E20" s="10">
        <f t="shared" si="5"/>
        <v>-127671.65899961501</v>
      </c>
      <c r="F20" s="10">
        <f t="shared" si="6"/>
        <v>-127671.65899961501</v>
      </c>
      <c r="G20" s="10">
        <f t="shared" si="7"/>
        <v>-242940.95891695502</v>
      </c>
      <c r="H20" s="88">
        <f>'Input Data'!$C$92/100/12</f>
        <v>4.5750000000000001E-3</v>
      </c>
      <c r="I20" s="79">
        <f>G19*H20</f>
        <v>-527.35704712183053</v>
      </c>
      <c r="J20" s="54">
        <f>$G$16*H20</f>
        <v>-2905.0098955566932</v>
      </c>
      <c r="K20" s="10"/>
      <c r="L20" s="70"/>
      <c r="M20" t="s">
        <v>94</v>
      </c>
      <c r="O20" s="39">
        <f>D30</f>
        <v>827414.15917700005</v>
      </c>
      <c r="P20" t="s">
        <v>104</v>
      </c>
    </row>
    <row r="21" spans="2:16">
      <c r="B21" s="306"/>
      <c r="C21" s="78" t="s">
        <v>3</v>
      </c>
      <c r="D21" s="86">
        <f>'Input Data'!Z8</f>
        <v>341532.24134309002</v>
      </c>
      <c r="E21" s="10">
        <f t="shared" si="5"/>
        <v>-170766.12067154501</v>
      </c>
      <c r="F21" s="10">
        <f t="shared" si="6"/>
        <v>-170766.12067154501</v>
      </c>
      <c r="G21" s="10">
        <f t="shared" si="7"/>
        <v>-413707.07958850003</v>
      </c>
      <c r="H21" s="88">
        <f>'Input Data'!$C$93/100/12</f>
        <v>4.5750000000000001E-3</v>
      </c>
      <c r="I21" s="79">
        <f t="shared" ref="I21:I29" si="8">G20*H21</f>
        <v>-1111.4548870450692</v>
      </c>
      <c r="J21" s="54">
        <f>$G$16*H21</f>
        <v>-2905.0098955566932</v>
      </c>
      <c r="K21" s="10"/>
      <c r="L21" s="70"/>
      <c r="M21" t="s">
        <v>92</v>
      </c>
      <c r="O21" s="39">
        <f>E30</f>
        <v>-413707.07958850003</v>
      </c>
      <c r="P21" t="s">
        <v>31</v>
      </c>
    </row>
    <row r="22" spans="2:16">
      <c r="B22" s="306"/>
      <c r="C22" s="78" t="s">
        <v>4</v>
      </c>
      <c r="D22" s="51"/>
      <c r="E22" s="10">
        <f t="shared" si="5"/>
        <v>0</v>
      </c>
      <c r="F22" s="10">
        <f t="shared" si="6"/>
        <v>0</v>
      </c>
      <c r="G22" s="10">
        <f t="shared" si="7"/>
        <v>-413707.07958850003</v>
      </c>
      <c r="H22" s="88">
        <f>'Input Data'!$C$93/100/12</f>
        <v>4.5750000000000001E-3</v>
      </c>
      <c r="I22" s="79">
        <f t="shared" si="8"/>
        <v>-1892.7098891173875</v>
      </c>
      <c r="J22" s="54">
        <f>$G$16*H22</f>
        <v>-2905.0098955566932</v>
      </c>
      <c r="K22" s="10"/>
      <c r="L22" s="70"/>
      <c r="M22" t="s">
        <v>114</v>
      </c>
      <c r="O22" s="39">
        <f>F30</f>
        <v>-413707.07958850003</v>
      </c>
      <c r="P22" t="s">
        <v>117</v>
      </c>
    </row>
    <row r="23" spans="2:16">
      <c r="B23" s="306"/>
      <c r="C23" s="78" t="s">
        <v>5</v>
      </c>
      <c r="D23" s="51"/>
      <c r="E23" s="10">
        <f t="shared" si="5"/>
        <v>0</v>
      </c>
      <c r="F23" s="10">
        <f t="shared" si="6"/>
        <v>0</v>
      </c>
      <c r="G23" s="10">
        <f t="shared" si="7"/>
        <v>-413707.07958850003</v>
      </c>
      <c r="H23" s="88">
        <f>'Input Data'!$C$93/100/12</f>
        <v>4.5750000000000001E-3</v>
      </c>
      <c r="I23" s="79">
        <f t="shared" si="8"/>
        <v>-1892.7098891173875</v>
      </c>
      <c r="J23" s="54">
        <f t="shared" ref="J23:J29" si="9">$G$16*H23</f>
        <v>-2905.0098955566932</v>
      </c>
      <c r="K23" s="10"/>
      <c r="L23" s="71"/>
      <c r="M23" s="21" t="s">
        <v>19</v>
      </c>
      <c r="N23" s="21"/>
      <c r="O23" s="56">
        <f>I30+J43</f>
        <v>-28605.971631274682</v>
      </c>
      <c r="P23" t="s">
        <v>118</v>
      </c>
    </row>
    <row r="24" spans="2:16">
      <c r="B24" s="306"/>
      <c r="C24" s="78" t="s">
        <v>6</v>
      </c>
      <c r="D24" s="51"/>
      <c r="E24" s="10">
        <f t="shared" si="5"/>
        <v>0</v>
      </c>
      <c r="F24" s="10">
        <f t="shared" si="6"/>
        <v>0</v>
      </c>
      <c r="G24" s="10">
        <f t="shared" si="7"/>
        <v>-413707.07958850003</v>
      </c>
      <c r="H24" s="88">
        <f>'Input Data'!$C$94/100/12</f>
        <v>4.333333333333334E-3</v>
      </c>
      <c r="I24" s="79">
        <f t="shared" si="8"/>
        <v>-1792.7306782168337</v>
      </c>
      <c r="J24" s="54">
        <f t="shared" si="9"/>
        <v>-2751.5576424216406</v>
      </c>
      <c r="K24" s="10"/>
    </row>
    <row r="25" spans="2:16">
      <c r="B25" s="306"/>
      <c r="C25" s="78" t="s">
        <v>7</v>
      </c>
      <c r="D25" s="51"/>
      <c r="E25" s="10">
        <f t="shared" si="5"/>
        <v>0</v>
      </c>
      <c r="F25" s="10">
        <f t="shared" si="6"/>
        <v>0</v>
      </c>
      <c r="G25" s="10">
        <f t="shared" si="7"/>
        <v>-413707.07958850003</v>
      </c>
      <c r="H25" s="88">
        <f>'Input Data'!$C$94/100/12</f>
        <v>4.333333333333334E-3</v>
      </c>
      <c r="I25" s="79">
        <f t="shared" si="8"/>
        <v>-1792.7306782168337</v>
      </c>
      <c r="J25" s="54">
        <f t="shared" si="9"/>
        <v>-2751.5576424216406</v>
      </c>
      <c r="K25" s="10"/>
    </row>
    <row r="26" spans="2:16">
      <c r="B26" s="306"/>
      <c r="C26" s="78" t="s">
        <v>8</v>
      </c>
      <c r="D26" s="51"/>
      <c r="E26" s="10">
        <f t="shared" si="5"/>
        <v>0</v>
      </c>
      <c r="F26" s="10">
        <f t="shared" si="6"/>
        <v>0</v>
      </c>
      <c r="G26" s="10">
        <f t="shared" si="7"/>
        <v>-413707.07958850003</v>
      </c>
      <c r="H26" s="88">
        <f>'Input Data'!$C$94/100/12</f>
        <v>4.333333333333334E-3</v>
      </c>
      <c r="I26" s="79">
        <f t="shared" si="8"/>
        <v>-1792.7306782168337</v>
      </c>
      <c r="J26" s="54">
        <f t="shared" si="9"/>
        <v>-2751.5576424216406</v>
      </c>
      <c r="K26" s="10"/>
    </row>
    <row r="27" spans="2:16">
      <c r="B27" s="306"/>
      <c r="C27" s="78" t="s">
        <v>9</v>
      </c>
      <c r="D27" s="51"/>
      <c r="E27" s="10">
        <f t="shared" si="5"/>
        <v>0</v>
      </c>
      <c r="F27" s="10">
        <f t="shared" si="6"/>
        <v>0</v>
      </c>
      <c r="G27" s="10">
        <f t="shared" si="7"/>
        <v>-413707.07958850003</v>
      </c>
      <c r="H27" s="88">
        <f>'Input Data'!$C$95/100/12</f>
        <v>3.666666666666667E-3</v>
      </c>
      <c r="I27" s="79">
        <f t="shared" si="8"/>
        <v>-1516.925958491167</v>
      </c>
      <c r="J27" s="54">
        <f t="shared" si="9"/>
        <v>-2328.2410820490804</v>
      </c>
      <c r="K27" s="10"/>
    </row>
    <row r="28" spans="2:16">
      <c r="B28" s="306"/>
      <c r="C28" s="78" t="s">
        <v>10</v>
      </c>
      <c r="D28" s="51"/>
      <c r="E28" s="10">
        <f t="shared" si="5"/>
        <v>0</v>
      </c>
      <c r="F28" s="10">
        <f t="shared" si="6"/>
        <v>0</v>
      </c>
      <c r="G28" s="10">
        <f t="shared" si="7"/>
        <v>-413707.07958850003</v>
      </c>
      <c r="H28" s="88">
        <f>'Input Data'!$C$95/100/12</f>
        <v>3.666666666666667E-3</v>
      </c>
      <c r="I28" s="79">
        <f t="shared" si="8"/>
        <v>-1516.925958491167</v>
      </c>
      <c r="J28" s="54">
        <f t="shared" si="9"/>
        <v>-2328.2410820490804</v>
      </c>
      <c r="K28" s="10"/>
    </row>
    <row r="29" spans="2:16">
      <c r="B29" s="306"/>
      <c r="C29" s="78" t="s">
        <v>11</v>
      </c>
      <c r="D29" s="51"/>
      <c r="E29" s="10">
        <f t="shared" si="5"/>
        <v>0</v>
      </c>
      <c r="F29" s="10">
        <f t="shared" si="6"/>
        <v>0</v>
      </c>
      <c r="G29" s="10">
        <f t="shared" si="7"/>
        <v>-413707.07958850003</v>
      </c>
      <c r="H29" s="88">
        <f>'Input Data'!$C$95/100/12</f>
        <v>3.666666666666667E-3</v>
      </c>
      <c r="I29" s="79">
        <f t="shared" si="8"/>
        <v>-1516.925958491167</v>
      </c>
      <c r="J29" s="54">
        <f t="shared" si="9"/>
        <v>-2328.2410820490804</v>
      </c>
      <c r="K29" s="10"/>
    </row>
    <row r="30" spans="2:16" ht="15.75" thickBot="1">
      <c r="B30" s="307"/>
      <c r="C30" s="91" t="s">
        <v>14</v>
      </c>
      <c r="D30" s="95">
        <f>SUM(D18:D29)</f>
        <v>827414.15917700005</v>
      </c>
      <c r="E30" s="96">
        <f>SUM(E18:E29)</f>
        <v>-413707.07958850003</v>
      </c>
      <c r="F30" s="96">
        <f>SUM(F18:F29)</f>
        <v>-413707.07958850003</v>
      </c>
      <c r="G30" s="97"/>
      <c r="H30" s="93"/>
      <c r="I30" s="96">
        <f>SUM(I18:I29)</f>
        <v>-15553.513270257508</v>
      </c>
      <c r="J30" s="98">
        <f>SUM(J18:J29)</f>
        <v>-32669.455546752324</v>
      </c>
      <c r="K30" s="11"/>
    </row>
    <row r="31" spans="2:16">
      <c r="B31" s="305">
        <v>2025</v>
      </c>
      <c r="C31" s="281" t="s">
        <v>0</v>
      </c>
      <c r="D31" s="51"/>
      <c r="E31" s="10"/>
      <c r="F31" s="10"/>
      <c r="G31" s="10"/>
      <c r="H31" s="280">
        <f>'Input Data'!$C$96/100/12</f>
        <v>3.0333333333333336E-3</v>
      </c>
      <c r="I31" s="79">
        <f>G30*H31</f>
        <v>0</v>
      </c>
      <c r="J31" s="54">
        <f>$G$29*H31</f>
        <v>-1254.9114747517835</v>
      </c>
    </row>
    <row r="32" spans="2:16">
      <c r="B32" s="306"/>
      <c r="C32" s="78" t="s">
        <v>1</v>
      </c>
      <c r="D32" s="51"/>
      <c r="E32" s="10"/>
      <c r="F32" s="10"/>
      <c r="G32" s="10"/>
      <c r="H32" s="88">
        <f>'Input Data'!$C$96/100/12</f>
        <v>3.0333333333333336E-3</v>
      </c>
      <c r="I32" s="79">
        <f>G31*H32</f>
        <v>0</v>
      </c>
      <c r="J32" s="54">
        <f t="shared" ref="J32:J42" si="10">$G$29*H32</f>
        <v>-1254.9114747517835</v>
      </c>
    </row>
    <row r="33" spans="2:10">
      <c r="B33" s="306"/>
      <c r="C33" s="78" t="s">
        <v>2</v>
      </c>
      <c r="D33" s="51"/>
      <c r="E33" s="10"/>
      <c r="F33" s="10"/>
      <c r="G33" s="10"/>
      <c r="H33" s="88">
        <f>'Input Data'!$C$96/100/12</f>
        <v>3.0333333333333336E-3</v>
      </c>
      <c r="I33" s="79">
        <f t="shared" ref="I33:I42" si="11">G32*H33</f>
        <v>0</v>
      </c>
      <c r="J33" s="54">
        <f t="shared" si="10"/>
        <v>-1254.9114747517835</v>
      </c>
    </row>
    <row r="34" spans="2:10">
      <c r="B34" s="306"/>
      <c r="C34" s="78" t="s">
        <v>3</v>
      </c>
      <c r="D34" s="51"/>
      <c r="E34" s="10"/>
      <c r="F34" s="10"/>
      <c r="G34" s="10"/>
      <c r="H34" s="88">
        <f>'Input Data'!$C$97/100/12</f>
        <v>2.6333333333333334E-3</v>
      </c>
      <c r="I34" s="79">
        <f>G33*H34</f>
        <v>0</v>
      </c>
      <c r="J34" s="54">
        <f t="shared" si="10"/>
        <v>-1089.4286429163835</v>
      </c>
    </row>
    <row r="35" spans="2:10">
      <c r="B35" s="306"/>
      <c r="C35" s="78" t="s">
        <v>4</v>
      </c>
      <c r="D35" s="51"/>
      <c r="E35" s="10"/>
      <c r="F35" s="10"/>
      <c r="G35" s="10"/>
      <c r="H35" s="88">
        <f>'Input Data'!$C$97/100/12</f>
        <v>2.6333333333333334E-3</v>
      </c>
      <c r="I35" s="79">
        <f t="shared" si="11"/>
        <v>0</v>
      </c>
      <c r="J35" s="54">
        <f t="shared" si="10"/>
        <v>-1089.4286429163835</v>
      </c>
    </row>
    <row r="36" spans="2:10">
      <c r="B36" s="306"/>
      <c r="C36" s="78" t="s">
        <v>5</v>
      </c>
      <c r="D36" s="51"/>
      <c r="E36" s="10"/>
      <c r="F36" s="10"/>
      <c r="G36" s="10"/>
      <c r="H36" s="88">
        <f>'Input Data'!$C$97/100/12</f>
        <v>2.6333333333333334E-3</v>
      </c>
      <c r="I36" s="79">
        <f t="shared" si="11"/>
        <v>0</v>
      </c>
      <c r="J36" s="54">
        <f t="shared" si="10"/>
        <v>-1089.4286429163835</v>
      </c>
    </row>
    <row r="37" spans="2:10">
      <c r="B37" s="306"/>
      <c r="C37" s="78" t="s">
        <v>6</v>
      </c>
      <c r="D37" s="51"/>
      <c r="E37" s="10"/>
      <c r="F37" s="10"/>
      <c r="G37" s="10"/>
      <c r="H37" s="88">
        <f>'Input Data'!$C$98/100/12</f>
        <v>2.4250000000000001E-3</v>
      </c>
      <c r="I37" s="79">
        <f t="shared" si="11"/>
        <v>0</v>
      </c>
      <c r="J37" s="54">
        <f t="shared" si="10"/>
        <v>-1003.2396680021126</v>
      </c>
    </row>
    <row r="38" spans="2:10">
      <c r="B38" s="306"/>
      <c r="C38" s="78" t="s">
        <v>7</v>
      </c>
      <c r="D38" s="51"/>
      <c r="E38" s="10"/>
      <c r="F38" s="10"/>
      <c r="G38" s="10"/>
      <c r="H38" s="88">
        <f>'Input Data'!$C$98/100/12</f>
        <v>2.4250000000000001E-3</v>
      </c>
      <c r="I38" s="79">
        <f t="shared" si="11"/>
        <v>0</v>
      </c>
      <c r="J38" s="54">
        <f t="shared" si="10"/>
        <v>-1003.2396680021126</v>
      </c>
    </row>
    <row r="39" spans="2:10">
      <c r="B39" s="306"/>
      <c r="C39" s="78" t="s">
        <v>8</v>
      </c>
      <c r="D39" s="51"/>
      <c r="E39" s="10"/>
      <c r="F39" s="10"/>
      <c r="G39" s="10"/>
      <c r="H39" s="88">
        <f>'Input Data'!$C$98/100/12</f>
        <v>2.4250000000000001E-3</v>
      </c>
      <c r="I39" s="79">
        <f t="shared" si="11"/>
        <v>0</v>
      </c>
      <c r="J39" s="54">
        <f t="shared" si="10"/>
        <v>-1003.2396680021126</v>
      </c>
    </row>
    <row r="40" spans="2:10">
      <c r="B40" s="306"/>
      <c r="C40" s="78" t="s">
        <v>9</v>
      </c>
      <c r="D40" s="51"/>
      <c r="E40" s="10"/>
      <c r="F40" s="10"/>
      <c r="G40" s="10"/>
      <c r="H40" s="88">
        <f>'Input Data'!$C$99/100/12</f>
        <v>2.4250000000000001E-3</v>
      </c>
      <c r="I40" s="79">
        <f t="shared" si="11"/>
        <v>0</v>
      </c>
      <c r="J40" s="54">
        <f t="shared" si="10"/>
        <v>-1003.2396680021126</v>
      </c>
    </row>
    <row r="41" spans="2:10">
      <c r="B41" s="306"/>
      <c r="C41" s="78" t="s">
        <v>10</v>
      </c>
      <c r="D41" s="51"/>
      <c r="E41" s="10"/>
      <c r="F41" s="10"/>
      <c r="G41" s="10"/>
      <c r="H41" s="88">
        <f>'Input Data'!$C$99/100/12</f>
        <v>2.4250000000000001E-3</v>
      </c>
      <c r="I41" s="79">
        <f t="shared" si="11"/>
        <v>0</v>
      </c>
      <c r="J41" s="54">
        <f t="shared" si="10"/>
        <v>-1003.2396680021126</v>
      </c>
    </row>
    <row r="42" spans="2:10">
      <c r="B42" s="306"/>
      <c r="C42" s="78" t="s">
        <v>11</v>
      </c>
      <c r="D42" s="51"/>
      <c r="E42" s="10"/>
      <c r="F42" s="10"/>
      <c r="G42" s="10"/>
      <c r="H42" s="88">
        <f>'Input Data'!$C$99/100/12</f>
        <v>2.4250000000000001E-3</v>
      </c>
      <c r="I42" s="79">
        <f t="shared" si="11"/>
        <v>0</v>
      </c>
      <c r="J42" s="54">
        <f t="shared" si="10"/>
        <v>-1003.2396680021126</v>
      </c>
    </row>
    <row r="43" spans="2:10" ht="15.75" thickBot="1">
      <c r="B43" s="307"/>
      <c r="C43" s="91" t="s">
        <v>14</v>
      </c>
      <c r="D43" s="95">
        <f>SUM(D31:D42)</f>
        <v>0</v>
      </c>
      <c r="E43" s="96">
        <f>SUM(E31:E42)</f>
        <v>0</v>
      </c>
      <c r="F43" s="96">
        <f>SUM(F31:F42)</f>
        <v>0</v>
      </c>
      <c r="G43" s="97"/>
      <c r="H43" s="93"/>
      <c r="I43" s="96">
        <f>SUM(I31:I42)</f>
        <v>0</v>
      </c>
      <c r="J43" s="98">
        <f>SUM(J31:J42)</f>
        <v>-13052.458361017176</v>
      </c>
    </row>
  </sheetData>
  <mergeCells count="4">
    <mergeCell ref="C2:J2"/>
    <mergeCell ref="B5:B17"/>
    <mergeCell ref="B18:B30"/>
    <mergeCell ref="B31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9227-0118-446B-8D64-1A77E54DA1B2}">
  <sheetPr codeName="Sheet4"/>
  <dimension ref="B1:I46"/>
  <sheetViews>
    <sheetView workbookViewId="0">
      <selection activeCell="F48" sqref="F48"/>
    </sheetView>
  </sheetViews>
  <sheetFormatPr defaultColWidth="8.85546875" defaultRowHeight="15"/>
  <cols>
    <col min="2" max="2" width="32.42578125" customWidth="1"/>
    <col min="3" max="3" width="42.28515625" customWidth="1"/>
    <col min="4" max="4" width="15.42578125" bestFit="1" customWidth="1"/>
    <col min="5" max="8" width="17.42578125" bestFit="1" customWidth="1"/>
    <col min="9" max="9" width="40.140625" bestFit="1" customWidth="1"/>
  </cols>
  <sheetData>
    <row r="1" spans="2:9" ht="15.75" thickBot="1"/>
    <row r="2" spans="2:9" ht="15.75">
      <c r="B2" s="73"/>
      <c r="C2" s="158" t="s">
        <v>91</v>
      </c>
      <c r="D2" s="74">
        <v>2024</v>
      </c>
      <c r="E2" s="75">
        <v>2025</v>
      </c>
      <c r="F2" s="155">
        <v>2026</v>
      </c>
      <c r="G2" s="243">
        <v>2027</v>
      </c>
      <c r="H2" s="244">
        <v>2028</v>
      </c>
    </row>
    <row r="3" spans="2:9">
      <c r="B3" s="332" t="s">
        <v>157</v>
      </c>
      <c r="C3" s="42"/>
      <c r="D3" s="15"/>
      <c r="E3" s="16"/>
      <c r="F3" s="156"/>
      <c r="G3" s="202"/>
      <c r="H3" s="245"/>
    </row>
    <row r="4" spans="2:9">
      <c r="B4" s="333"/>
      <c r="C4" s="43" t="s">
        <v>80</v>
      </c>
      <c r="D4" s="72">
        <f>'Power Purchased True-Up'!D8</f>
        <v>7.2859999999999994E-2</v>
      </c>
      <c r="E4" s="47">
        <f>'Power Purchased True-Up'!D21</f>
        <v>6.6640000000000005E-2</v>
      </c>
      <c r="F4" s="273">
        <f>'Power Purchased True-Up'!D34</f>
        <v>5.9810000000000002E-2</v>
      </c>
      <c r="G4" s="246">
        <f>'Power Purchased True-Up'!D47</f>
        <v>0</v>
      </c>
      <c r="H4" s="247">
        <f>'Power Purchased True-Up'!D60</f>
        <v>0</v>
      </c>
      <c r="I4" t="s">
        <v>77</v>
      </c>
    </row>
    <row r="5" spans="2:9">
      <c r="B5" s="333"/>
      <c r="C5" s="43" t="s">
        <v>81</v>
      </c>
      <c r="D5" s="41">
        <f>'Power Purchased True-Up'!D7</f>
        <v>35587910</v>
      </c>
      <c r="E5" s="38">
        <f>'Power Purchased True-Up'!D20</f>
        <v>37710876.140000001</v>
      </c>
      <c r="F5" s="274">
        <f>'Power Purchased True-Up'!D33</f>
        <v>37538265.084675007</v>
      </c>
      <c r="G5" s="248">
        <f>'Power Purchased True-Up'!D46</f>
        <v>37150609.659400009</v>
      </c>
      <c r="H5" s="249">
        <f>'Power Purchased True-Up'!D59</f>
        <v>38124758.312016666</v>
      </c>
      <c r="I5" t="s">
        <v>201</v>
      </c>
    </row>
    <row r="6" spans="2:9">
      <c r="B6" s="333"/>
      <c r="C6" s="43"/>
      <c r="D6" s="40"/>
      <c r="E6" s="37"/>
      <c r="F6" s="177"/>
      <c r="G6" s="250"/>
      <c r="H6" s="251"/>
      <c r="I6" s="10"/>
    </row>
    <row r="7" spans="2:9">
      <c r="B7" s="333"/>
      <c r="C7" s="43" t="s">
        <v>122</v>
      </c>
      <c r="D7" s="40">
        <f>'Power Purchased True-Up'!E10</f>
        <v>1296467.5612999999</v>
      </c>
      <c r="E7" s="157">
        <f>IF(E4=0,0,'Power Purchased True-Up'!E23)</f>
        <v>1256526.3929848</v>
      </c>
      <c r="F7" s="177">
        <f>IF(F4=0,0,'Power Purchased True-Up'!E36)</f>
        <v>1122581.817357206</v>
      </c>
      <c r="G7" s="250">
        <f>IF(G4=0,0,'Power Purchased True-Up'!E49)</f>
        <v>0</v>
      </c>
      <c r="H7" s="251">
        <f>IF(H4=0,0,'Power Purchased True-Up'!E62)</f>
        <v>0</v>
      </c>
      <c r="I7" t="s">
        <v>79</v>
      </c>
    </row>
    <row r="8" spans="2:9">
      <c r="B8" s="333"/>
      <c r="C8" s="43" t="s">
        <v>74</v>
      </c>
      <c r="D8" s="18"/>
      <c r="F8" s="10">
        <f>IF(F4=0,0,D30)</f>
        <v>191428.55352224282</v>
      </c>
      <c r="G8" s="206">
        <f>IF(G4=0,0,E30)</f>
        <v>0</v>
      </c>
      <c r="H8" s="252">
        <f>IF(H4=0,0,F30)</f>
        <v>0</v>
      </c>
      <c r="I8" t="s">
        <v>78</v>
      </c>
    </row>
    <row r="9" spans="2:9">
      <c r="B9" s="333"/>
      <c r="C9" s="43" t="s">
        <v>202</v>
      </c>
      <c r="D9" s="18"/>
      <c r="E9" s="10">
        <f>IF(E4=0,0,'Power Purchased True-Up'!E26)</f>
        <v>676435.94019385276</v>
      </c>
      <c r="F9" s="10">
        <f>IF(F4=0,0,'Power Purchased True-Up'!E39)</f>
        <v>442313.0512197747</v>
      </c>
      <c r="G9" s="206"/>
      <c r="H9" s="252"/>
      <c r="I9" t="s">
        <v>75</v>
      </c>
    </row>
    <row r="10" spans="2:9">
      <c r="B10" s="333"/>
      <c r="C10" s="44" t="s">
        <v>153</v>
      </c>
      <c r="D10" s="11">
        <f t="shared" ref="D10:E10" si="0">D7+D8+D9</f>
        <v>1296467.5612999999</v>
      </c>
      <c r="E10" s="11">
        <f t="shared" si="0"/>
        <v>1932962.3331786529</v>
      </c>
      <c r="F10" s="11">
        <f>F7+F8+F9</f>
        <v>1756323.4220992236</v>
      </c>
      <c r="G10" s="253">
        <f t="shared" ref="G10:H10" si="1">G7+G8+G9</f>
        <v>0</v>
      </c>
      <c r="H10" s="254">
        <f t="shared" si="1"/>
        <v>0</v>
      </c>
      <c r="I10" t="s">
        <v>127</v>
      </c>
    </row>
    <row r="11" spans="2:9">
      <c r="B11" s="333"/>
      <c r="C11" s="43"/>
      <c r="D11" s="18"/>
      <c r="G11" s="204"/>
      <c r="H11" s="255"/>
    </row>
    <row r="12" spans="2:9">
      <c r="B12" s="333"/>
      <c r="C12" s="43" t="s">
        <v>82</v>
      </c>
      <c r="D12" s="41">
        <f>'Power Purchased True-Up'!D15</f>
        <v>185090366</v>
      </c>
      <c r="E12" s="38">
        <f>IF(E4=0,0,'Power Purchased True-Up'!D29)</f>
        <v>180529178</v>
      </c>
      <c r="F12" s="274">
        <f>IF(F4=0,0,'Power Purchased True-Up'!D42)</f>
        <v>182078136</v>
      </c>
      <c r="G12" s="248">
        <f>IF(G4=0,0,'Power Purchased True-Up'!D54)</f>
        <v>0</v>
      </c>
      <c r="H12" s="249">
        <f>IF(H4=0,0,'Power Purchased True-Up'!D67)</f>
        <v>0</v>
      </c>
      <c r="I12" t="s">
        <v>76</v>
      </c>
    </row>
    <row r="13" spans="2:9">
      <c r="B13" s="333"/>
      <c r="C13" s="43"/>
      <c r="D13" s="18"/>
      <c r="G13" s="204"/>
      <c r="H13" s="255"/>
    </row>
    <row r="14" spans="2:9" ht="15.75" thickBot="1">
      <c r="B14" s="334"/>
      <c r="C14" s="76" t="s">
        <v>154</v>
      </c>
      <c r="D14" s="161">
        <f t="shared" ref="D14:E14" si="2">IFERROR(-D10/D12,0)</f>
        <v>-7.0045113061151972E-3</v>
      </c>
      <c r="E14" s="162">
        <f t="shared" si="2"/>
        <v>-1.0707201764241418E-2</v>
      </c>
      <c r="F14" s="162">
        <f>IFERROR(-F10/F12,0)</f>
        <v>-9.6459874902235579E-3</v>
      </c>
      <c r="G14" s="256">
        <f t="shared" ref="G14:H14" si="3">IFERROR(-G10/G12,0)</f>
        <v>0</v>
      </c>
      <c r="H14" s="257">
        <f t="shared" si="3"/>
        <v>0</v>
      </c>
      <c r="I14" t="s">
        <v>155</v>
      </c>
    </row>
    <row r="16" spans="2:9" ht="15.75" thickBot="1">
      <c r="B16" t="s">
        <v>237</v>
      </c>
    </row>
    <row r="17" spans="2:9" ht="15.75">
      <c r="B17" s="73"/>
      <c r="C17" s="158" t="s">
        <v>235</v>
      </c>
      <c r="D17" s="163">
        <v>2024</v>
      </c>
      <c r="E17" s="243">
        <v>2025</v>
      </c>
      <c r="F17" s="243">
        <v>2026</v>
      </c>
      <c r="G17" s="243">
        <v>2027</v>
      </c>
      <c r="H17" s="244">
        <v>2028</v>
      </c>
    </row>
    <row r="18" spans="2:9" ht="15.75">
      <c r="B18" s="159"/>
      <c r="C18" s="160" t="s">
        <v>236</v>
      </c>
      <c r="D18" s="164">
        <v>2026</v>
      </c>
      <c r="E18" s="258">
        <v>2027</v>
      </c>
      <c r="F18" s="258">
        <v>2028</v>
      </c>
      <c r="G18" s="258">
        <v>2029</v>
      </c>
      <c r="H18" s="259">
        <v>2030</v>
      </c>
    </row>
    <row r="19" spans="2:9">
      <c r="B19" s="335" t="s">
        <v>69</v>
      </c>
      <c r="C19" s="42"/>
      <c r="D19" s="165"/>
      <c r="E19" s="260"/>
      <c r="F19" s="260"/>
      <c r="G19" s="260"/>
      <c r="H19" s="261"/>
    </row>
    <row r="20" spans="2:9">
      <c r="B20" s="336"/>
      <c r="C20" s="43" t="s">
        <v>64</v>
      </c>
      <c r="D20" s="269">
        <f>-'Power Purchased True-Up'!Y10</f>
        <v>1008236.2337925994</v>
      </c>
      <c r="E20" s="250">
        <f>-'Power Purchased True-Up'!Y23</f>
        <v>809747.34122624004</v>
      </c>
      <c r="F20" s="250">
        <f>-'Power Purchased True-Up'!Y36</f>
        <v>0</v>
      </c>
      <c r="G20" s="250">
        <f>-'Power Purchased True-Up'!Y49</f>
        <v>0</v>
      </c>
      <c r="H20" s="251">
        <f>-'Power Purchased True-Up'!Y62</f>
        <v>0</v>
      </c>
      <c r="I20" t="s">
        <v>75</v>
      </c>
    </row>
    <row r="21" spans="2:9">
      <c r="B21" s="336"/>
      <c r="C21" s="43" t="s">
        <v>248</v>
      </c>
      <c r="D21" s="269">
        <f>-'Power Purchased True-Up'!Y11</f>
        <v>0</v>
      </c>
      <c r="E21" s="250">
        <f>-'Power Purchased True-Up'!Y24</f>
        <v>112739.32336564212</v>
      </c>
      <c r="F21" s="250">
        <f>-'Power Purchased True-Up'!Y37</f>
        <v>0</v>
      </c>
      <c r="G21" s="250">
        <f>-'Power Purchased True-Up'!Y50</f>
        <v>0</v>
      </c>
      <c r="H21" s="251">
        <f>-'Power Purchased True-Up'!Y63</f>
        <v>0</v>
      </c>
      <c r="I21" t="s">
        <v>203</v>
      </c>
    </row>
    <row r="22" spans="2:9">
      <c r="B22" s="336"/>
      <c r="C22" s="44" t="s">
        <v>239</v>
      </c>
      <c r="D22" s="269">
        <f>D20+D21</f>
        <v>1008236.2337925994</v>
      </c>
      <c r="E22" s="250">
        <f>E20+E21</f>
        <v>922486.66459188215</v>
      </c>
      <c r="F22" s="206">
        <f>F20+F21</f>
        <v>0</v>
      </c>
      <c r="G22" s="206">
        <f>G20+G21</f>
        <v>0</v>
      </c>
      <c r="H22" s="252">
        <f>H20+H21</f>
        <v>0</v>
      </c>
      <c r="I22" t="s">
        <v>126</v>
      </c>
    </row>
    <row r="23" spans="2:9">
      <c r="B23" s="336"/>
      <c r="C23" s="43"/>
      <c r="D23" s="269"/>
      <c r="E23" s="250"/>
      <c r="F23" s="250"/>
      <c r="G23" s="250"/>
      <c r="H23" s="251"/>
    </row>
    <row r="24" spans="2:9">
      <c r="B24" s="336"/>
      <c r="C24" s="44" t="s">
        <v>258</v>
      </c>
      <c r="D24" s="269">
        <f>-'Power Purchased True-Up'!Z13</f>
        <v>828585.48499999999</v>
      </c>
      <c r="E24" s="250">
        <f>-'Power Purchased True-Up'!Z26</f>
        <v>767377.61989999993</v>
      </c>
      <c r="F24" s="250">
        <f>-'Power Purchased True-Up'!Z39</f>
        <v>0</v>
      </c>
      <c r="G24" s="250">
        <f>-'Power Purchased True-Up'!Z52</f>
        <v>0</v>
      </c>
      <c r="H24" s="251">
        <f>-'Power Purchased True-Up'!Z65</f>
        <v>0</v>
      </c>
      <c r="I24" t="s">
        <v>75</v>
      </c>
    </row>
    <row r="25" spans="2:9">
      <c r="B25" s="336"/>
      <c r="C25" s="45"/>
      <c r="D25" s="20"/>
      <c r="E25" s="211"/>
      <c r="F25" s="211"/>
      <c r="G25" s="211"/>
      <c r="H25" s="262"/>
    </row>
    <row r="26" spans="2:9">
      <c r="B26" s="336"/>
      <c r="C26" s="43"/>
      <c r="D26" s="18"/>
      <c r="E26" s="204"/>
      <c r="F26" s="204"/>
      <c r="G26" s="204"/>
      <c r="H26" s="255"/>
    </row>
    <row r="27" spans="2:9">
      <c r="B27" s="336"/>
      <c r="C27" s="43" t="s">
        <v>18</v>
      </c>
      <c r="D27" s="270">
        <f>D22-D24</f>
        <v>179650.74879259942</v>
      </c>
      <c r="E27" s="248">
        <f>E22-E24</f>
        <v>155109.04469188221</v>
      </c>
      <c r="F27" s="248">
        <f>F22-F24</f>
        <v>0</v>
      </c>
      <c r="G27" s="248">
        <f>G22-G24</f>
        <v>0</v>
      </c>
      <c r="H27" s="249">
        <f>H22-H24</f>
        <v>0</v>
      </c>
      <c r="I27" t="s">
        <v>75</v>
      </c>
    </row>
    <row r="28" spans="2:9">
      <c r="B28" s="336"/>
      <c r="C28" s="43" t="s">
        <v>34</v>
      </c>
      <c r="D28" s="270">
        <f>-'Power Purchased True-Up'!T18</f>
        <v>6109.8236052368975</v>
      </c>
      <c r="E28" s="248">
        <f>-'Power Purchased True-Up'!T31</f>
        <v>-67.561725302870741</v>
      </c>
      <c r="F28" s="248">
        <f>-'Power Purchased True-Up'!T44</f>
        <v>0</v>
      </c>
      <c r="G28" s="248">
        <f>-'Power Purchased True-Up'!T57</f>
        <v>0</v>
      </c>
      <c r="H28" s="249">
        <f>-'Power Purchased True-Up'!T70</f>
        <v>0</v>
      </c>
      <c r="I28" t="s">
        <v>75</v>
      </c>
    </row>
    <row r="29" spans="2:9">
      <c r="B29" s="336"/>
      <c r="C29" s="43" t="s">
        <v>240</v>
      </c>
      <c r="D29" s="270">
        <f>-'Power Purchased True-Up'!U31</f>
        <v>5667.9811244065122</v>
      </c>
      <c r="E29" s="248">
        <f>-'Power Purchased True-Up'!U44</f>
        <v>0</v>
      </c>
      <c r="F29" s="248">
        <f>-'Power Purchased True-Up'!U57</f>
        <v>0</v>
      </c>
      <c r="G29" s="248">
        <f>-'Power Purchased True-Up'!U70</f>
        <v>0</v>
      </c>
      <c r="H29" s="249">
        <f>-'Power Purchased True-Up'!Q70*'Input Data'!C111/100</f>
        <v>0</v>
      </c>
      <c r="I29" t="s">
        <v>75</v>
      </c>
    </row>
    <row r="30" spans="2:9">
      <c r="B30" s="336"/>
      <c r="C30" s="44" t="s">
        <v>65</v>
      </c>
      <c r="D30" s="271">
        <f>SUM(D27:D29)</f>
        <v>191428.55352224282</v>
      </c>
      <c r="E30" s="253">
        <f>SUM(E27:E29)</f>
        <v>155041.48296657935</v>
      </c>
      <c r="F30" s="253">
        <f>SUM(F27:F29)</f>
        <v>0</v>
      </c>
      <c r="G30" s="253">
        <f>SUM(G27:G29)</f>
        <v>0</v>
      </c>
      <c r="H30" s="254">
        <f>SUM(H27:H29)</f>
        <v>0</v>
      </c>
    </row>
    <row r="31" spans="2:9" ht="15.75" thickBot="1">
      <c r="B31" s="337"/>
      <c r="C31" s="76"/>
      <c r="D31" s="272"/>
      <c r="E31" s="263"/>
      <c r="F31" s="263"/>
      <c r="G31" s="263"/>
      <c r="H31" s="264"/>
    </row>
    <row r="32" spans="2:9">
      <c r="D32" s="131"/>
      <c r="E32" s="131"/>
      <c r="F32" s="131"/>
      <c r="G32" s="131"/>
      <c r="H32" s="131"/>
    </row>
    <row r="33" spans="2:8">
      <c r="D33" s="176">
        <f>D2</f>
        <v>2024</v>
      </c>
      <c r="E33" s="265">
        <f>E2</f>
        <v>2025</v>
      </c>
      <c r="F33" s="265">
        <f>F2</f>
        <v>2026</v>
      </c>
      <c r="G33" s="265">
        <f>G2</f>
        <v>2027</v>
      </c>
      <c r="H33" s="265">
        <f>H2</f>
        <v>2028</v>
      </c>
    </row>
    <row r="34" spans="2:8">
      <c r="B34" s="15" t="s">
        <v>156</v>
      </c>
      <c r="C34" s="16"/>
      <c r="D34" s="16"/>
      <c r="E34" s="202"/>
      <c r="F34" s="202"/>
      <c r="G34" s="202"/>
      <c r="H34" s="203"/>
    </row>
    <row r="35" spans="2:8">
      <c r="B35" s="18"/>
      <c r="C35" s="166" t="str">
        <f t="shared" ref="C35:H35" si="4">C7</f>
        <v>Forecast net GA Savings</v>
      </c>
      <c r="D35" s="10">
        <f t="shared" si="4"/>
        <v>1296467.5612999999</v>
      </c>
      <c r="E35" s="206">
        <f t="shared" si="4"/>
        <v>1256526.3929848</v>
      </c>
      <c r="F35" s="206">
        <f>F7</f>
        <v>1122581.817357206</v>
      </c>
      <c r="G35" s="206">
        <f t="shared" si="4"/>
        <v>0</v>
      </c>
      <c r="H35" s="205">
        <f t="shared" si="4"/>
        <v>0</v>
      </c>
    </row>
    <row r="36" spans="2:8">
      <c r="B36" s="18"/>
      <c r="C36" s="166" t="s">
        <v>83</v>
      </c>
      <c r="D36" s="177">
        <f>-'Power Purchased True-Up'!Z12-'Power Purchased True-Up'!E10</f>
        <v>-288231.32750740054</v>
      </c>
      <c r="E36" s="250">
        <f>-'Power Purchased True-Up'!Z25-'Power Purchased True-Up'!E23</f>
        <v>-334039.7283929179</v>
      </c>
      <c r="F36" s="250">
        <f>-'Power Purchased True-Up'!Z38-'Power Purchased True-Up'!E36</f>
        <v>-1122581.817357206</v>
      </c>
      <c r="G36" s="250">
        <f>-'Power Purchased True-Up'!Z51-'Power Purchased True-Up'!E49</f>
        <v>0</v>
      </c>
      <c r="H36" s="266">
        <f>-'Power Purchased True-Up'!Z64-'Power Purchased True-Up'!E62</f>
        <v>0</v>
      </c>
    </row>
    <row r="37" spans="2:8">
      <c r="B37" s="18"/>
      <c r="C37" s="166" t="str">
        <f>C24</f>
        <v>Actual credited to customers</v>
      </c>
      <c r="D37" s="10">
        <f>-D24</f>
        <v>-828585.48499999999</v>
      </c>
      <c r="E37" s="206">
        <f>-E24</f>
        <v>-767377.61989999993</v>
      </c>
      <c r="F37" s="206">
        <f>-F24</f>
        <v>0</v>
      </c>
      <c r="G37" s="206">
        <f>-G24</f>
        <v>0</v>
      </c>
      <c r="H37" s="205">
        <f>-H24</f>
        <v>0</v>
      </c>
    </row>
    <row r="38" spans="2:8">
      <c r="B38" s="18"/>
      <c r="C38" s="2" t="s">
        <v>18</v>
      </c>
      <c r="D38" s="11">
        <f>SUM(D35:D37)</f>
        <v>179650.74879259942</v>
      </c>
      <c r="E38" s="253">
        <f>SUM(E35:E37)</f>
        <v>155109.04469188221</v>
      </c>
      <c r="F38" s="253">
        <f>SUM(F35:F37)</f>
        <v>0</v>
      </c>
      <c r="G38" s="253">
        <f>SUM(G35:G37)</f>
        <v>0</v>
      </c>
      <c r="H38" s="210">
        <f>SUM(H35:H37)</f>
        <v>0</v>
      </c>
    </row>
    <row r="39" spans="2:8">
      <c r="B39" s="18"/>
      <c r="C39" t="s">
        <v>85</v>
      </c>
      <c r="D39" s="177">
        <f>-'Power Purchased True-Up'!T18</f>
        <v>6109.8236052368975</v>
      </c>
      <c r="E39" s="250">
        <f>-'Power Purchased True-Up'!T31</f>
        <v>-67.561725302870741</v>
      </c>
      <c r="F39" s="250">
        <f>-'Power Purchased True-Up'!T44</f>
        <v>0</v>
      </c>
      <c r="G39" s="250">
        <f>-'Power Purchased True-Up'!T57</f>
        <v>0</v>
      </c>
      <c r="H39" s="266">
        <f>-'Power Purchased True-Up'!T70</f>
        <v>0</v>
      </c>
    </row>
    <row r="40" spans="2:8">
      <c r="B40" s="18"/>
      <c r="C40" t="s">
        <v>142</v>
      </c>
      <c r="D40" s="177"/>
      <c r="E40" s="282">
        <f>-'Power Purchased True-Up'!U31</f>
        <v>5667.9811244065122</v>
      </c>
      <c r="F40" s="250">
        <f>-'Power Purchased True-Up'!U44</f>
        <v>0</v>
      </c>
      <c r="G40" s="250">
        <f>-'Power Purchased True-Up'!U57</f>
        <v>0</v>
      </c>
      <c r="H40" s="266">
        <f>-'Power Purchased True-Up'!U70</f>
        <v>0</v>
      </c>
    </row>
    <row r="41" spans="2:8">
      <c r="B41" s="18"/>
      <c r="C41" s="166" t="s">
        <v>68</v>
      </c>
      <c r="D41" s="10"/>
      <c r="E41" s="206"/>
      <c r="F41" s="206">
        <f>-D38</f>
        <v>-179650.74879259942</v>
      </c>
      <c r="G41" s="206">
        <f t="shared" ref="G41:H41" si="5">-E38</f>
        <v>-155109.04469188221</v>
      </c>
      <c r="H41" s="205">
        <f t="shared" si="5"/>
        <v>0</v>
      </c>
    </row>
    <row r="42" spans="2:8">
      <c r="B42" s="18"/>
      <c r="C42" s="166" t="s">
        <v>241</v>
      </c>
      <c r="D42" s="10"/>
      <c r="E42" s="206"/>
      <c r="F42" s="206">
        <f>-(D39+E40)</f>
        <v>-11777.804729643409</v>
      </c>
      <c r="G42" s="206">
        <f t="shared" ref="G42:H42" si="6">-(E39+F40)</f>
        <v>67.561725302870741</v>
      </c>
      <c r="H42" s="205">
        <f t="shared" si="6"/>
        <v>0</v>
      </c>
    </row>
    <row r="43" spans="2:8">
      <c r="B43" s="20"/>
      <c r="C43" s="77" t="s">
        <v>84</v>
      </c>
      <c r="D43" s="178">
        <f>SUM(D38:D42)</f>
        <v>185760.57239783631</v>
      </c>
      <c r="E43" s="267">
        <f t="shared" ref="E43:H43" si="7">SUM(E38:E42)</f>
        <v>160709.46409098586</v>
      </c>
      <c r="F43" s="267">
        <f t="shared" si="7"/>
        <v>-191428.55352224282</v>
      </c>
      <c r="G43" s="267">
        <f t="shared" si="7"/>
        <v>-155041.48296657935</v>
      </c>
      <c r="H43" s="268">
        <f t="shared" si="7"/>
        <v>0</v>
      </c>
    </row>
    <row r="44" spans="2:8">
      <c r="D44" s="131"/>
      <c r="E44" t="s">
        <v>259</v>
      </c>
    </row>
    <row r="46" spans="2:8">
      <c r="H46" s="126"/>
    </row>
  </sheetData>
  <mergeCells count="2">
    <mergeCell ref="B3:B14"/>
    <mergeCell ref="B19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 Data</vt:lpstr>
      <vt:lpstr>Power Purchased True-Up</vt:lpstr>
      <vt:lpstr>2023-24 Overcollection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Jeffrey Roy</cp:lastModifiedBy>
  <dcterms:created xsi:type="dcterms:W3CDTF">2023-09-29T16:45:48Z</dcterms:created>
  <dcterms:modified xsi:type="dcterms:W3CDTF">2025-10-20T14:42:51Z</dcterms:modified>
</cp:coreProperties>
</file>