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Cover" sheetId="10" r:id="rId1"/>
    <sheet name="Rates" sheetId="1" r:id="rId2"/>
    <sheet name="Residential R1 Impact" sheetId="4" r:id="rId3"/>
    <sheet name="Residential R1 Impact (2)" sheetId="12" r:id="rId4"/>
    <sheet name="Residential R2 Impact" sheetId="6" r:id="rId5"/>
    <sheet name="Residential R2 Impact Interval" sheetId="7" r:id="rId6"/>
    <sheet name="Seasonal Impact" sheetId="8" r:id="rId7"/>
    <sheet name="Street Light Impact" sheetId="9" r:id="rId8"/>
    <sheet name="Summary" sheetId="11" r:id="rId9"/>
  </sheets>
  <calcPr calcId="125725" iterate="1" calcOnSave="0"/>
</workbook>
</file>

<file path=xl/calcChain.xml><?xml version="1.0" encoding="utf-8"?>
<calcChain xmlns="http://schemas.openxmlformats.org/spreadsheetml/2006/main">
  <c r="F42" i="12"/>
  <c r="C42"/>
  <c r="F40"/>
  <c r="E40"/>
  <c r="C40"/>
  <c r="B40"/>
  <c r="E38"/>
  <c r="B38"/>
  <c r="F37"/>
  <c r="E37"/>
  <c r="C37"/>
  <c r="B37"/>
  <c r="B36"/>
  <c r="B35"/>
  <c r="B32"/>
  <c r="B31"/>
  <c r="E29"/>
  <c r="B29"/>
  <c r="E28"/>
  <c r="B28"/>
  <c r="E27"/>
  <c r="B27"/>
  <c r="E26"/>
  <c r="B26"/>
  <c r="E25"/>
  <c r="F23"/>
  <c r="C23"/>
  <c r="B23"/>
  <c r="D23" s="1"/>
  <c r="F22"/>
  <c r="C22"/>
  <c r="B22"/>
  <c r="D22" s="1"/>
  <c r="D24" s="1"/>
  <c r="E18"/>
  <c r="H17"/>
  <c r="E36" s="1"/>
  <c r="D14"/>
  <c r="F38" s="1"/>
  <c r="C14"/>
  <c r="C38" s="1"/>
  <c r="B14"/>
  <c r="A14"/>
  <c r="A38" s="1"/>
  <c r="D13"/>
  <c r="C13"/>
  <c r="B13"/>
  <c r="A13"/>
  <c r="D12"/>
  <c r="F36" s="1"/>
  <c r="C12"/>
  <c r="C36" s="1"/>
  <c r="B12"/>
  <c r="A12"/>
  <c r="A36" s="1"/>
  <c r="D11"/>
  <c r="F35" s="1"/>
  <c r="C11"/>
  <c r="C35" s="1"/>
  <c r="B11"/>
  <c r="A11"/>
  <c r="A35" s="1"/>
  <c r="D10"/>
  <c r="F32" s="1"/>
  <c r="C10"/>
  <c r="C32" s="1"/>
  <c r="B10"/>
  <c r="A10"/>
  <c r="A32" s="1"/>
  <c r="D9"/>
  <c r="F31" s="1"/>
  <c r="C9"/>
  <c r="C31" s="1"/>
  <c r="B9"/>
  <c r="A9"/>
  <c r="A31" s="1"/>
  <c r="D8"/>
  <c r="F29" s="1"/>
  <c r="C8"/>
  <c r="C29" s="1"/>
  <c r="B8"/>
  <c r="A8"/>
  <c r="A29" s="1"/>
  <c r="D7"/>
  <c r="F28" s="1"/>
  <c r="C7"/>
  <c r="C28" s="1"/>
  <c r="A7"/>
  <c r="A28" s="1"/>
  <c r="D6"/>
  <c r="F27" s="1"/>
  <c r="C6"/>
  <c r="C27" s="1"/>
  <c r="B6"/>
  <c r="A6"/>
  <c r="A27" s="1"/>
  <c r="D5"/>
  <c r="F26" s="1"/>
  <c r="C5"/>
  <c r="C26" s="1"/>
  <c r="B5"/>
  <c r="A5"/>
  <c r="A26" s="1"/>
  <c r="D4"/>
  <c r="F25" s="1"/>
  <c r="C4"/>
  <c r="C25" s="1"/>
  <c r="D25" s="1"/>
  <c r="B4"/>
  <c r="A4"/>
  <c r="A25" s="1"/>
  <c r="D3"/>
  <c r="C3"/>
  <c r="B3"/>
  <c r="A3"/>
  <c r="A20" s="1"/>
  <c r="D13" i="9"/>
  <c r="C13"/>
  <c r="B13"/>
  <c r="A13"/>
  <c r="D14" i="8"/>
  <c r="C14"/>
  <c r="B14"/>
  <c r="A14"/>
  <c r="D15" i="7"/>
  <c r="C15"/>
  <c r="B15"/>
  <c r="A15"/>
  <c r="D15" i="6"/>
  <c r="A13" i="4"/>
  <c r="C15" i="6"/>
  <c r="B15"/>
  <c r="A15"/>
  <c r="D13" i="4"/>
  <c r="C13"/>
  <c r="B13"/>
  <c r="F42" i="9"/>
  <c r="C42"/>
  <c r="F44" i="8"/>
  <c r="C44"/>
  <c r="F44" i="7"/>
  <c r="C44"/>
  <c r="F44" i="6"/>
  <c r="C44"/>
  <c r="F42" i="4"/>
  <c r="C42"/>
  <c r="F22" i="9"/>
  <c r="H17"/>
  <c r="E22" s="1"/>
  <c r="F23"/>
  <c r="E23"/>
  <c r="D4"/>
  <c r="F25" s="1"/>
  <c r="G25" s="1"/>
  <c r="E25"/>
  <c r="D5"/>
  <c r="F26" s="1"/>
  <c r="B26"/>
  <c r="E26"/>
  <c r="D6"/>
  <c r="F27" s="1"/>
  <c r="E27"/>
  <c r="D7"/>
  <c r="F28" s="1"/>
  <c r="E28"/>
  <c r="D8"/>
  <c r="F29" s="1"/>
  <c r="E29"/>
  <c r="D9"/>
  <c r="F31" s="1"/>
  <c r="D10"/>
  <c r="F32" s="1"/>
  <c r="D11"/>
  <c r="F35" s="1"/>
  <c r="D12"/>
  <c r="F36" s="1"/>
  <c r="E37"/>
  <c r="F37"/>
  <c r="D14"/>
  <c r="F38" s="1"/>
  <c r="E38"/>
  <c r="E40"/>
  <c r="F40"/>
  <c r="B37"/>
  <c r="C37"/>
  <c r="F23" i="8"/>
  <c r="H18"/>
  <c r="E23" s="1"/>
  <c r="F24"/>
  <c r="E24"/>
  <c r="D4"/>
  <c r="F26" s="1"/>
  <c r="D5"/>
  <c r="F27" s="1"/>
  <c r="D6"/>
  <c r="F28" s="1"/>
  <c r="G28" s="1"/>
  <c r="E28"/>
  <c r="D7"/>
  <c r="F29" s="1"/>
  <c r="G29" s="1"/>
  <c r="E29"/>
  <c r="D8"/>
  <c r="F30" s="1"/>
  <c r="G30" s="1"/>
  <c r="E30"/>
  <c r="D9"/>
  <c r="F31" s="1"/>
  <c r="G31" s="1"/>
  <c r="E31"/>
  <c r="D10"/>
  <c r="F33" s="1"/>
  <c r="D11"/>
  <c r="F34" s="1"/>
  <c r="D12"/>
  <c r="F37" s="1"/>
  <c r="D13"/>
  <c r="F38" s="1"/>
  <c r="E39"/>
  <c r="F39"/>
  <c r="D15"/>
  <c r="F40" s="1"/>
  <c r="E42"/>
  <c r="F42"/>
  <c r="B39"/>
  <c r="C39"/>
  <c r="F24" i="7"/>
  <c r="H19"/>
  <c r="E24" s="1"/>
  <c r="F25"/>
  <c r="E25"/>
  <c r="D4"/>
  <c r="F27" s="1"/>
  <c r="D5"/>
  <c r="F28" s="1"/>
  <c r="D6"/>
  <c r="F29" s="1"/>
  <c r="E29"/>
  <c r="D7"/>
  <c r="F30" s="1"/>
  <c r="E30"/>
  <c r="D8"/>
  <c r="F31" s="1"/>
  <c r="E31"/>
  <c r="D11"/>
  <c r="F33" s="1"/>
  <c r="D12"/>
  <c r="F34" s="1"/>
  <c r="D13"/>
  <c r="F37" s="1"/>
  <c r="D14"/>
  <c r="F38" s="1"/>
  <c r="E39"/>
  <c r="F39"/>
  <c r="D16"/>
  <c r="F40" s="1"/>
  <c r="E42"/>
  <c r="F42"/>
  <c r="B39"/>
  <c r="C39"/>
  <c r="F24" i="6"/>
  <c r="H19"/>
  <c r="E24" s="1"/>
  <c r="F25"/>
  <c r="E25"/>
  <c r="D4"/>
  <c r="F27" s="1"/>
  <c r="D5"/>
  <c r="F28" s="1"/>
  <c r="D6"/>
  <c r="F29" s="1"/>
  <c r="D7"/>
  <c r="F30" s="1"/>
  <c r="D8"/>
  <c r="F31" s="1"/>
  <c r="D9"/>
  <c r="F33" s="1"/>
  <c r="D10"/>
  <c r="F34" s="1"/>
  <c r="D13"/>
  <c r="F37" s="1"/>
  <c r="D14"/>
  <c r="F38" s="1"/>
  <c r="E39"/>
  <c r="F39"/>
  <c r="D16"/>
  <c r="F40" s="1"/>
  <c r="E42"/>
  <c r="F42"/>
  <c r="B39"/>
  <c r="C39"/>
  <c r="E37" i="4"/>
  <c r="F37"/>
  <c r="H17"/>
  <c r="E22" s="1"/>
  <c r="F22"/>
  <c r="E23"/>
  <c r="F23"/>
  <c r="D4"/>
  <c r="F25" s="1"/>
  <c r="E25"/>
  <c r="D5"/>
  <c r="F26" s="1"/>
  <c r="B26"/>
  <c r="E26" s="1"/>
  <c r="D6"/>
  <c r="F27" s="1"/>
  <c r="E27"/>
  <c r="D7"/>
  <c r="F28" s="1"/>
  <c r="E28"/>
  <c r="D8"/>
  <c r="F29" s="1"/>
  <c r="E29"/>
  <c r="E31"/>
  <c r="D9"/>
  <c r="F31" s="1"/>
  <c r="E32"/>
  <c r="D10"/>
  <c r="F32" s="1"/>
  <c r="E35"/>
  <c r="D11"/>
  <c r="F35" s="1"/>
  <c r="E36"/>
  <c r="D12"/>
  <c r="F36" s="1"/>
  <c r="E38"/>
  <c r="D14"/>
  <c r="F38" s="1"/>
  <c r="E40"/>
  <c r="F40"/>
  <c r="B37"/>
  <c r="C37"/>
  <c r="C4"/>
  <c r="C25" s="1"/>
  <c r="D25" s="1"/>
  <c r="C5"/>
  <c r="C6"/>
  <c r="C7"/>
  <c r="C28" s="1"/>
  <c r="C8"/>
  <c r="C9"/>
  <c r="C10"/>
  <c r="C11"/>
  <c r="C12"/>
  <c r="C14"/>
  <c r="C38" s="1"/>
  <c r="C40"/>
  <c r="B23" i="9"/>
  <c r="B24" i="8"/>
  <c r="B25" i="7"/>
  <c r="B25" i="6"/>
  <c r="B23" i="4"/>
  <c r="C5" i="9"/>
  <c r="C26" s="1"/>
  <c r="D26" s="1"/>
  <c r="B32"/>
  <c r="B31"/>
  <c r="C14"/>
  <c r="C38" s="1"/>
  <c r="C6"/>
  <c r="C7"/>
  <c r="C28" s="1"/>
  <c r="C8"/>
  <c r="C9"/>
  <c r="C10"/>
  <c r="C11"/>
  <c r="C12"/>
  <c r="C4"/>
  <c r="C25" s="1"/>
  <c r="D25" s="1"/>
  <c r="B14"/>
  <c r="B6"/>
  <c r="B7"/>
  <c r="B8"/>
  <c r="B9"/>
  <c r="B10"/>
  <c r="B11"/>
  <c r="B12"/>
  <c r="B5"/>
  <c r="B4"/>
  <c r="A3"/>
  <c r="B3"/>
  <c r="C3"/>
  <c r="D3"/>
  <c r="A4"/>
  <c r="A5"/>
  <c r="A6"/>
  <c r="A7"/>
  <c r="A28" s="1"/>
  <c r="A8"/>
  <c r="A29" s="1"/>
  <c r="A9"/>
  <c r="A31" s="1"/>
  <c r="A10"/>
  <c r="A11"/>
  <c r="A35" s="1"/>
  <c r="A12"/>
  <c r="A14"/>
  <c r="A38" s="1"/>
  <c r="E18"/>
  <c r="A20"/>
  <c r="B22"/>
  <c r="C22"/>
  <c r="C23"/>
  <c r="D23" s="1"/>
  <c r="A25"/>
  <c r="A26"/>
  <c r="A27"/>
  <c r="B27"/>
  <c r="C27"/>
  <c r="B28"/>
  <c r="B29"/>
  <c r="C29"/>
  <c r="C31"/>
  <c r="D31" s="1"/>
  <c r="A32"/>
  <c r="C32"/>
  <c r="D32" s="1"/>
  <c r="B35"/>
  <c r="C35"/>
  <c r="A36"/>
  <c r="B36"/>
  <c r="C36"/>
  <c r="B38"/>
  <c r="B40"/>
  <c r="C40"/>
  <c r="C15" i="8"/>
  <c r="C40" s="1"/>
  <c r="C6"/>
  <c r="C28" s="1"/>
  <c r="C7"/>
  <c r="C29" s="1"/>
  <c r="C8"/>
  <c r="C30" s="1"/>
  <c r="C9"/>
  <c r="C31" s="1"/>
  <c r="C10"/>
  <c r="C11"/>
  <c r="C12"/>
  <c r="C37" s="1"/>
  <c r="C13"/>
  <c r="C38" s="1"/>
  <c r="C5"/>
  <c r="C27" s="1"/>
  <c r="C4"/>
  <c r="C26" s="1"/>
  <c r="D26" s="1"/>
  <c r="B15"/>
  <c r="B7"/>
  <c r="B8"/>
  <c r="B9"/>
  <c r="B10"/>
  <c r="B11"/>
  <c r="B12"/>
  <c r="B13"/>
  <c r="B6"/>
  <c r="B5"/>
  <c r="B4"/>
  <c r="A6"/>
  <c r="A7"/>
  <c r="A29" s="1"/>
  <c r="A8"/>
  <c r="A9"/>
  <c r="A31" s="1"/>
  <c r="A10"/>
  <c r="A33" s="1"/>
  <c r="A11"/>
  <c r="A34" s="1"/>
  <c r="A12"/>
  <c r="A37" s="1"/>
  <c r="A13"/>
  <c r="A15"/>
  <c r="A40" s="1"/>
  <c r="A5"/>
  <c r="A27" s="1"/>
  <c r="A4"/>
  <c r="A26" s="1"/>
  <c r="A3"/>
  <c r="A21" s="1"/>
  <c r="B3"/>
  <c r="C3"/>
  <c r="D3"/>
  <c r="E19"/>
  <c r="B23"/>
  <c r="C23"/>
  <c r="C24"/>
  <c r="D24" s="1"/>
  <c r="E26"/>
  <c r="B27"/>
  <c r="E27"/>
  <c r="G27" s="1"/>
  <c r="A28"/>
  <c r="B28"/>
  <c r="B29"/>
  <c r="A30"/>
  <c r="B30"/>
  <c r="B31"/>
  <c r="B33"/>
  <c r="C33"/>
  <c r="B34"/>
  <c r="C34"/>
  <c r="B37"/>
  <c r="A38"/>
  <c r="B38"/>
  <c r="B40"/>
  <c r="E40"/>
  <c r="B42"/>
  <c r="C42"/>
  <c r="A12" i="7"/>
  <c r="A34" s="1"/>
  <c r="A11"/>
  <c r="A33" s="1"/>
  <c r="C12"/>
  <c r="C34" s="1"/>
  <c r="C11"/>
  <c r="C33" s="1"/>
  <c r="A3"/>
  <c r="B3"/>
  <c r="C3"/>
  <c r="D3"/>
  <c r="A4"/>
  <c r="B4"/>
  <c r="C4"/>
  <c r="C27" s="1"/>
  <c r="D27" s="1"/>
  <c r="A5"/>
  <c r="A28" s="1"/>
  <c r="B5"/>
  <c r="C5"/>
  <c r="C28" s="1"/>
  <c r="A6"/>
  <c r="A29" s="1"/>
  <c r="B6"/>
  <c r="C6"/>
  <c r="C29" s="1"/>
  <c r="A7"/>
  <c r="A30" s="1"/>
  <c r="C7"/>
  <c r="C30" s="1"/>
  <c r="A8"/>
  <c r="A31" s="1"/>
  <c r="B8"/>
  <c r="C8"/>
  <c r="C31" s="1"/>
  <c r="A9"/>
  <c r="B9"/>
  <c r="C9"/>
  <c r="D9"/>
  <c r="A10"/>
  <c r="B10"/>
  <c r="C10"/>
  <c r="D10"/>
  <c r="B11"/>
  <c r="B12"/>
  <c r="A13"/>
  <c r="A37" s="1"/>
  <c r="B13"/>
  <c r="C13"/>
  <c r="C37" s="1"/>
  <c r="A14"/>
  <c r="A38" s="1"/>
  <c r="B14"/>
  <c r="C14"/>
  <c r="C38" s="1"/>
  <c r="A16"/>
  <c r="A40" s="1"/>
  <c r="B16"/>
  <c r="C16"/>
  <c r="C40" s="1"/>
  <c r="E20"/>
  <c r="A22"/>
  <c r="B24"/>
  <c r="C24"/>
  <c r="C25"/>
  <c r="D25" s="1"/>
  <c r="A27"/>
  <c r="E27"/>
  <c r="B28"/>
  <c r="E28" s="1"/>
  <c r="B29"/>
  <c r="B30"/>
  <c r="B31"/>
  <c r="B33"/>
  <c r="B34"/>
  <c r="B37"/>
  <c r="B38"/>
  <c r="B40"/>
  <c r="E40"/>
  <c r="B42"/>
  <c r="C42"/>
  <c r="B34" i="6"/>
  <c r="B33"/>
  <c r="E31"/>
  <c r="G31" s="1"/>
  <c r="E30"/>
  <c r="G30" s="1"/>
  <c r="E29"/>
  <c r="B31"/>
  <c r="B30"/>
  <c r="B29"/>
  <c r="A3"/>
  <c r="D11"/>
  <c r="D12"/>
  <c r="C5"/>
  <c r="C28" s="1"/>
  <c r="C6"/>
  <c r="C7"/>
  <c r="C30" s="1"/>
  <c r="C8"/>
  <c r="C31" s="1"/>
  <c r="C9"/>
  <c r="C33" s="1"/>
  <c r="C10"/>
  <c r="C34" s="1"/>
  <c r="D34" s="1"/>
  <c r="C11"/>
  <c r="C12"/>
  <c r="C13"/>
  <c r="C37" s="1"/>
  <c r="C14"/>
  <c r="C16"/>
  <c r="C40" s="1"/>
  <c r="C4"/>
  <c r="C27" s="1"/>
  <c r="D27" s="1"/>
  <c r="B5"/>
  <c r="B6"/>
  <c r="B8"/>
  <c r="B9"/>
  <c r="B10"/>
  <c r="B11"/>
  <c r="B12"/>
  <c r="B13"/>
  <c r="B14"/>
  <c r="B16"/>
  <c r="B4"/>
  <c r="A16"/>
  <c r="A40" s="1"/>
  <c r="A14"/>
  <c r="A38" s="1"/>
  <c r="A13"/>
  <c r="A37" s="1"/>
  <c r="A12"/>
  <c r="A11"/>
  <c r="A10"/>
  <c r="A9"/>
  <c r="A33" s="1"/>
  <c r="A8"/>
  <c r="A31" s="1"/>
  <c r="A7"/>
  <c r="A30" s="1"/>
  <c r="A6"/>
  <c r="A29" s="1"/>
  <c r="A5"/>
  <c r="A28" s="1"/>
  <c r="A4"/>
  <c r="A27" s="1"/>
  <c r="B3"/>
  <c r="C3"/>
  <c r="D3"/>
  <c r="E20"/>
  <c r="A22"/>
  <c r="B24"/>
  <c r="C24"/>
  <c r="C25"/>
  <c r="D25" s="1"/>
  <c r="E27"/>
  <c r="B28"/>
  <c r="E28" s="1"/>
  <c r="G28" s="1"/>
  <c r="C29"/>
  <c r="D29" s="1"/>
  <c r="A34"/>
  <c r="B37"/>
  <c r="B38"/>
  <c r="C38"/>
  <c r="B40"/>
  <c r="E40"/>
  <c r="B42"/>
  <c r="C42"/>
  <c r="C27" i="4"/>
  <c r="B27"/>
  <c r="B28"/>
  <c r="C29"/>
  <c r="B29"/>
  <c r="C26"/>
  <c r="D26" s="1"/>
  <c r="B31"/>
  <c r="C31"/>
  <c r="B32"/>
  <c r="C32"/>
  <c r="B35"/>
  <c r="C35"/>
  <c r="B36"/>
  <c r="C36"/>
  <c r="B38"/>
  <c r="B40"/>
  <c r="D40" s="1"/>
  <c r="B22"/>
  <c r="C22"/>
  <c r="C23"/>
  <c r="D23" s="1"/>
  <c r="A12"/>
  <c r="A36" s="1"/>
  <c r="A14"/>
  <c r="A38" s="1"/>
  <c r="A11"/>
  <c r="A35" s="1"/>
  <c r="A10"/>
  <c r="A32" s="1"/>
  <c r="A9"/>
  <c r="A31" s="1"/>
  <c r="A5"/>
  <c r="A26" s="1"/>
  <c r="A6"/>
  <c r="A27" s="1"/>
  <c r="A7"/>
  <c r="A28" s="1"/>
  <c r="A8"/>
  <c r="A29" s="1"/>
  <c r="A4"/>
  <c r="A25" s="1"/>
  <c r="A3"/>
  <c r="A20" s="1"/>
  <c r="E18"/>
  <c r="B3"/>
  <c r="D3"/>
  <c r="B5"/>
  <c r="B6"/>
  <c r="B8"/>
  <c r="B9"/>
  <c r="B10"/>
  <c r="B11"/>
  <c r="B12"/>
  <c r="B14"/>
  <c r="B4"/>
  <c r="C3"/>
  <c r="G26" i="9" l="1"/>
  <c r="D40" i="12"/>
  <c r="E23"/>
  <c r="G23" s="1"/>
  <c r="H23" s="1"/>
  <c r="I23" s="1"/>
  <c r="G36"/>
  <c r="D26"/>
  <c r="D27"/>
  <c r="D37"/>
  <c r="G37"/>
  <c r="G40"/>
  <c r="G25"/>
  <c r="G26"/>
  <c r="G27"/>
  <c r="G28"/>
  <c r="G29"/>
  <c r="D32"/>
  <c r="D36"/>
  <c r="H36" s="1"/>
  <c r="I36" s="1"/>
  <c r="G38"/>
  <c r="H37"/>
  <c r="I37" s="1"/>
  <c r="H40"/>
  <c r="I40" s="1"/>
  <c r="D28"/>
  <c r="D30" s="1"/>
  <c r="D29"/>
  <c r="D31"/>
  <c r="D33" s="1"/>
  <c r="D35"/>
  <c r="D38"/>
  <c r="E22"/>
  <c r="G22" s="1"/>
  <c r="E31"/>
  <c r="G31" s="1"/>
  <c r="E32"/>
  <c r="G32" s="1"/>
  <c r="E35"/>
  <c r="G35" s="1"/>
  <c r="G37" i="4"/>
  <c r="E38" i="8"/>
  <c r="E37"/>
  <c r="E34"/>
  <c r="E33"/>
  <c r="G39"/>
  <c r="D36" i="9"/>
  <c r="D28"/>
  <c r="D27"/>
  <c r="D22"/>
  <c r="E36"/>
  <c r="E35"/>
  <c r="G35" s="1"/>
  <c r="E32"/>
  <c r="G32" s="1"/>
  <c r="H32" s="1"/>
  <c r="I32" s="1"/>
  <c r="E31"/>
  <c r="G31" s="1"/>
  <c r="H31" s="1"/>
  <c r="I31" s="1"/>
  <c r="D29"/>
  <c r="D31" i="8"/>
  <c r="H31" s="1"/>
  <c r="I31" s="1"/>
  <c r="D29"/>
  <c r="H29" s="1"/>
  <c r="I29" s="1"/>
  <c r="D27"/>
  <c r="D30"/>
  <c r="D28"/>
  <c r="H28" s="1"/>
  <c r="I28" s="1"/>
  <c r="G28" i="7"/>
  <c r="D39"/>
  <c r="G42"/>
  <c r="E38"/>
  <c r="E37"/>
  <c r="E34"/>
  <c r="E33"/>
  <c r="G31"/>
  <c r="G30"/>
  <c r="G29"/>
  <c r="D31"/>
  <c r="D28"/>
  <c r="D30"/>
  <c r="H30" s="1"/>
  <c r="I30" s="1"/>
  <c r="D29"/>
  <c r="D31" i="6"/>
  <c r="H31" s="1"/>
  <c r="I31" s="1"/>
  <c r="D30"/>
  <c r="H30" s="1"/>
  <c r="I30" s="1"/>
  <c r="G40"/>
  <c r="D33"/>
  <c r="G27"/>
  <c r="H27" s="1"/>
  <c r="I27" s="1"/>
  <c r="D28"/>
  <c r="G25"/>
  <c r="H25" s="1"/>
  <c r="I25" s="1"/>
  <c r="G25" i="4"/>
  <c r="D27"/>
  <c r="G40"/>
  <c r="H40" s="1"/>
  <c r="I40" s="1"/>
  <c r="G38"/>
  <c r="G36"/>
  <c r="G35"/>
  <c r="G32"/>
  <c r="D40" i="6"/>
  <c r="D40" i="8"/>
  <c r="D33"/>
  <c r="D33" i="9"/>
  <c r="D35" i="4"/>
  <c r="H35" s="1"/>
  <c r="I35" s="1"/>
  <c r="D31"/>
  <c r="D28"/>
  <c r="D40" i="7"/>
  <c r="G42" i="6"/>
  <c r="E38"/>
  <c r="G38" s="1"/>
  <c r="E37"/>
  <c r="G40" i="8"/>
  <c r="H40" s="1"/>
  <c r="I40" s="1"/>
  <c r="D39" i="6"/>
  <c r="G39"/>
  <c r="G37"/>
  <c r="D39" i="8"/>
  <c r="G42"/>
  <c r="D22" i="4"/>
  <c r="D24" s="1"/>
  <c r="D38" i="6"/>
  <c r="D35"/>
  <c r="D24"/>
  <c r="D26" s="1"/>
  <c r="D38" i="7"/>
  <c r="G27"/>
  <c r="H27" s="1"/>
  <c r="I27" s="1"/>
  <c r="D24"/>
  <c r="D26" s="1"/>
  <c r="D38" i="8"/>
  <c r="D42" i="7"/>
  <c r="H42" s="1"/>
  <c r="I42" s="1"/>
  <c r="D37"/>
  <c r="D23" i="8"/>
  <c r="D25" s="1"/>
  <c r="D40" i="9"/>
  <c r="D38"/>
  <c r="G24" i="6"/>
  <c r="G39" i="7"/>
  <c r="H39" s="1"/>
  <c r="I39" s="1"/>
  <c r="D38" i="4"/>
  <c r="H38" s="1"/>
  <c r="I38" s="1"/>
  <c r="D36"/>
  <c r="H36" s="1"/>
  <c r="I36" s="1"/>
  <c r="D42" i="6"/>
  <c r="D37"/>
  <c r="D33" i="7"/>
  <c r="D42" i="8"/>
  <c r="D37"/>
  <c r="D37" i="9"/>
  <c r="G40"/>
  <c r="H40" s="1"/>
  <c r="I40" s="1"/>
  <c r="G37"/>
  <c r="H37" s="1"/>
  <c r="I37" s="1"/>
  <c r="G36"/>
  <c r="H36" s="1"/>
  <c r="I36" s="1"/>
  <c r="G25" i="7"/>
  <c r="H25" s="1"/>
  <c r="I25" s="1"/>
  <c r="G23" i="9"/>
  <c r="H23" s="1"/>
  <c r="I23" s="1"/>
  <c r="G22" i="4"/>
  <c r="G24" i="7"/>
  <c r="G22" i="9"/>
  <c r="H22" s="1"/>
  <c r="I22" s="1"/>
  <c r="G29" i="6"/>
  <c r="H29" s="1"/>
  <c r="I29" s="1"/>
  <c r="H29" i="7"/>
  <c r="I29" s="1"/>
  <c r="G26" i="8"/>
  <c r="D37" i="4"/>
  <c r="H37" s="1"/>
  <c r="I37" s="1"/>
  <c r="G38" i="7"/>
  <c r="H38" s="1"/>
  <c r="I38" s="1"/>
  <c r="G34"/>
  <c r="G38" i="8"/>
  <c r="G34"/>
  <c r="G24"/>
  <c r="H24" s="1"/>
  <c r="I24" s="1"/>
  <c r="G23"/>
  <c r="D32" i="4"/>
  <c r="H32" s="1"/>
  <c r="I32" s="1"/>
  <c r="D29"/>
  <c r="G40" i="7"/>
  <c r="D34"/>
  <c r="D34" i="8"/>
  <c r="H30"/>
  <c r="I30" s="1"/>
  <c r="D35" i="9"/>
  <c r="D39" s="1"/>
  <c r="G31" i="4"/>
  <c r="G26"/>
  <c r="H26" s="1"/>
  <c r="I26" s="1"/>
  <c r="G23"/>
  <c r="G37" i="7"/>
  <c r="G33"/>
  <c r="G35" s="1"/>
  <c r="G37" i="8"/>
  <c r="G33"/>
  <c r="H33" s="1"/>
  <c r="I33" s="1"/>
  <c r="H25" i="9"/>
  <c r="I25" s="1"/>
  <c r="D30"/>
  <c r="D34" s="1"/>
  <c r="F10" i="11" s="1"/>
  <c r="D32" i="8"/>
  <c r="H27"/>
  <c r="I27" s="1"/>
  <c r="H26" i="9"/>
  <c r="I26" s="1"/>
  <c r="H25" i="4"/>
  <c r="I25" s="1"/>
  <c r="D24" i="9"/>
  <c r="G29" i="4"/>
  <c r="G28"/>
  <c r="G27"/>
  <c r="G38" i="9"/>
  <c r="G29"/>
  <c r="G28"/>
  <c r="G27"/>
  <c r="E34" i="6"/>
  <c r="G34" s="1"/>
  <c r="E33"/>
  <c r="G33" s="1"/>
  <c r="H39" i="8"/>
  <c r="I39" s="1"/>
  <c r="H28" i="7" l="1"/>
  <c r="I28" s="1"/>
  <c r="D39" i="12"/>
  <c r="D34"/>
  <c r="G24"/>
  <c r="H22"/>
  <c r="I22" s="1"/>
  <c r="G39"/>
  <c r="H35"/>
  <c r="I35" s="1"/>
  <c r="G33"/>
  <c r="H31"/>
  <c r="I31" s="1"/>
  <c r="H38"/>
  <c r="I38" s="1"/>
  <c r="H28"/>
  <c r="I28" s="1"/>
  <c r="H26"/>
  <c r="I26" s="1"/>
  <c r="H32"/>
  <c r="I32" s="1"/>
  <c r="H29"/>
  <c r="I29" s="1"/>
  <c r="H27"/>
  <c r="I27" s="1"/>
  <c r="G30"/>
  <c r="H25"/>
  <c r="I25" s="1"/>
  <c r="H31" i="7"/>
  <c r="I31" s="1"/>
  <c r="D30" i="4"/>
  <c r="D41" i="6"/>
  <c r="H35" i="9"/>
  <c r="I35" s="1"/>
  <c r="G39"/>
  <c r="H39" s="1"/>
  <c r="I39" s="1"/>
  <c r="D35" i="8"/>
  <c r="H42"/>
  <c r="I42" s="1"/>
  <c r="G41"/>
  <c r="H37"/>
  <c r="I37" s="1"/>
  <c r="D41" i="7"/>
  <c r="D32"/>
  <c r="H39" i="6"/>
  <c r="I39" s="1"/>
  <c r="H40"/>
  <c r="I40" s="1"/>
  <c r="H42"/>
  <c r="I42" s="1"/>
  <c r="D32"/>
  <c r="D36" s="1"/>
  <c r="H28"/>
  <c r="I28" s="1"/>
  <c r="H38"/>
  <c r="I38" s="1"/>
  <c r="G39" i="4"/>
  <c r="H22"/>
  <c r="I22" s="1"/>
  <c r="H31"/>
  <c r="I31" s="1"/>
  <c r="G24"/>
  <c r="H24" s="1"/>
  <c r="I24" s="1"/>
  <c r="D41" i="8"/>
  <c r="H41" s="1"/>
  <c r="I41" s="1"/>
  <c r="D33" i="4"/>
  <c r="G32" i="7"/>
  <c r="G32" i="8"/>
  <c r="H32" s="1"/>
  <c r="I32" s="1"/>
  <c r="G41" i="7"/>
  <c r="H41" s="1"/>
  <c r="I41" s="1"/>
  <c r="G25" i="8"/>
  <c r="H25" s="1"/>
  <c r="I25" s="1"/>
  <c r="H34"/>
  <c r="I34" s="1"/>
  <c r="H34" i="7"/>
  <c r="I34" s="1"/>
  <c r="H24"/>
  <c r="I24" s="1"/>
  <c r="H24" i="6"/>
  <c r="I24" s="1"/>
  <c r="H37" i="7"/>
  <c r="I37" s="1"/>
  <c r="H38" i="8"/>
  <c r="I38" s="1"/>
  <c r="H37" i="6"/>
  <c r="I37" s="1"/>
  <c r="G33" i="4"/>
  <c r="G24" i="9"/>
  <c r="G33"/>
  <c r="H33" s="1"/>
  <c r="I33" s="1"/>
  <c r="G26" i="6"/>
  <c r="H26" s="1"/>
  <c r="I26" s="1"/>
  <c r="H40" i="7"/>
  <c r="I40" s="1"/>
  <c r="G32" i="6"/>
  <c r="G41"/>
  <c r="H41" s="1"/>
  <c r="I41" s="1"/>
  <c r="D39" i="4"/>
  <c r="H39" s="1"/>
  <c r="I39" s="1"/>
  <c r="G35" i="8"/>
  <c r="G36" s="1"/>
  <c r="G9" i="11" s="1"/>
  <c r="H33" i="7"/>
  <c r="I33" s="1"/>
  <c r="H26" i="8"/>
  <c r="I26" s="1"/>
  <c r="G30" i="9"/>
  <c r="H30" s="1"/>
  <c r="I30" s="1"/>
  <c r="H23" i="8"/>
  <c r="I23" s="1"/>
  <c r="G26" i="7"/>
  <c r="H26" s="1"/>
  <c r="I26" s="1"/>
  <c r="D35"/>
  <c r="H23" i="4"/>
  <c r="I23" s="1"/>
  <c r="D41" i="9"/>
  <c r="D42" s="1"/>
  <c r="D43" s="1"/>
  <c r="J10" i="11" s="1"/>
  <c r="D36" i="8"/>
  <c r="F9" i="11" s="1"/>
  <c r="H34" i="6"/>
  <c r="I34" s="1"/>
  <c r="H27" i="9"/>
  <c r="I27" s="1"/>
  <c r="H28" i="4"/>
  <c r="I28" s="1"/>
  <c r="H29"/>
  <c r="I29" s="1"/>
  <c r="H33" i="6"/>
  <c r="I33" s="1"/>
  <c r="G35"/>
  <c r="H28" i="9"/>
  <c r="I28" s="1"/>
  <c r="H29"/>
  <c r="I29" s="1"/>
  <c r="H38"/>
  <c r="I38" s="1"/>
  <c r="H27" i="4"/>
  <c r="I27" s="1"/>
  <c r="G30"/>
  <c r="D41" i="12" l="1"/>
  <c r="D42" s="1"/>
  <c r="D43" s="1"/>
  <c r="J7" i="11" s="1"/>
  <c r="F7"/>
  <c r="G34" i="12"/>
  <c r="G7" i="11" s="1"/>
  <c r="H30" i="12"/>
  <c r="I30" s="1"/>
  <c r="H39"/>
  <c r="I39" s="1"/>
  <c r="H33"/>
  <c r="I33" s="1"/>
  <c r="G41"/>
  <c r="H24"/>
  <c r="I24" s="1"/>
  <c r="D43" i="6"/>
  <c r="D44" s="1"/>
  <c r="D45" s="1"/>
  <c r="J8" i="11" s="1"/>
  <c r="F8"/>
  <c r="H9"/>
  <c r="H7"/>
  <c r="D34" i="4"/>
  <c r="F6" i="11" s="1"/>
  <c r="D36" i="7"/>
  <c r="D43" s="1"/>
  <c r="D44" s="1"/>
  <c r="D45" s="1"/>
  <c r="H32"/>
  <c r="I32" s="1"/>
  <c r="H32" i="6"/>
  <c r="I32" s="1"/>
  <c r="H33" i="4"/>
  <c r="I33" s="1"/>
  <c r="G36" i="7"/>
  <c r="G43" s="1"/>
  <c r="D43" i="8"/>
  <c r="D44" s="1"/>
  <c r="D45" s="1"/>
  <c r="J9" i="11" s="1"/>
  <c r="G34" i="9"/>
  <c r="G36" i="6"/>
  <c r="G43" i="8"/>
  <c r="G44" s="1"/>
  <c r="H24" i="9"/>
  <c r="I24" s="1"/>
  <c r="H35" i="7"/>
  <c r="I35" s="1"/>
  <c r="H35" i="8"/>
  <c r="I35" s="1"/>
  <c r="G34" i="4"/>
  <c r="G6" i="11" s="1"/>
  <c r="H30" i="4"/>
  <c r="I30" s="1"/>
  <c r="H36" i="8"/>
  <c r="I36" s="1"/>
  <c r="H35" i="6"/>
  <c r="I35" s="1"/>
  <c r="G42" i="12" l="1"/>
  <c r="H41"/>
  <c r="I41" s="1"/>
  <c r="H34"/>
  <c r="I34" s="1"/>
  <c r="H34" i="9"/>
  <c r="I34" s="1"/>
  <c r="G10" i="11"/>
  <c r="H10" s="1"/>
  <c r="D41" i="4"/>
  <c r="D42" s="1"/>
  <c r="D43" s="1"/>
  <c r="J6" i="11" s="1"/>
  <c r="H36" i="7"/>
  <c r="I36" s="1"/>
  <c r="H6" i="11"/>
  <c r="G41" i="9"/>
  <c r="H36" i="6"/>
  <c r="I36" s="1"/>
  <c r="G8" i="11"/>
  <c r="H8" s="1"/>
  <c r="G43" i="6"/>
  <c r="H43" i="8"/>
  <c r="I43" s="1"/>
  <c r="H44"/>
  <c r="I44" s="1"/>
  <c r="G44" i="7"/>
  <c r="H43"/>
  <c r="I43" s="1"/>
  <c r="H34" i="4"/>
  <c r="I34" s="1"/>
  <c r="G41"/>
  <c r="G45" i="8"/>
  <c r="H42" i="12" l="1"/>
  <c r="I42" s="1"/>
  <c r="G43"/>
  <c r="K7" i="11" s="1"/>
  <c r="G42" i="9"/>
  <c r="H41"/>
  <c r="I41" s="1"/>
  <c r="J44" i="8"/>
  <c r="K9" i="11"/>
  <c r="L9" s="1"/>
  <c r="H43" i="6"/>
  <c r="I43" s="1"/>
  <c r="G44"/>
  <c r="G42" i="4"/>
  <c r="G43" s="1"/>
  <c r="K6" i="11" s="1"/>
  <c r="H41" i="4"/>
  <c r="I41" s="1"/>
  <c r="H44" i="7"/>
  <c r="I44" s="1"/>
  <c r="J29" i="8"/>
  <c r="J31"/>
  <c r="J28"/>
  <c r="J30"/>
  <c r="H45"/>
  <c r="I45" s="1"/>
  <c r="J45"/>
  <c r="J26"/>
  <c r="J23"/>
  <c r="J40"/>
  <c r="J27"/>
  <c r="J42"/>
  <c r="J33"/>
  <c r="J38"/>
  <c r="J34"/>
  <c r="J24"/>
  <c r="J37"/>
  <c r="J39"/>
  <c r="J41"/>
  <c r="J32"/>
  <c r="J35"/>
  <c r="J25"/>
  <c r="J36"/>
  <c r="J43"/>
  <c r="G45" i="7"/>
  <c r="J44" s="1"/>
  <c r="J43" i="12" l="1"/>
  <c r="H43"/>
  <c r="I43" s="1"/>
  <c r="J36"/>
  <c r="J40"/>
  <c r="J23"/>
  <c r="J37"/>
  <c r="J35"/>
  <c r="J25"/>
  <c r="J22"/>
  <c r="J31"/>
  <c r="J38"/>
  <c r="J28"/>
  <c r="J26"/>
  <c r="J32"/>
  <c r="J29"/>
  <c r="J27"/>
  <c r="J24"/>
  <c r="J30"/>
  <c r="J39"/>
  <c r="J33"/>
  <c r="J41"/>
  <c r="J34"/>
  <c r="J42"/>
  <c r="G43" i="9"/>
  <c r="H42"/>
  <c r="I42" s="1"/>
  <c r="J42"/>
  <c r="G45" i="6"/>
  <c r="H44"/>
  <c r="I44" s="1"/>
  <c r="J44"/>
  <c r="J41" i="4"/>
  <c r="L6" i="11"/>
  <c r="L7"/>
  <c r="J37" i="4"/>
  <c r="H43"/>
  <c r="I43" s="1"/>
  <c r="J23"/>
  <c r="J25"/>
  <c r="J31"/>
  <c r="J35"/>
  <c r="J38"/>
  <c r="J40"/>
  <c r="J22"/>
  <c r="J24"/>
  <c r="J26"/>
  <c r="J32"/>
  <c r="J36"/>
  <c r="J43"/>
  <c r="J28"/>
  <c r="J29"/>
  <c r="J33"/>
  <c r="J27"/>
  <c r="J39"/>
  <c r="J30"/>
  <c r="J34"/>
  <c r="J30" i="7"/>
  <c r="J31"/>
  <c r="J29"/>
  <c r="H45"/>
  <c r="I45" s="1"/>
  <c r="J45"/>
  <c r="J38"/>
  <c r="J34"/>
  <c r="J25"/>
  <c r="J42"/>
  <c r="J33"/>
  <c r="J39"/>
  <c r="J24"/>
  <c r="J40"/>
  <c r="J28"/>
  <c r="J27"/>
  <c r="J37"/>
  <c r="J41"/>
  <c r="J26"/>
  <c r="J32"/>
  <c r="J35"/>
  <c r="J36"/>
  <c r="J43"/>
  <c r="J42" i="4"/>
  <c r="H42"/>
  <c r="I42" s="1"/>
  <c r="J41" i="9" l="1"/>
  <c r="K10" i="11"/>
  <c r="L10" s="1"/>
  <c r="J26" i="9"/>
  <c r="J39"/>
  <c r="H43"/>
  <c r="I43" s="1"/>
  <c r="J40"/>
  <c r="J31"/>
  <c r="J22"/>
  <c r="J35"/>
  <c r="J23"/>
  <c r="J30"/>
  <c r="J27"/>
  <c r="J29"/>
  <c r="J24"/>
  <c r="J34"/>
  <c r="J25"/>
  <c r="J43"/>
  <c r="J36"/>
  <c r="J37"/>
  <c r="J32"/>
  <c r="J33"/>
  <c r="J28"/>
  <c r="J38"/>
  <c r="K8" i="11"/>
  <c r="L8" s="1"/>
  <c r="J43" i="6"/>
  <c r="J42"/>
  <c r="J45"/>
  <c r="J29"/>
  <c r="J24"/>
  <c r="J40"/>
  <c r="J27"/>
  <c r="J31"/>
  <c r="J41"/>
  <c r="J32"/>
  <c r="J35"/>
  <c r="J36"/>
  <c r="J38"/>
  <c r="H45"/>
  <c r="I45" s="1"/>
  <c r="J37"/>
  <c r="J39"/>
  <c r="J28"/>
  <c r="J25"/>
  <c r="J30"/>
  <c r="J34"/>
  <c r="J26"/>
  <c r="J33"/>
</calcChain>
</file>

<file path=xl/sharedStrings.xml><?xml version="1.0" encoding="utf-8"?>
<sst xmlns="http://schemas.openxmlformats.org/spreadsheetml/2006/main" count="335" uniqueCount="68">
  <si>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</si>
  <si>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</si>
  <si>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</si>
  <si>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</si>
  <si>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</si>
  <si>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</si>
  <si>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</si>
  <si>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</si>
  <si>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</si>
  <si>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</si>
  <si>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</si>
  <si>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</si>
  <si>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</si>
  <si>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</si>
  <si>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</si>
  <si>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</si>
  <si>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</si>
  <si>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</si>
  <si>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</si>
  <si>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</si>
  <si>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</si>
  <si>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</si>
  <si>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</si>
  <si>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</si>
  <si>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</si>
  <si>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</si>
  <si>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</si>
  <si>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</si>
  <si>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</si>
  <si>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</si>
  <si>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</si>
  <si>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</si>
  <si>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</si>
  <si>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</si>
  <si>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</si>
  <si>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</si>
  <si>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</si>
  <si>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</si>
  <si>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</si>
  <si>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</si>
  <si>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</si>
  <si>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</si>
  <si>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</si>
  <si>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</si>
  <si>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</si>
  <si>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</si>
  <si>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</si>
  <si>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</si>
  <si>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Residential Customers with an Interval Meter</t>
  </si>
  <si>
    <t>Current Approved Rates</t>
  </si>
  <si>
    <t>Rate Rider for Deferral/Variance Account Disposition - effective until May 31, 2013</t>
  </si>
  <si>
    <t>Rate Rider for Deferral/Variance Account Disposition - effective until November 30, 2015</t>
  </si>
  <si>
    <t>2012 Distribution Rate Impact Module</t>
  </si>
  <si>
    <t>Proposed January 1, 2012</t>
  </si>
  <si>
    <t>Rate Rider for Tax Changes - effective until December 31, 2012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</si>
  <si>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</si>
  <si>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</si>
  <si>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</si>
  <si>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</si>
  <si>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</si>
  <si>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</si>
  <si>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</si>
  <si>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</si>
  <si>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2012 IR</t>
  </si>
  <si>
    <t>Electricty Distribution Rate Proposal</t>
  </si>
  <si>
    <t>EB-2011-0152</t>
  </si>
  <si>
    <t>Rate Impacts Summary Arising from this Application</t>
  </si>
  <si>
    <t>September 15, 2011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</si>
</sst>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0.0000"/>
    <numFmt numFmtId="167" formatCode="_(* #,##0_);_(* \(#,##0\);_(* &quot;-&quot;??_);_(@_)"/>
    <numFmt numFmtId="168" formatCode="0.0"/>
    <numFmt numFmtId="169" formatCode="_(* #,##0.0000000_);_(* \(#,##0.00000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43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3" fontId="5" fillId="0" borderId="14" xfId="0" applyNumberFormat="1" applyFont="1" applyBorder="1"/>
    <xf numFmtId="43" fontId="5" fillId="0" borderId="15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0" fontId="3" fillId="0" borderId="5" xfId="0" applyFont="1" applyBorder="1"/>
    <xf numFmtId="167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5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69" fontId="0" fillId="0" borderId="0" xfId="1" applyNumberFormat="1" applyFont="1"/>
    <xf numFmtId="4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7" fontId="0" fillId="0" borderId="16" xfId="1" applyNumberFormat="1" applyFont="1" applyBorder="1"/>
    <xf numFmtId="43" fontId="0" fillId="0" borderId="16" xfId="1" applyFont="1" applyBorder="1"/>
    <xf numFmtId="165" fontId="0" fillId="0" borderId="16" xfId="3" applyNumberFormat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165" fontId="0" fillId="0" borderId="24" xfId="3" applyNumberFormat="1" applyFont="1" applyBorder="1"/>
    <xf numFmtId="0" fontId="0" fillId="0" borderId="36" xfId="0" applyBorder="1"/>
    <xf numFmtId="167" fontId="0" fillId="0" borderId="19" xfId="1" applyNumberFormat="1" applyFont="1" applyBorder="1"/>
    <xf numFmtId="43" fontId="0" fillId="0" borderId="19" xfId="1" applyFont="1" applyBorder="1"/>
    <xf numFmtId="165" fontId="0" fillId="0" borderId="19" xfId="3" applyNumberFormat="1" applyFont="1" applyBorder="1"/>
    <xf numFmtId="165" fontId="0" fillId="0" borderId="20" xfId="3" applyNumberFormat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7" fontId="0" fillId="5" borderId="16" xfId="1" applyNumberFormat="1" applyFont="1" applyFill="1" applyBorder="1"/>
    <xf numFmtId="167" fontId="0" fillId="5" borderId="19" xfId="1" applyNumberFormat="1" applyFont="1" applyFill="1" applyBorder="1"/>
    <xf numFmtId="165" fontId="0" fillId="5" borderId="16" xfId="3" applyNumberFormat="1" applyFont="1" applyFill="1" applyBorder="1"/>
    <xf numFmtId="165" fontId="0" fillId="5" borderId="19" xfId="3" applyNumberFormat="1" applyFont="1" applyFill="1" applyBorder="1"/>
    <xf numFmtId="0" fontId="8" fillId="0" borderId="18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7"/>
  <sheetViews>
    <sheetView tabSelected="1" topLeftCell="A4" workbookViewId="0">
      <selection activeCell="B22" sqref="B22:I22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32" t="s">
        <v>47</v>
      </c>
      <c r="C20" s="132"/>
      <c r="D20" s="132"/>
      <c r="E20" s="132"/>
      <c r="F20" s="132"/>
      <c r="G20" s="132"/>
      <c r="H20" s="132"/>
      <c r="I20" s="132"/>
    </row>
    <row r="21" spans="2:9" ht="33.75">
      <c r="B21" s="132" t="s">
        <v>52</v>
      </c>
      <c r="C21" s="132"/>
      <c r="D21" s="132"/>
      <c r="E21" s="132"/>
      <c r="F21" s="132"/>
      <c r="G21" s="132"/>
      <c r="H21" s="132"/>
      <c r="I21" s="132"/>
    </row>
    <row r="22" spans="2:9" ht="33.75">
      <c r="B22" s="132" t="s">
        <v>63</v>
      </c>
      <c r="C22" s="132"/>
      <c r="D22" s="132"/>
      <c r="E22" s="132"/>
      <c r="F22" s="132"/>
      <c r="G22" s="132"/>
      <c r="H22" s="132"/>
      <c r="I22" s="132"/>
    </row>
    <row r="23" spans="2:9" ht="33.75">
      <c r="B23" s="132" t="s">
        <v>64</v>
      </c>
      <c r="C23" s="132"/>
      <c r="D23" s="132"/>
      <c r="E23" s="132"/>
      <c r="F23" s="132"/>
      <c r="G23" s="132"/>
      <c r="H23" s="132"/>
      <c r="I23" s="132"/>
    </row>
    <row r="24" spans="2:9" ht="33.75">
      <c r="B24" s="132" t="s">
        <v>65</v>
      </c>
      <c r="C24" s="132"/>
      <c r="D24" s="132"/>
      <c r="E24" s="132"/>
      <c r="F24" s="132"/>
      <c r="G24" s="132"/>
      <c r="H24" s="132"/>
      <c r="I24" s="132"/>
    </row>
    <row r="25" spans="2:9" ht="33.75">
      <c r="B25" s="131"/>
      <c r="C25" s="131"/>
      <c r="D25" s="131"/>
      <c r="E25" s="131"/>
      <c r="F25" s="131"/>
      <c r="G25" s="131"/>
      <c r="H25" s="131"/>
      <c r="I25" s="131"/>
    </row>
    <row r="26" spans="2:9" ht="33.75">
      <c r="B26" s="131" t="s">
        <v>67</v>
      </c>
      <c r="C26" s="131"/>
      <c r="D26" s="131"/>
      <c r="E26" s="131"/>
      <c r="F26" s="131"/>
      <c r="G26" s="131"/>
      <c r="H26" s="131"/>
      <c r="I26" s="131"/>
    </row>
    <row r="27" spans="2:9" ht="33.75">
      <c r="B27" s="131"/>
      <c r="C27" s="131"/>
      <c r="D27" s="131"/>
      <c r="E27" s="131"/>
      <c r="F27" s="131"/>
      <c r="G27" s="131"/>
      <c r="H27" s="131"/>
      <c r="I27" s="131"/>
    </row>
  </sheetData>
  <mergeCells count="8"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8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7"/>
  <sheetViews>
    <sheetView topLeftCell="A16" zoomScaleNormal="100" workbookViewId="0">
      <selection activeCell="F23" sqref="F23"/>
    </sheetView>
  </sheetViews>
  <sheetFormatPr defaultRowHeight="12.75"/>
  <cols>
    <col min="1" max="1" width="84.2851562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49</v>
      </c>
      <c r="E3" s="9"/>
      <c r="F3" s="10" t="s">
        <v>53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20.92</v>
      </c>
      <c r="E5" s="101"/>
      <c r="F5" s="3">
        <v>21.29</v>
      </c>
    </row>
    <row r="6" spans="1:6">
      <c r="A6" t="s">
        <v>2</v>
      </c>
      <c r="B6" s="2" t="s">
        <v>15</v>
      </c>
      <c r="D6" s="6">
        <v>1</v>
      </c>
      <c r="E6" s="3"/>
      <c r="F6" s="6">
        <v>1</v>
      </c>
    </row>
    <row r="7" spans="1:6">
      <c r="A7" t="s">
        <v>4</v>
      </c>
      <c r="B7" s="2" t="s">
        <v>16</v>
      </c>
      <c r="D7" s="4">
        <v>2.9399999999999999E-2</v>
      </c>
      <c r="E7" s="101"/>
      <c r="F7" s="4">
        <v>2.9899999999999999E-2</v>
      </c>
    </row>
    <row r="8" spans="1:6">
      <c r="A8" s="109" t="s">
        <v>50</v>
      </c>
      <c r="B8" s="2" t="s">
        <v>16</v>
      </c>
      <c r="D8" s="108">
        <v>4.4000000000000003E-3</v>
      </c>
      <c r="F8" s="108">
        <v>4.4000000000000003E-3</v>
      </c>
    </row>
    <row r="9" spans="1:6">
      <c r="A9" s="109" t="s">
        <v>54</v>
      </c>
      <c r="B9" s="2" t="s">
        <v>16</v>
      </c>
      <c r="D9" s="4"/>
      <c r="E9" s="3"/>
      <c r="F9" s="4">
        <v>-2.0000000000000001E-4</v>
      </c>
    </row>
    <row r="10" spans="1:6">
      <c r="A10" t="s">
        <v>5</v>
      </c>
      <c r="B10" s="2" t="s">
        <v>16</v>
      </c>
      <c r="D10" s="4">
        <v>5.7000000000000002E-3</v>
      </c>
      <c r="E10" s="5"/>
      <c r="F10" s="4">
        <v>6.1999999999999998E-3</v>
      </c>
    </row>
    <row r="11" spans="1:6">
      <c r="A11" t="s">
        <v>6</v>
      </c>
      <c r="B11" s="2" t="s">
        <v>16</v>
      </c>
      <c r="D11" s="4">
        <v>4.7000000000000002E-3</v>
      </c>
      <c r="E11" s="7"/>
      <c r="F11" s="4">
        <v>4.8999999999999998E-3</v>
      </c>
    </row>
    <row r="12" spans="1:6">
      <c r="A12" t="s">
        <v>7</v>
      </c>
      <c r="B12" s="2" t="s">
        <v>16</v>
      </c>
      <c r="D12" s="4">
        <v>5.1999999999999998E-3</v>
      </c>
      <c r="E12" s="3"/>
      <c r="F12" s="4">
        <v>5.1999999999999998E-3</v>
      </c>
    </row>
    <row r="13" spans="1:6">
      <c r="A13" t="s">
        <v>8</v>
      </c>
      <c r="B13" s="2" t="s">
        <v>16</v>
      </c>
      <c r="D13" s="4">
        <v>1.2999999999999999E-3</v>
      </c>
      <c r="E13" s="4"/>
      <c r="F13" s="4">
        <v>1.2999999999999999E-3</v>
      </c>
    </row>
    <row r="14" spans="1:6">
      <c r="A14" t="s">
        <v>45</v>
      </c>
      <c r="B14" s="2" t="s">
        <v>16</v>
      </c>
      <c r="D14" s="103"/>
      <c r="E14" s="4"/>
      <c r="F14" s="103"/>
    </row>
    <row r="15" spans="1:6">
      <c r="A15" t="s">
        <v>9</v>
      </c>
      <c r="B15" s="2" t="s">
        <v>15</v>
      </c>
      <c r="D15" s="3">
        <v>0.25</v>
      </c>
      <c r="E15" s="3"/>
      <c r="F15" s="3">
        <v>0.25</v>
      </c>
    </row>
    <row r="17" spans="1:6">
      <c r="A17" s="1" t="s">
        <v>10</v>
      </c>
    </row>
    <row r="18" spans="1:6">
      <c r="A18" t="s">
        <v>3</v>
      </c>
      <c r="B18" s="2" t="s">
        <v>15</v>
      </c>
      <c r="D18" s="3">
        <v>596.12</v>
      </c>
      <c r="E18" s="101"/>
      <c r="F18" s="3">
        <v>596.12</v>
      </c>
    </row>
    <row r="19" spans="1:6">
      <c r="A19" t="s">
        <v>2</v>
      </c>
      <c r="B19" s="2" t="s">
        <v>15</v>
      </c>
      <c r="D19" s="6">
        <v>1</v>
      </c>
      <c r="E19" s="3"/>
      <c r="F19" s="6">
        <v>1</v>
      </c>
    </row>
    <row r="20" spans="1:6">
      <c r="A20" t="s">
        <v>4</v>
      </c>
      <c r="B20" s="2" t="s">
        <v>17</v>
      </c>
      <c r="D20" s="4">
        <v>2.5728</v>
      </c>
      <c r="E20" s="101"/>
      <c r="F20" s="4">
        <v>2.6574</v>
      </c>
    </row>
    <row r="21" spans="1:6">
      <c r="A21" s="109" t="s">
        <v>50</v>
      </c>
      <c r="B21" s="2" t="s">
        <v>17</v>
      </c>
      <c r="D21" s="108">
        <v>2.1951000000000001</v>
      </c>
      <c r="F21" s="108">
        <v>2.1951000000000001</v>
      </c>
    </row>
    <row r="22" spans="1:6">
      <c r="A22" s="109" t="s">
        <v>54</v>
      </c>
      <c r="B22" s="2" t="s">
        <v>17</v>
      </c>
      <c r="D22" s="4"/>
      <c r="E22" s="3"/>
      <c r="F22" s="4">
        <v>-2.2800000000000001E-2</v>
      </c>
    </row>
    <row r="23" spans="1:6">
      <c r="A23" t="s">
        <v>5</v>
      </c>
      <c r="B23" s="2" t="s">
        <v>17</v>
      </c>
      <c r="D23" s="4">
        <v>2.1217999999999999</v>
      </c>
      <c r="E23" s="5"/>
      <c r="F23" s="4">
        <v>2.3003999999999998</v>
      </c>
    </row>
    <row r="24" spans="1:6">
      <c r="A24" t="s">
        <v>6</v>
      </c>
      <c r="B24" s="2" t="s">
        <v>17</v>
      </c>
      <c r="D24" s="4">
        <v>1.6634</v>
      </c>
      <c r="E24" s="7"/>
      <c r="F24" s="4">
        <v>1.7452000000000001</v>
      </c>
    </row>
    <row r="25" spans="1:6">
      <c r="A25" t="s">
        <v>11</v>
      </c>
      <c r="B25" s="2" t="s">
        <v>17</v>
      </c>
      <c r="D25" s="4">
        <v>2.2507999999999999</v>
      </c>
      <c r="E25" s="5"/>
      <c r="F25" s="4">
        <v>2.4403000000000001</v>
      </c>
    </row>
    <row r="26" spans="1:6">
      <c r="A26" t="s">
        <v>12</v>
      </c>
      <c r="B26" s="2" t="s">
        <v>17</v>
      </c>
      <c r="D26" s="4">
        <v>1.8384</v>
      </c>
      <c r="E26" s="7"/>
      <c r="F26" s="4">
        <v>1.9288000000000001</v>
      </c>
    </row>
    <row r="27" spans="1:6">
      <c r="A27" t="s">
        <v>7</v>
      </c>
      <c r="B27" s="2" t="s">
        <v>16</v>
      </c>
      <c r="D27" s="4">
        <v>5.1999999999999998E-3</v>
      </c>
      <c r="E27" s="3"/>
      <c r="F27" s="4">
        <v>5.1999999999999998E-3</v>
      </c>
    </row>
    <row r="28" spans="1:6">
      <c r="A28" t="s">
        <v>8</v>
      </c>
      <c r="B28" s="2" t="s">
        <v>16</v>
      </c>
      <c r="D28" s="4">
        <v>1.2999999999999999E-3</v>
      </c>
      <c r="E28" s="4"/>
      <c r="F28" s="4">
        <v>1.2999999999999999E-3</v>
      </c>
    </row>
    <row r="29" spans="1:6">
      <c r="A29" t="s">
        <v>45</v>
      </c>
      <c r="B29" s="2" t="s">
        <v>16</v>
      </c>
      <c r="D29" s="103"/>
      <c r="E29" s="4"/>
      <c r="F29" s="103"/>
    </row>
    <row r="30" spans="1:6">
      <c r="A30" t="s">
        <v>9</v>
      </c>
      <c r="B30" s="2" t="s">
        <v>15</v>
      </c>
      <c r="D30" s="3">
        <v>0.25</v>
      </c>
      <c r="E30" s="3"/>
      <c r="F30" s="3">
        <v>0.25</v>
      </c>
    </row>
    <row r="32" spans="1:6">
      <c r="A32" s="1" t="s">
        <v>13</v>
      </c>
    </row>
    <row r="33" spans="1:6">
      <c r="A33" t="s">
        <v>3</v>
      </c>
      <c r="B33" s="2" t="s">
        <v>15</v>
      </c>
      <c r="D33" s="3">
        <v>26.07</v>
      </c>
      <c r="E33" s="101"/>
      <c r="F33" s="3">
        <v>25.85</v>
      </c>
    </row>
    <row r="34" spans="1:6">
      <c r="A34" t="s">
        <v>2</v>
      </c>
      <c r="B34" s="2" t="s">
        <v>15</v>
      </c>
      <c r="D34" s="6">
        <v>1</v>
      </c>
      <c r="E34" s="3"/>
      <c r="F34" s="6">
        <v>1</v>
      </c>
    </row>
    <row r="35" spans="1:6">
      <c r="A35" t="s">
        <v>4</v>
      </c>
      <c r="B35" s="2" t="s">
        <v>16</v>
      </c>
      <c r="D35" s="4">
        <v>0.10009999999999999</v>
      </c>
      <c r="E35" s="101"/>
      <c r="F35" s="4">
        <v>9.9400000000000002E-2</v>
      </c>
    </row>
    <row r="36" spans="1:6">
      <c r="A36" s="109" t="s">
        <v>50</v>
      </c>
      <c r="B36" s="2" t="s">
        <v>16</v>
      </c>
      <c r="D36" s="108">
        <v>4.4999999999999997E-3</v>
      </c>
      <c r="F36" s="108">
        <v>4.4999999999999997E-3</v>
      </c>
    </row>
    <row r="37" spans="1:6">
      <c r="A37" s="109" t="s">
        <v>51</v>
      </c>
      <c r="B37" s="2" t="s">
        <v>16</v>
      </c>
      <c r="D37" s="108">
        <v>3.0700000000000002E-2</v>
      </c>
      <c r="F37" s="108">
        <v>3.0700000000000002E-2</v>
      </c>
    </row>
    <row r="38" spans="1:6">
      <c r="A38" s="109" t="s">
        <v>54</v>
      </c>
      <c r="B38" s="2" t="s">
        <v>16</v>
      </c>
      <c r="D38" s="4"/>
      <c r="E38" s="3"/>
      <c r="F38" s="4">
        <v>-2.0000000000000001E-4</v>
      </c>
    </row>
    <row r="39" spans="1:6">
      <c r="A39" t="s">
        <v>5</v>
      </c>
      <c r="B39" s="2" t="s">
        <v>16</v>
      </c>
      <c r="D39" s="4">
        <v>5.7000000000000002E-3</v>
      </c>
      <c r="E39" s="5"/>
      <c r="F39" s="4">
        <v>6.1999999999999998E-3</v>
      </c>
    </row>
    <row r="40" spans="1:6">
      <c r="A40" t="s">
        <v>6</v>
      </c>
      <c r="B40" s="2" t="s">
        <v>16</v>
      </c>
      <c r="D40" s="4">
        <v>4.7000000000000002E-3</v>
      </c>
      <c r="E40" s="7"/>
      <c r="F40" s="4">
        <v>4.8999999999999998E-3</v>
      </c>
    </row>
    <row r="41" spans="1:6">
      <c r="A41" t="s">
        <v>7</v>
      </c>
      <c r="B41" s="2" t="s">
        <v>16</v>
      </c>
      <c r="D41" s="4">
        <v>5.1999999999999998E-3</v>
      </c>
      <c r="E41" s="3"/>
      <c r="F41" s="4">
        <v>5.1999999999999998E-3</v>
      </c>
    </row>
    <row r="42" spans="1:6">
      <c r="A42" t="s">
        <v>8</v>
      </c>
      <c r="B42" s="2" t="s">
        <v>16</v>
      </c>
      <c r="D42" s="4">
        <v>1.2999999999999999E-3</v>
      </c>
      <c r="E42" s="4"/>
      <c r="F42" s="4">
        <v>1.2999999999999999E-3</v>
      </c>
    </row>
    <row r="43" spans="1:6">
      <c r="A43" t="s">
        <v>45</v>
      </c>
      <c r="B43" s="2" t="s">
        <v>16</v>
      </c>
      <c r="D43" s="103"/>
      <c r="E43" s="4"/>
      <c r="F43" s="103"/>
    </row>
    <row r="44" spans="1:6">
      <c r="A44" t="s">
        <v>9</v>
      </c>
      <c r="B44" s="2" t="s">
        <v>15</v>
      </c>
      <c r="D44" s="3">
        <v>0.25</v>
      </c>
      <c r="E44" s="3"/>
      <c r="F44" s="3">
        <v>0.25</v>
      </c>
    </row>
    <row r="46" spans="1:6">
      <c r="A46" s="1" t="s">
        <v>14</v>
      </c>
    </row>
    <row r="47" spans="1:6">
      <c r="A47" t="s">
        <v>3</v>
      </c>
      <c r="B47" s="2" t="s">
        <v>15</v>
      </c>
      <c r="D47" s="3">
        <v>0.96</v>
      </c>
      <c r="E47" s="101"/>
      <c r="F47" s="3">
        <v>0.97</v>
      </c>
    </row>
    <row r="48" spans="1:6">
      <c r="A48" t="s">
        <v>2</v>
      </c>
      <c r="B48" s="2" t="s">
        <v>15</v>
      </c>
      <c r="D48" s="6">
        <v>0</v>
      </c>
      <c r="E48" s="3"/>
      <c r="F48" s="6">
        <v>0</v>
      </c>
    </row>
    <row r="49" spans="1:6">
      <c r="A49" t="s">
        <v>4</v>
      </c>
      <c r="B49" s="2" t="s">
        <v>16</v>
      </c>
      <c r="D49" s="4">
        <v>0.1537</v>
      </c>
      <c r="E49" s="101"/>
      <c r="F49" s="4">
        <v>0.18149999999999999</v>
      </c>
    </row>
    <row r="50" spans="1:6">
      <c r="A50" s="109" t="s">
        <v>50</v>
      </c>
      <c r="B50" s="2" t="s">
        <v>16</v>
      </c>
      <c r="D50" s="108">
        <v>4.7000000000000002E-3</v>
      </c>
      <c r="F50" s="108">
        <v>4.7000000000000002E-3</v>
      </c>
    </row>
    <row r="51" spans="1:6">
      <c r="A51" s="109" t="s">
        <v>54</v>
      </c>
      <c r="B51" s="2" t="s">
        <v>16</v>
      </c>
      <c r="D51" s="4"/>
      <c r="E51" s="3"/>
      <c r="F51" s="4">
        <v>-2.0000000000000001E-4</v>
      </c>
    </row>
    <row r="52" spans="1:6">
      <c r="A52" t="s">
        <v>5</v>
      </c>
      <c r="B52" s="2" t="s">
        <v>17</v>
      </c>
      <c r="D52" s="4">
        <v>1.6002000000000001</v>
      </c>
      <c r="E52" s="5"/>
      <c r="F52" s="4">
        <v>1.7349000000000001</v>
      </c>
    </row>
    <row r="53" spans="1:6">
      <c r="A53" t="s">
        <v>6</v>
      </c>
      <c r="B53" s="2" t="s">
        <v>17</v>
      </c>
      <c r="D53" s="4">
        <v>1.2859</v>
      </c>
      <c r="E53" s="7"/>
      <c r="F53" s="4">
        <v>1.3491</v>
      </c>
    </row>
    <row r="54" spans="1:6">
      <c r="A54" t="s">
        <v>7</v>
      </c>
      <c r="B54" s="2" t="s">
        <v>16</v>
      </c>
      <c r="D54" s="4">
        <v>5.1999999999999998E-3</v>
      </c>
      <c r="E54" s="3"/>
      <c r="F54" s="4">
        <v>5.1999999999999998E-3</v>
      </c>
    </row>
    <row r="55" spans="1:6">
      <c r="A55" t="s">
        <v>8</v>
      </c>
      <c r="B55" s="2" t="s">
        <v>16</v>
      </c>
      <c r="D55" s="4">
        <v>1.2999999999999999E-3</v>
      </c>
      <c r="E55" s="4"/>
      <c r="F55" s="4">
        <v>1.2999999999999999E-3</v>
      </c>
    </row>
    <row r="56" spans="1:6">
      <c r="A56" t="s">
        <v>45</v>
      </c>
      <c r="B56" s="2" t="s">
        <v>16</v>
      </c>
      <c r="D56" s="103"/>
      <c r="E56" s="4"/>
      <c r="F56" s="103"/>
    </row>
    <row r="57" spans="1:6">
      <c r="A57" t="s">
        <v>9</v>
      </c>
      <c r="B57" s="2" t="s">
        <v>15</v>
      </c>
      <c r="D57" s="3">
        <v>0.25</v>
      </c>
      <c r="E57" s="3"/>
      <c r="F57" s="3">
        <v>0.25</v>
      </c>
    </row>
    <row r="59" spans="1:6">
      <c r="A59" s="1" t="s">
        <v>18</v>
      </c>
    </row>
    <row r="60" spans="1:6">
      <c r="A60" t="s">
        <v>19</v>
      </c>
      <c r="B60" s="2" t="s">
        <v>16</v>
      </c>
      <c r="D60" s="4">
        <v>2E-3</v>
      </c>
      <c r="F60" s="4">
        <v>2E-3</v>
      </c>
    </row>
    <row r="61" spans="1:6">
      <c r="A61" t="s">
        <v>20</v>
      </c>
      <c r="B61" s="2" t="s">
        <v>16</v>
      </c>
      <c r="D61" s="4">
        <v>6.8000000000000005E-2</v>
      </c>
      <c r="F61" s="4">
        <v>6.8000000000000005E-2</v>
      </c>
    </row>
    <row r="62" spans="1:6">
      <c r="A62" t="s">
        <v>21</v>
      </c>
      <c r="B62" s="2" t="s">
        <v>16</v>
      </c>
      <c r="D62" s="4">
        <v>7.9000000000000001E-2</v>
      </c>
      <c r="F62" s="4">
        <v>7.9000000000000001E-2</v>
      </c>
    </row>
    <row r="65" spans="1:6">
      <c r="A65" s="1" t="s">
        <v>23</v>
      </c>
      <c r="E65" s="3"/>
    </row>
    <row r="66" spans="1:6">
      <c r="A66" t="s">
        <v>24</v>
      </c>
      <c r="D66" s="4">
        <v>1.0864</v>
      </c>
      <c r="F66" s="4">
        <v>1.0864</v>
      </c>
    </row>
    <row r="67" spans="1:6">
      <c r="A67" t="s">
        <v>46</v>
      </c>
      <c r="D67" s="105">
        <v>0.13</v>
      </c>
      <c r="F67" s="105">
        <v>0.13</v>
      </c>
    </row>
  </sheetData>
  <phoneticPr fontId="2" type="noConversion"/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zoomScaleNormal="100" workbookViewId="0">
      <selection activeCell="B27" sqref="B27:I27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20.92</v>
      </c>
      <c r="D4" s="26">
        <f>Rates!F5</f>
        <v>21.29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2.9399999999999999E-2</v>
      </c>
      <c r="D6" s="32">
        <f>Rates!F7</f>
        <v>2.9899999999999999E-2</v>
      </c>
    </row>
    <row r="7" spans="1:4">
      <c r="A7" s="27" t="str">
        <f>Rates!A8</f>
        <v>Rate Rider for Deferral/Variance Account Disposition - effective until May 31, 2013</v>
      </c>
      <c r="B7" s="28"/>
      <c r="C7" s="31">
        <f>Rates!D8</f>
        <v>4.4000000000000003E-3</v>
      </c>
      <c r="D7" s="32">
        <f>Rates!F8</f>
        <v>4.4000000000000003E-3</v>
      </c>
    </row>
    <row r="8" spans="1:4">
      <c r="A8" s="27" t="str">
        <f>Rates!A9</f>
        <v>Rate Rider for Tax Changes - effective until December 31, 2012</v>
      </c>
      <c r="B8" s="28" t="str">
        <f>Rates!B9</f>
        <v>$/kWh</v>
      </c>
      <c r="C8" s="31">
        <f>Rates!D9</f>
        <v>0</v>
      </c>
      <c r="D8" s="32">
        <f>Rates!F9</f>
        <v>-2.0000000000000001E-4</v>
      </c>
    </row>
    <row r="9" spans="1:4">
      <c r="A9" s="27" t="str">
        <f>Rates!A10</f>
        <v>Retail Transmission Rate - Network Service Rate</v>
      </c>
      <c r="B9" s="28" t="str">
        <f>Rates!B10</f>
        <v>$/kWh</v>
      </c>
      <c r="C9" s="31">
        <f>Rates!D10</f>
        <v>5.7000000000000002E-3</v>
      </c>
      <c r="D9" s="32">
        <f>Rates!F10</f>
        <v>6.1999999999999998E-3</v>
      </c>
    </row>
    <row r="10" spans="1:4">
      <c r="A10" s="27" t="str">
        <f>Rates!A11</f>
        <v>Retail Transmission Rate - Line and Transformation Connection Service Rate</v>
      </c>
      <c r="B10" s="28" t="str">
        <f>Rates!B11</f>
        <v>$/kWh</v>
      </c>
      <c r="C10" s="31">
        <f>Rates!D11</f>
        <v>4.7000000000000002E-3</v>
      </c>
      <c r="D10" s="32">
        <f>Rates!F11</f>
        <v>4.8999999999999998E-3</v>
      </c>
    </row>
    <row r="11" spans="1:4">
      <c r="A11" s="19" t="str">
        <f>Rates!A12</f>
        <v>Wholesale Market Service Rate</v>
      </c>
      <c r="B11" s="20" t="str">
        <f>Rates!B12</f>
        <v>$/kWh</v>
      </c>
      <c r="C11" s="21">
        <f>Rates!D12</f>
        <v>5.1999999999999998E-3</v>
      </c>
      <c r="D11" s="22">
        <f>Rates!F12</f>
        <v>5.1999999999999998E-3</v>
      </c>
    </row>
    <row r="12" spans="1:4">
      <c r="A12" s="27" t="str">
        <f>Rates!A13</f>
        <v>Rural Rate Protection Charge</v>
      </c>
      <c r="B12" s="28" t="str">
        <f>Rates!B13</f>
        <v>$/kWh</v>
      </c>
      <c r="C12" s="31">
        <f>Rates!D13</f>
        <v>1.2999999999999999E-3</v>
      </c>
      <c r="D12" s="32">
        <f>Rates!F13</f>
        <v>1.2999999999999999E-3</v>
      </c>
    </row>
    <row r="13" spans="1:4">
      <c r="A13" s="106" t="str">
        <f>Rates!A14</f>
        <v>Special Purpose Charge</v>
      </c>
      <c r="B13" s="28" t="str">
        <f>Rates!B14</f>
        <v>$/kWh</v>
      </c>
      <c r="C13" s="31">
        <f>Rates!D14</f>
        <v>0</v>
      </c>
      <c r="D13" s="32">
        <f>Rates!F14</f>
        <v>0</v>
      </c>
    </row>
    <row r="14" spans="1:4" ht="12.75" thickBot="1">
      <c r="A14" s="12" t="str">
        <f>Rates!A15</f>
        <v>Standard Supply Service - Administarive Charge (if applicable)</v>
      </c>
      <c r="B14" s="17" t="str">
        <f>Rates!B15</f>
        <v>$</v>
      </c>
      <c r="C14" s="18">
        <f>Rates!D15</f>
        <v>0.25</v>
      </c>
      <c r="D14" s="13">
        <f>Rates!F15</f>
        <v>0.25</v>
      </c>
    </row>
    <row r="16" spans="1:4" ht="12.75" thickBot="1"/>
    <row r="17" spans="1:10" ht="13.5" thickBot="1">
      <c r="A17" s="33" t="s">
        <v>26</v>
      </c>
      <c r="B17" s="34">
        <v>800</v>
      </c>
      <c r="C17" s="35" t="s">
        <v>27</v>
      </c>
      <c r="D17" s="36"/>
      <c r="E17" s="35" t="s">
        <v>28</v>
      </c>
      <c r="G17" s="102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38" t="str">
        <f>IF(D17&gt;0,B17/(D17*24*30.4)," ")</f>
        <v xml:space="preserve"> </v>
      </c>
    </row>
    <row r="19" spans="1:10" ht="12.75" thickBot="1"/>
    <row r="20" spans="1:10" ht="12.75" customHeight="1">
      <c r="A20" s="133" t="str">
        <f>A3</f>
        <v>Residential - R1</v>
      </c>
      <c r="B20" s="135" t="s">
        <v>31</v>
      </c>
      <c r="C20" s="49" t="s">
        <v>37</v>
      </c>
      <c r="D20" s="49" t="s">
        <v>38</v>
      </c>
      <c r="E20" s="135" t="s">
        <v>31</v>
      </c>
      <c r="F20" s="49" t="s">
        <v>37</v>
      </c>
      <c r="G20" s="49" t="s">
        <v>38</v>
      </c>
      <c r="H20" s="137" t="s">
        <v>44</v>
      </c>
      <c r="I20" s="137"/>
      <c r="J20" s="138"/>
    </row>
    <row r="21" spans="1:10" ht="12.75" thickBot="1">
      <c r="A21" s="134"/>
      <c r="B21" s="136"/>
      <c r="C21" s="50" t="s">
        <v>15</v>
      </c>
      <c r="D21" s="50" t="s">
        <v>15</v>
      </c>
      <c r="E21" s="136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6.8000000000000005E-2</v>
      </c>
      <c r="D22" s="57">
        <f>B22*C22</f>
        <v>51.000000000000007</v>
      </c>
      <c r="E22" s="55">
        <f>IF(B17*H17&gt;B18,B18,B17*H17)</f>
        <v>750</v>
      </c>
      <c r="F22" s="56">
        <f>Rates!F61</f>
        <v>6.8000000000000005E-2</v>
      </c>
      <c r="G22" s="57">
        <f>E22*F22</f>
        <v>51.000000000000007</v>
      </c>
      <c r="H22" s="58">
        <f>G22-D22</f>
        <v>0</v>
      </c>
      <c r="I22" s="59">
        <f>IF(ISERROR(H22/D22),1,H22/D22)</f>
        <v>0</v>
      </c>
      <c r="J22" s="60">
        <f t="shared" ref="J22:J43" si="0">IF(ISERROR(G22/G$43),0,G22/G$43)</f>
        <v>0.35502093342090452</v>
      </c>
    </row>
    <row r="23" spans="1:10" ht="12.75" thickBot="1">
      <c r="A23" s="63" t="s">
        <v>36</v>
      </c>
      <c r="B23" s="64">
        <f>IF(B17*Rates!D66&gt;=B18,B17*Rates!D66-B18,0)</f>
        <v>119.12</v>
      </c>
      <c r="C23" s="65">
        <f>Rates!D62</f>
        <v>7.9000000000000001E-2</v>
      </c>
      <c r="D23" s="66">
        <f>B23*C23</f>
        <v>9.4104799999999997</v>
      </c>
      <c r="E23" s="64">
        <f>IF(B17*H17&gt;=B18,B17*H17-B18,0)</f>
        <v>119.12</v>
      </c>
      <c r="F23" s="65">
        <f>Rates!F62</f>
        <v>7.9000000000000001E-2</v>
      </c>
      <c r="G23" s="66">
        <f>E23*F23</f>
        <v>9.4104799999999997</v>
      </c>
      <c r="H23" s="66">
        <f t="shared" ref="H23:H43" si="1">G23-D23</f>
        <v>0</v>
      </c>
      <c r="I23" s="67">
        <f t="shared" ref="I23:I43" si="2">IF(ISERROR(H23/D23),0,H23/D23)</f>
        <v>0</v>
      </c>
      <c r="J23" s="68">
        <f t="shared" si="0"/>
        <v>6.5508184187034371E-2</v>
      </c>
    </row>
    <row r="24" spans="1:10" ht="12.75" thickBot="1">
      <c r="A24" s="73" t="s">
        <v>39</v>
      </c>
      <c r="B24" s="74"/>
      <c r="C24" s="75"/>
      <c r="D24" s="76">
        <f>SUM(D22:D23)</f>
        <v>60.410480000000007</v>
      </c>
      <c r="E24" s="75"/>
      <c r="F24" s="75"/>
      <c r="G24" s="76">
        <f>SUM(G22:G23)</f>
        <v>60.410480000000007</v>
      </c>
      <c r="H24" s="76">
        <f t="shared" si="1"/>
        <v>0</v>
      </c>
      <c r="I24" s="77">
        <f t="shared" si="2"/>
        <v>0</v>
      </c>
      <c r="J24" s="78">
        <f t="shared" si="0"/>
        <v>0.42052911760793893</v>
      </c>
    </row>
    <row r="25" spans="1:10">
      <c r="A25" s="69" t="str">
        <f>A4</f>
        <v>Monthly Service Charge</v>
      </c>
      <c r="B25" s="70">
        <v>1</v>
      </c>
      <c r="C25" s="46">
        <f>C4</f>
        <v>20.92</v>
      </c>
      <c r="D25" s="46">
        <f>B25*C25</f>
        <v>20.92</v>
      </c>
      <c r="E25" s="71">
        <f>B25</f>
        <v>1</v>
      </c>
      <c r="F25" s="47">
        <f>D4</f>
        <v>21.29</v>
      </c>
      <c r="G25" s="47">
        <f>E25*F25</f>
        <v>21.29</v>
      </c>
      <c r="H25" s="47">
        <f t="shared" si="1"/>
        <v>0.36999999999999744</v>
      </c>
      <c r="I25" s="48">
        <f t="shared" si="2"/>
        <v>1.7686424474187258E-2</v>
      </c>
      <c r="J25" s="72">
        <f t="shared" si="0"/>
        <v>0.14820383671629522</v>
      </c>
    </row>
    <row r="26" spans="1:10">
      <c r="A26" s="61" t="str">
        <f>A5</f>
        <v>Smart Meter Rate Adder</v>
      </c>
      <c r="B26" s="43">
        <f>B25</f>
        <v>1</v>
      </c>
      <c r="C26" s="41">
        <f>C5</f>
        <v>1</v>
      </c>
      <c r="D26" s="41">
        <f t="shared" ref="D26:D29" si="3">B26*C26</f>
        <v>1</v>
      </c>
      <c r="E26" s="43">
        <f>B26</f>
        <v>1</v>
      </c>
      <c r="F26" s="41">
        <f>D5</f>
        <v>1</v>
      </c>
      <c r="G26" s="41">
        <f t="shared" ref="G26:G29" si="4">E26*F26</f>
        <v>1</v>
      </c>
      <c r="H26" s="41">
        <f t="shared" si="1"/>
        <v>0</v>
      </c>
      <c r="I26" s="42">
        <f>IF(ISERROR(H26/D26),1,H26/D26)</f>
        <v>0</v>
      </c>
      <c r="J26" s="62">
        <f t="shared" si="0"/>
        <v>6.9611947729589117E-3</v>
      </c>
    </row>
    <row r="27" spans="1:10">
      <c r="A27" s="61" t="str">
        <f>A6</f>
        <v>Distribution Volumetric Rate</v>
      </c>
      <c r="B27" s="43">
        <f>B17</f>
        <v>800</v>
      </c>
      <c r="C27" s="40">
        <f>C6</f>
        <v>2.9399999999999999E-2</v>
      </c>
      <c r="D27" s="41">
        <f t="shared" si="3"/>
        <v>23.52</v>
      </c>
      <c r="E27" s="43">
        <f>B17</f>
        <v>800</v>
      </c>
      <c r="F27" s="40">
        <f>D6</f>
        <v>2.9899999999999999E-2</v>
      </c>
      <c r="G27" s="41">
        <f t="shared" si="4"/>
        <v>23.919999999999998</v>
      </c>
      <c r="H27" s="41">
        <f t="shared" si="1"/>
        <v>0.39999999999999858</v>
      </c>
      <c r="I27" s="42">
        <f t="shared" si="2"/>
        <v>1.7006802721088374E-2</v>
      </c>
      <c r="J27" s="62">
        <f t="shared" si="0"/>
        <v>0.16651177896917715</v>
      </c>
    </row>
    <row r="28" spans="1:10">
      <c r="A28" s="61" t="str">
        <f>A7</f>
        <v>Rate Rider for Deferral/Variance Account Disposition - effective until May 31, 2013</v>
      </c>
      <c r="B28" s="43">
        <f>B17</f>
        <v>800</v>
      </c>
      <c r="C28" s="40">
        <f>C7</f>
        <v>4.4000000000000003E-3</v>
      </c>
      <c r="D28" s="41">
        <f t="shared" si="3"/>
        <v>3.52</v>
      </c>
      <c r="E28" s="43">
        <f>B17</f>
        <v>800</v>
      </c>
      <c r="F28" s="40">
        <f>D7</f>
        <v>4.4000000000000003E-3</v>
      </c>
      <c r="G28" s="41">
        <f t="shared" si="4"/>
        <v>3.52</v>
      </c>
      <c r="H28" s="41">
        <f t="shared" si="1"/>
        <v>0</v>
      </c>
      <c r="I28" s="42">
        <f t="shared" si="2"/>
        <v>0</v>
      </c>
      <c r="J28" s="62">
        <f t="shared" si="0"/>
        <v>2.4503405600815369E-2</v>
      </c>
    </row>
    <row r="29" spans="1:10" ht="12.75" thickBot="1">
      <c r="A29" s="61" t="str">
        <f>A8</f>
        <v>Rate Rider for Tax Changes - effective until December 31, 2012</v>
      </c>
      <c r="B29" s="43">
        <f>B17</f>
        <v>800</v>
      </c>
      <c r="C29" s="40">
        <f>C8</f>
        <v>0</v>
      </c>
      <c r="D29" s="41">
        <f t="shared" si="3"/>
        <v>0</v>
      </c>
      <c r="E29" s="43">
        <f>B17</f>
        <v>800</v>
      </c>
      <c r="F29" s="40">
        <f>D8</f>
        <v>-2.0000000000000001E-4</v>
      </c>
      <c r="G29" s="41">
        <f t="shared" si="4"/>
        <v>-0.16</v>
      </c>
      <c r="H29" s="41">
        <f t="shared" si="1"/>
        <v>-0.16</v>
      </c>
      <c r="I29" s="42">
        <f t="shared" si="2"/>
        <v>0</v>
      </c>
      <c r="J29" s="62">
        <f t="shared" si="0"/>
        <v>-1.1137911636734258E-3</v>
      </c>
    </row>
    <row r="30" spans="1:10" ht="12.75" thickBot="1">
      <c r="A30" s="73" t="s">
        <v>40</v>
      </c>
      <c r="B30" s="74"/>
      <c r="C30" s="75"/>
      <c r="D30" s="80">
        <f>SUM(D25:D29)</f>
        <v>48.96</v>
      </c>
      <c r="E30" s="75"/>
      <c r="F30" s="75"/>
      <c r="G30" s="76">
        <f>SUM(G25:G29)</f>
        <v>49.57</v>
      </c>
      <c r="H30" s="76">
        <f t="shared" si="1"/>
        <v>0.60999999999999943</v>
      </c>
      <c r="I30" s="77">
        <f t="shared" si="2"/>
        <v>1.2459150326797374E-2</v>
      </c>
      <c r="J30" s="78">
        <f t="shared" si="0"/>
        <v>0.34506642489557326</v>
      </c>
    </row>
    <row r="31" spans="1:10">
      <c r="A31" s="69" t="str">
        <f>A9</f>
        <v>Retail Transmission Rate - Network Service Rate</v>
      </c>
      <c r="B31" s="44">
        <f>B17*Rates!D66</f>
        <v>869.12</v>
      </c>
      <c r="C31" s="45">
        <f>C9</f>
        <v>5.7000000000000002E-3</v>
      </c>
      <c r="D31" s="47">
        <f>B31*C31</f>
        <v>4.9539840000000002</v>
      </c>
      <c r="E31" s="44">
        <f>B17*H17</f>
        <v>869.12</v>
      </c>
      <c r="F31" s="45">
        <f>D9</f>
        <v>6.1999999999999998E-3</v>
      </c>
      <c r="G31" s="47">
        <f>E31*F31</f>
        <v>5.3885439999999996</v>
      </c>
      <c r="H31" s="47">
        <f t="shared" si="1"/>
        <v>0.43455999999999939</v>
      </c>
      <c r="I31" s="48">
        <f t="shared" si="2"/>
        <v>8.7719298245613905E-2</v>
      </c>
      <c r="J31" s="72">
        <f t="shared" si="0"/>
        <v>3.7510704326659101E-2</v>
      </c>
    </row>
    <row r="32" spans="1:10" ht="12.75" thickBot="1">
      <c r="A32" s="63" t="str">
        <f>A10</f>
        <v>Retail Transmission Rate - Line and Transformation Connection Service Rate</v>
      </c>
      <c r="B32" s="64">
        <f>B17*Rates!D66</f>
        <v>869.12</v>
      </c>
      <c r="C32" s="65">
        <f>C10</f>
        <v>4.7000000000000002E-3</v>
      </c>
      <c r="D32" s="66">
        <f>B32*C32</f>
        <v>4.0848640000000005</v>
      </c>
      <c r="E32" s="64">
        <f>B17*H17</f>
        <v>869.12</v>
      </c>
      <c r="F32" s="65">
        <f>D10</f>
        <v>4.8999999999999998E-3</v>
      </c>
      <c r="G32" s="66">
        <f>E32*F32</f>
        <v>4.2586880000000003</v>
      </c>
      <c r="H32" s="66">
        <f t="shared" si="1"/>
        <v>0.17382399999999976</v>
      </c>
      <c r="I32" s="67">
        <f t="shared" si="2"/>
        <v>4.2553191489361639E-2</v>
      </c>
      <c r="J32" s="68">
        <f t="shared" si="0"/>
        <v>2.9645556645262843E-2</v>
      </c>
    </row>
    <row r="33" spans="1:10" ht="12.75" thickBot="1">
      <c r="A33" s="73" t="s">
        <v>32</v>
      </c>
      <c r="B33" s="74"/>
      <c r="C33" s="75"/>
      <c r="D33" s="76">
        <f>SUM(D31:D32)</f>
        <v>9.0388480000000015</v>
      </c>
      <c r="E33" s="75"/>
      <c r="F33" s="75"/>
      <c r="G33" s="76">
        <f>SUM(G31:G32)</f>
        <v>9.6472319999999989</v>
      </c>
      <c r="H33" s="76">
        <f t="shared" si="1"/>
        <v>0.60838399999999737</v>
      </c>
      <c r="I33" s="77">
        <f t="shared" si="2"/>
        <v>6.7307692307691999E-2</v>
      </c>
      <c r="J33" s="78">
        <f t="shared" si="0"/>
        <v>6.7156260971921941E-2</v>
      </c>
    </row>
    <row r="34" spans="1:10" ht="12.75" thickBot="1">
      <c r="A34" s="81" t="s">
        <v>41</v>
      </c>
      <c r="B34" s="82"/>
      <c r="C34" s="83"/>
      <c r="D34" s="84">
        <f>D30+D33</f>
        <v>57.998848000000002</v>
      </c>
      <c r="E34" s="83"/>
      <c r="F34" s="83"/>
      <c r="G34" s="84">
        <f>G30+G33</f>
        <v>59.217231999999996</v>
      </c>
      <c r="H34" s="84">
        <f t="shared" si="1"/>
        <v>1.2183839999999933</v>
      </c>
      <c r="I34" s="85">
        <f t="shared" si="2"/>
        <v>2.1007037932891239E-2</v>
      </c>
      <c r="J34" s="86">
        <f t="shared" si="0"/>
        <v>0.41222268586749516</v>
      </c>
    </row>
    <row r="35" spans="1:10">
      <c r="A35" s="69" t="str">
        <f>A11</f>
        <v>Wholesale Market Service Rate</v>
      </c>
      <c r="B35" s="44">
        <f>B17*Rates!D66</f>
        <v>869.12</v>
      </c>
      <c r="C35" s="45">
        <f>C11</f>
        <v>5.1999999999999998E-3</v>
      </c>
      <c r="D35" s="47">
        <f>B35*C35</f>
        <v>4.5194239999999999</v>
      </c>
      <c r="E35" s="44">
        <f>B17*H17</f>
        <v>869.12</v>
      </c>
      <c r="F35" s="45">
        <f>D11</f>
        <v>5.1999999999999998E-3</v>
      </c>
      <c r="G35" s="47">
        <f>E35*F35</f>
        <v>4.5194239999999999</v>
      </c>
      <c r="H35" s="47">
        <f t="shared" si="1"/>
        <v>0</v>
      </c>
      <c r="I35" s="48">
        <f t="shared" si="2"/>
        <v>0</v>
      </c>
      <c r="J35" s="72">
        <f t="shared" si="0"/>
        <v>3.1460590725585054E-2</v>
      </c>
    </row>
    <row r="36" spans="1:10">
      <c r="A36" s="61" t="str">
        <f>A12</f>
        <v>Rural Rate Protection Charge</v>
      </c>
      <c r="B36" s="39">
        <f>B17*Rates!D66</f>
        <v>869.12</v>
      </c>
      <c r="C36" s="40">
        <f>C12</f>
        <v>1.2999999999999999E-3</v>
      </c>
      <c r="D36" s="41">
        <f>B36*C36</f>
        <v>1.129856</v>
      </c>
      <c r="E36" s="39">
        <f>B17*H17</f>
        <v>869.12</v>
      </c>
      <c r="F36" s="40">
        <f>D12</f>
        <v>1.2999999999999999E-3</v>
      </c>
      <c r="G36" s="41">
        <f>E36*F36</f>
        <v>1.129856</v>
      </c>
      <c r="H36" s="41">
        <f t="shared" si="1"/>
        <v>0</v>
      </c>
      <c r="I36" s="42">
        <f t="shared" si="2"/>
        <v>0</v>
      </c>
      <c r="J36" s="62">
        <f t="shared" si="0"/>
        <v>7.8651476813962635E-3</v>
      </c>
    </row>
    <row r="37" spans="1:10">
      <c r="A37" s="63" t="s">
        <v>45</v>
      </c>
      <c r="B37" s="64">
        <f>B17*Rates!D66</f>
        <v>869.12</v>
      </c>
      <c r="C37" s="65">
        <f>Rates!D14</f>
        <v>0</v>
      </c>
      <c r="D37" s="66">
        <f>B37*C37</f>
        <v>0</v>
      </c>
      <c r="E37" s="64">
        <f>B17*Rates!F66</f>
        <v>869.12</v>
      </c>
      <c r="F37" s="65">
        <f>Rates!F14</f>
        <v>0</v>
      </c>
      <c r="G37" s="66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0"/>
        <v>0</v>
      </c>
    </row>
    <row r="38" spans="1:10" ht="12.75" thickBot="1">
      <c r="A38" s="63" t="str">
        <f>A14</f>
        <v>Standard Supply Service - Administarive Charge (if applicable)</v>
      </c>
      <c r="B38" s="79">
        <f>B25</f>
        <v>1</v>
      </c>
      <c r="C38" s="66">
        <f>C14</f>
        <v>0.25</v>
      </c>
      <c r="D38" s="66">
        <f>B38*C38</f>
        <v>0.25</v>
      </c>
      <c r="E38" s="64">
        <f>B25</f>
        <v>1</v>
      </c>
      <c r="F38" s="66">
        <f>D14</f>
        <v>0.25</v>
      </c>
      <c r="G38" s="66">
        <f>E38*F38</f>
        <v>0.25</v>
      </c>
      <c r="H38" s="66">
        <f t="shared" si="1"/>
        <v>0</v>
      </c>
      <c r="I38" s="67">
        <f t="shared" si="2"/>
        <v>0</v>
      </c>
      <c r="J38" s="68">
        <f t="shared" si="0"/>
        <v>1.7402986932397279E-3</v>
      </c>
    </row>
    <row r="39" spans="1:10" ht="12.75" thickBot="1">
      <c r="A39" s="73" t="s">
        <v>42</v>
      </c>
      <c r="B39" s="74"/>
      <c r="C39" s="75"/>
      <c r="D39" s="76">
        <f>SUM(D35:D38)</f>
        <v>5.8992800000000001</v>
      </c>
      <c r="E39" s="75"/>
      <c r="F39" s="75"/>
      <c r="G39" s="76">
        <f>SUM(G35:G38)</f>
        <v>5.8992800000000001</v>
      </c>
      <c r="H39" s="76">
        <f t="shared" si="1"/>
        <v>0</v>
      </c>
      <c r="I39" s="77">
        <f t="shared" si="2"/>
        <v>0</v>
      </c>
      <c r="J39" s="78">
        <f t="shared" si="0"/>
        <v>4.1066037100221046E-2</v>
      </c>
    </row>
    <row r="40" spans="1:10" ht="12.75" thickBot="1">
      <c r="A40" s="87" t="s">
        <v>19</v>
      </c>
      <c r="B40" s="88">
        <f>B17</f>
        <v>800</v>
      </c>
      <c r="C40" s="89">
        <f>Rates!D60</f>
        <v>2E-3</v>
      </c>
      <c r="D40" s="90">
        <f>B40*C40</f>
        <v>1.6</v>
      </c>
      <c r="E40" s="88">
        <f>B17</f>
        <v>800</v>
      </c>
      <c r="F40" s="89">
        <f>Rates!F60</f>
        <v>2E-3</v>
      </c>
      <c r="G40" s="90">
        <f>E40*F40</f>
        <v>1.6</v>
      </c>
      <c r="H40" s="90">
        <f t="shared" si="1"/>
        <v>0</v>
      </c>
      <c r="I40" s="91">
        <f t="shared" si="2"/>
        <v>0</v>
      </c>
      <c r="J40" s="92">
        <f t="shared" si="0"/>
        <v>1.1137911636734259E-2</v>
      </c>
    </row>
    <row r="41" spans="1:10" ht="12.75" thickBot="1">
      <c r="A41" s="73" t="s">
        <v>43</v>
      </c>
      <c r="B41" s="74"/>
      <c r="C41" s="75"/>
      <c r="D41" s="76">
        <f>D24+D34+D39+D40</f>
        <v>125.90860800000002</v>
      </c>
      <c r="E41" s="75"/>
      <c r="F41" s="75"/>
      <c r="G41" s="76">
        <f>G24+G34+G39+G40</f>
        <v>127.126992</v>
      </c>
      <c r="H41" s="76">
        <f t="shared" si="1"/>
        <v>1.2183839999999861</v>
      </c>
      <c r="I41" s="77">
        <f t="shared" si="2"/>
        <v>9.6767331428204342E-3</v>
      </c>
      <c r="J41" s="78">
        <f t="shared" si="0"/>
        <v>0.88495575221238942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16.368119040000003</v>
      </c>
      <c r="E42" s="96"/>
      <c r="F42" s="95">
        <f>Rates!F67</f>
        <v>0.13</v>
      </c>
      <c r="G42" s="90">
        <f>F42*G41</f>
        <v>16.526508960000001</v>
      </c>
      <c r="H42" s="90">
        <f t="shared" si="1"/>
        <v>0.15838991999999763</v>
      </c>
      <c r="I42" s="91">
        <f t="shared" si="2"/>
        <v>9.6767331428203977E-3</v>
      </c>
      <c r="J42" s="92">
        <f t="shared" si="0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142.27672704000003</v>
      </c>
      <c r="E43" s="83"/>
      <c r="F43" s="83"/>
      <c r="G43" s="104">
        <f>G41+G42</f>
        <v>143.65350096</v>
      </c>
      <c r="H43" s="104">
        <f t="shared" si="1"/>
        <v>1.3767739199999767</v>
      </c>
      <c r="I43" s="85">
        <f t="shared" si="2"/>
        <v>9.6767331428203786E-3</v>
      </c>
      <c r="J43" s="86">
        <f t="shared" si="0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3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zoomScaleNormal="100" workbookViewId="0">
      <selection activeCell="B27" sqref="B27:I27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20.92</v>
      </c>
      <c r="D4" s="26">
        <f>Rates!F5</f>
        <v>21.29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2.9399999999999999E-2</v>
      </c>
      <c r="D6" s="32">
        <f>Rates!F7</f>
        <v>2.9899999999999999E-2</v>
      </c>
    </row>
    <row r="7" spans="1:4">
      <c r="A7" s="27" t="str">
        <f>Rates!A8</f>
        <v>Rate Rider for Deferral/Variance Account Disposition - effective until May 31, 2013</v>
      </c>
      <c r="B7" s="28"/>
      <c r="C7" s="31">
        <f>Rates!D8</f>
        <v>4.4000000000000003E-3</v>
      </c>
      <c r="D7" s="32">
        <f>Rates!F8</f>
        <v>4.4000000000000003E-3</v>
      </c>
    </row>
    <row r="8" spans="1:4">
      <c r="A8" s="27" t="str">
        <f>Rates!A9</f>
        <v>Rate Rider for Tax Changes - effective until December 31, 2012</v>
      </c>
      <c r="B8" s="28" t="str">
        <f>Rates!B9</f>
        <v>$/kWh</v>
      </c>
      <c r="C8" s="31">
        <f>Rates!D9</f>
        <v>0</v>
      </c>
      <c r="D8" s="32">
        <f>Rates!F9</f>
        <v>-2.0000000000000001E-4</v>
      </c>
    </row>
    <row r="9" spans="1:4">
      <c r="A9" s="27" t="str">
        <f>Rates!A10</f>
        <v>Retail Transmission Rate - Network Service Rate</v>
      </c>
      <c r="B9" s="28" t="str">
        <f>Rates!B10</f>
        <v>$/kWh</v>
      </c>
      <c r="C9" s="31">
        <f>Rates!D10</f>
        <v>5.7000000000000002E-3</v>
      </c>
      <c r="D9" s="32">
        <f>Rates!F10</f>
        <v>6.1999999999999998E-3</v>
      </c>
    </row>
    <row r="10" spans="1:4">
      <c r="A10" s="27" t="str">
        <f>Rates!A11</f>
        <v>Retail Transmission Rate - Line and Transformation Connection Service Rate</v>
      </c>
      <c r="B10" s="28" t="str">
        <f>Rates!B11</f>
        <v>$/kWh</v>
      </c>
      <c r="C10" s="31">
        <f>Rates!D11</f>
        <v>4.7000000000000002E-3</v>
      </c>
      <c r="D10" s="32">
        <f>Rates!F11</f>
        <v>4.8999999999999998E-3</v>
      </c>
    </row>
    <row r="11" spans="1:4">
      <c r="A11" s="19" t="str">
        <f>Rates!A12</f>
        <v>Wholesale Market Service Rate</v>
      </c>
      <c r="B11" s="20" t="str">
        <f>Rates!B12</f>
        <v>$/kWh</v>
      </c>
      <c r="C11" s="21">
        <f>Rates!D12</f>
        <v>5.1999999999999998E-3</v>
      </c>
      <c r="D11" s="22">
        <f>Rates!F12</f>
        <v>5.1999999999999998E-3</v>
      </c>
    </row>
    <row r="12" spans="1:4">
      <c r="A12" s="27" t="str">
        <f>Rates!A13</f>
        <v>Rural Rate Protection Charge</v>
      </c>
      <c r="B12" s="28" t="str">
        <f>Rates!B13</f>
        <v>$/kWh</v>
      </c>
      <c r="C12" s="31">
        <f>Rates!D13</f>
        <v>1.2999999999999999E-3</v>
      </c>
      <c r="D12" s="32">
        <f>Rates!F13</f>
        <v>1.2999999999999999E-3</v>
      </c>
    </row>
    <row r="13" spans="1:4">
      <c r="A13" s="106" t="str">
        <f>Rates!A14</f>
        <v>Special Purpose Charge</v>
      </c>
      <c r="B13" s="28" t="str">
        <f>Rates!B14</f>
        <v>$/kWh</v>
      </c>
      <c r="C13" s="31">
        <f>Rates!D14</f>
        <v>0</v>
      </c>
      <c r="D13" s="32">
        <f>Rates!F14</f>
        <v>0</v>
      </c>
    </row>
    <row r="14" spans="1:4" ht="12.75" thickBot="1">
      <c r="A14" s="12" t="str">
        <f>Rates!A15</f>
        <v>Standard Supply Service - Administarive Charge (if applicable)</v>
      </c>
      <c r="B14" s="17" t="str">
        <f>Rates!B15</f>
        <v>$</v>
      </c>
      <c r="C14" s="18">
        <f>Rates!D15</f>
        <v>0.25</v>
      </c>
      <c r="D14" s="13">
        <f>Rates!F15</f>
        <v>0.25</v>
      </c>
    </row>
    <row r="16" spans="1:4" ht="12.75" thickBot="1"/>
    <row r="17" spans="1:10" ht="13.5" thickBot="1">
      <c r="A17" s="33" t="s">
        <v>26</v>
      </c>
      <c r="B17" s="34">
        <v>2000</v>
      </c>
      <c r="C17" s="35" t="s">
        <v>27</v>
      </c>
      <c r="D17" s="36"/>
      <c r="E17" s="35" t="s">
        <v>28</v>
      </c>
      <c r="G17" s="102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38" t="str">
        <f>IF(D17&gt;0,B17/(D17*24*30.4)," ")</f>
        <v xml:space="preserve"> </v>
      </c>
    </row>
    <row r="19" spans="1:10" ht="12.75" thickBot="1"/>
    <row r="20" spans="1:10" ht="12.75" customHeight="1">
      <c r="A20" s="133" t="str">
        <f>A3</f>
        <v>Residential - R1</v>
      </c>
      <c r="B20" s="135" t="s">
        <v>31</v>
      </c>
      <c r="C20" s="130" t="s">
        <v>37</v>
      </c>
      <c r="D20" s="130" t="s">
        <v>38</v>
      </c>
      <c r="E20" s="135" t="s">
        <v>31</v>
      </c>
      <c r="F20" s="130" t="s">
        <v>37</v>
      </c>
      <c r="G20" s="130" t="s">
        <v>38</v>
      </c>
      <c r="H20" s="137" t="s">
        <v>44</v>
      </c>
      <c r="I20" s="137"/>
      <c r="J20" s="138"/>
    </row>
    <row r="21" spans="1:10" ht="12.75" thickBot="1">
      <c r="A21" s="134"/>
      <c r="B21" s="136"/>
      <c r="C21" s="50" t="s">
        <v>15</v>
      </c>
      <c r="D21" s="50" t="s">
        <v>15</v>
      </c>
      <c r="E21" s="136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6.8000000000000005E-2</v>
      </c>
      <c r="D22" s="57">
        <f>B22*C22</f>
        <v>51.000000000000007</v>
      </c>
      <c r="E22" s="55">
        <f>IF(B17*H17&gt;B18,B18,B17*H17)</f>
        <v>750</v>
      </c>
      <c r="F22" s="56">
        <f>Rates!F61</f>
        <v>6.8000000000000005E-2</v>
      </c>
      <c r="G22" s="57">
        <f>E22*F22</f>
        <v>51.000000000000007</v>
      </c>
      <c r="H22" s="58">
        <f>G22-D22</f>
        <v>0</v>
      </c>
      <c r="I22" s="59">
        <f>IF(ISERROR(H22/D22),1,H22/D22)</f>
        <v>0</v>
      </c>
      <c r="J22" s="60">
        <f t="shared" ref="J22:J43" si="0">IF(ISERROR(G22/G$43),0,G22/G$43)</f>
        <v>0.15227871553956857</v>
      </c>
    </row>
    <row r="23" spans="1:10" ht="12.75" thickBot="1">
      <c r="A23" s="63" t="s">
        <v>36</v>
      </c>
      <c r="B23" s="64">
        <f>IF(B17*Rates!D66&gt;=B18,B17*Rates!D66-B18,0)</f>
        <v>1422.8000000000002</v>
      </c>
      <c r="C23" s="65">
        <f>Rates!D62</f>
        <v>7.9000000000000001E-2</v>
      </c>
      <c r="D23" s="66">
        <f>B23*C23</f>
        <v>112.40120000000002</v>
      </c>
      <c r="E23" s="64">
        <f>IF(B17*H17&gt;=B18,B17*H17-B18,0)</f>
        <v>1422.8000000000002</v>
      </c>
      <c r="F23" s="65">
        <f>Rates!F62</f>
        <v>7.9000000000000001E-2</v>
      </c>
      <c r="G23" s="66">
        <f>E23*F23</f>
        <v>112.40120000000002</v>
      </c>
      <c r="H23" s="66">
        <f t="shared" ref="H23:H43" si="1">G23-D23</f>
        <v>0</v>
      </c>
      <c r="I23" s="67">
        <f t="shared" ref="I23:I43" si="2">IF(ISERROR(H23/D23),0,H23/D23)</f>
        <v>0</v>
      </c>
      <c r="J23" s="68">
        <f t="shared" si="0"/>
        <v>0.3356139286491403</v>
      </c>
    </row>
    <row r="24" spans="1:10" ht="12.75" thickBot="1">
      <c r="A24" s="73" t="s">
        <v>39</v>
      </c>
      <c r="B24" s="74"/>
      <c r="C24" s="75"/>
      <c r="D24" s="76">
        <f>SUM(D22:D23)</f>
        <v>163.40120000000002</v>
      </c>
      <c r="E24" s="75"/>
      <c r="F24" s="75"/>
      <c r="G24" s="76">
        <f>SUM(G22:G23)</f>
        <v>163.40120000000002</v>
      </c>
      <c r="H24" s="76">
        <f t="shared" si="1"/>
        <v>0</v>
      </c>
      <c r="I24" s="77">
        <f t="shared" si="2"/>
        <v>0</v>
      </c>
      <c r="J24" s="78">
        <f t="shared" si="0"/>
        <v>0.48789264418870881</v>
      </c>
    </row>
    <row r="25" spans="1:10">
      <c r="A25" s="69" t="str">
        <f>A4</f>
        <v>Monthly Service Charge</v>
      </c>
      <c r="B25" s="70">
        <v>1</v>
      </c>
      <c r="C25" s="46">
        <f>C4</f>
        <v>20.92</v>
      </c>
      <c r="D25" s="46">
        <f>B25*C25</f>
        <v>20.92</v>
      </c>
      <c r="E25" s="71">
        <f>B25</f>
        <v>1</v>
      </c>
      <c r="F25" s="47">
        <f>D4</f>
        <v>21.29</v>
      </c>
      <c r="G25" s="47">
        <f>E25*F25</f>
        <v>21.29</v>
      </c>
      <c r="H25" s="47">
        <f t="shared" si="1"/>
        <v>0.36999999999999744</v>
      </c>
      <c r="I25" s="48">
        <f t="shared" si="2"/>
        <v>1.7686424474187258E-2</v>
      </c>
      <c r="J25" s="72">
        <f t="shared" si="0"/>
        <v>6.3568899094851264E-2</v>
      </c>
    </row>
    <row r="26" spans="1:10">
      <c r="A26" s="61" t="str">
        <f>A5</f>
        <v>Smart Meter Rate Adder</v>
      </c>
      <c r="B26" s="43">
        <f>B25</f>
        <v>1</v>
      </c>
      <c r="C26" s="41">
        <f>C5</f>
        <v>1</v>
      </c>
      <c r="D26" s="41">
        <f t="shared" ref="D26:D29" si="3">B26*C26</f>
        <v>1</v>
      </c>
      <c r="E26" s="43">
        <f>B26</f>
        <v>1</v>
      </c>
      <c r="F26" s="41">
        <f>D5</f>
        <v>1</v>
      </c>
      <c r="G26" s="41">
        <f t="shared" ref="G26:G29" si="4">E26*F26</f>
        <v>1</v>
      </c>
      <c r="H26" s="41">
        <f t="shared" si="1"/>
        <v>0</v>
      </c>
      <c r="I26" s="42">
        <f>IF(ISERROR(H26/D26),1,H26/D26)</f>
        <v>0</v>
      </c>
      <c r="J26" s="62">
        <f t="shared" si="0"/>
        <v>2.9858571674425205E-3</v>
      </c>
    </row>
    <row r="27" spans="1:10">
      <c r="A27" s="61" t="str">
        <f>A6</f>
        <v>Distribution Volumetric Rate</v>
      </c>
      <c r="B27" s="43">
        <f>B17</f>
        <v>2000</v>
      </c>
      <c r="C27" s="40">
        <f>C6</f>
        <v>2.9399999999999999E-2</v>
      </c>
      <c r="D27" s="41">
        <f t="shared" si="3"/>
        <v>58.8</v>
      </c>
      <c r="E27" s="43">
        <f>B17</f>
        <v>2000</v>
      </c>
      <c r="F27" s="40">
        <f>D6</f>
        <v>2.9899999999999999E-2</v>
      </c>
      <c r="G27" s="41">
        <f t="shared" si="4"/>
        <v>59.8</v>
      </c>
      <c r="H27" s="41">
        <f t="shared" si="1"/>
        <v>1</v>
      </c>
      <c r="I27" s="42">
        <f t="shared" si="2"/>
        <v>1.7006802721088437E-2</v>
      </c>
      <c r="J27" s="62">
        <f t="shared" si="0"/>
        <v>0.17855425861306273</v>
      </c>
    </row>
    <row r="28" spans="1:10">
      <c r="A28" s="61" t="str">
        <f>A7</f>
        <v>Rate Rider for Deferral/Variance Account Disposition - effective until May 31, 2013</v>
      </c>
      <c r="B28" s="43">
        <f>B17</f>
        <v>2000</v>
      </c>
      <c r="C28" s="40">
        <f>C7</f>
        <v>4.4000000000000003E-3</v>
      </c>
      <c r="D28" s="41">
        <f t="shared" si="3"/>
        <v>8.8000000000000007</v>
      </c>
      <c r="E28" s="43">
        <f>B17</f>
        <v>2000</v>
      </c>
      <c r="F28" s="40">
        <f>D7</f>
        <v>4.4000000000000003E-3</v>
      </c>
      <c r="G28" s="41">
        <f t="shared" si="4"/>
        <v>8.8000000000000007</v>
      </c>
      <c r="H28" s="41">
        <f t="shared" si="1"/>
        <v>0</v>
      </c>
      <c r="I28" s="42">
        <f t="shared" si="2"/>
        <v>0</v>
      </c>
      <c r="J28" s="62">
        <f t="shared" si="0"/>
        <v>2.6275543073494181E-2</v>
      </c>
    </row>
    <row r="29" spans="1:10" ht="12.75" thickBot="1">
      <c r="A29" s="61" t="str">
        <f>A8</f>
        <v>Rate Rider for Tax Changes - effective until December 31, 2012</v>
      </c>
      <c r="B29" s="43">
        <f>B17</f>
        <v>2000</v>
      </c>
      <c r="C29" s="40">
        <f>C8</f>
        <v>0</v>
      </c>
      <c r="D29" s="41">
        <f t="shared" si="3"/>
        <v>0</v>
      </c>
      <c r="E29" s="43">
        <f>B17</f>
        <v>2000</v>
      </c>
      <c r="F29" s="40">
        <f>D8</f>
        <v>-2.0000000000000001E-4</v>
      </c>
      <c r="G29" s="41">
        <f t="shared" si="4"/>
        <v>-0.4</v>
      </c>
      <c r="H29" s="41">
        <f t="shared" si="1"/>
        <v>-0.4</v>
      </c>
      <c r="I29" s="42">
        <f t="shared" si="2"/>
        <v>0</v>
      </c>
      <c r="J29" s="62">
        <f t="shared" si="0"/>
        <v>-1.1943428669770083E-3</v>
      </c>
    </row>
    <row r="30" spans="1:10" ht="12.75" thickBot="1">
      <c r="A30" s="73" t="s">
        <v>40</v>
      </c>
      <c r="B30" s="74"/>
      <c r="C30" s="75"/>
      <c r="D30" s="80">
        <f>SUM(D25:D29)</f>
        <v>89.52</v>
      </c>
      <c r="E30" s="75"/>
      <c r="F30" s="75"/>
      <c r="G30" s="76">
        <f>SUM(G25:G29)</f>
        <v>90.49</v>
      </c>
      <c r="H30" s="76">
        <f t="shared" si="1"/>
        <v>0.96999999999999886</v>
      </c>
      <c r="I30" s="77">
        <f t="shared" si="2"/>
        <v>1.0835567470956198E-2</v>
      </c>
      <c r="J30" s="78">
        <f t="shared" si="0"/>
        <v>0.27019021508187369</v>
      </c>
    </row>
    <row r="31" spans="1:10">
      <c r="A31" s="69" t="str">
        <f>A9</f>
        <v>Retail Transmission Rate - Network Service Rate</v>
      </c>
      <c r="B31" s="44">
        <f>B17*Rates!D66</f>
        <v>2172.8000000000002</v>
      </c>
      <c r="C31" s="45">
        <f>C9</f>
        <v>5.7000000000000002E-3</v>
      </c>
      <c r="D31" s="47">
        <f>B31*C31</f>
        <v>12.384960000000001</v>
      </c>
      <c r="E31" s="44">
        <f>B17*H17</f>
        <v>2172.8000000000002</v>
      </c>
      <c r="F31" s="45">
        <f>D9</f>
        <v>6.1999999999999998E-3</v>
      </c>
      <c r="G31" s="47">
        <f>E31*F31</f>
        <v>13.471360000000001</v>
      </c>
      <c r="H31" s="47">
        <f t="shared" si="1"/>
        <v>1.0863999999999994</v>
      </c>
      <c r="I31" s="48">
        <f t="shared" si="2"/>
        <v>8.7719298245613975E-2</v>
      </c>
      <c r="J31" s="72">
        <f t="shared" si="0"/>
        <v>4.0223556811198477E-2</v>
      </c>
    </row>
    <row r="32" spans="1:10" ht="12.75" thickBot="1">
      <c r="A32" s="63" t="str">
        <f>A10</f>
        <v>Retail Transmission Rate - Line and Transformation Connection Service Rate</v>
      </c>
      <c r="B32" s="64">
        <f>B17*Rates!D66</f>
        <v>2172.8000000000002</v>
      </c>
      <c r="C32" s="65">
        <f>C10</f>
        <v>4.7000000000000002E-3</v>
      </c>
      <c r="D32" s="66">
        <f>B32*C32</f>
        <v>10.212160000000001</v>
      </c>
      <c r="E32" s="64">
        <f>B17*H17</f>
        <v>2172.8000000000002</v>
      </c>
      <c r="F32" s="65">
        <f>D10</f>
        <v>4.8999999999999998E-3</v>
      </c>
      <c r="G32" s="66">
        <f>E32*F32</f>
        <v>10.64672</v>
      </c>
      <c r="H32" s="66">
        <f t="shared" si="1"/>
        <v>0.43455999999999939</v>
      </c>
      <c r="I32" s="67">
        <f t="shared" si="2"/>
        <v>4.2553191489361639E-2</v>
      </c>
      <c r="J32" s="68">
        <f t="shared" si="0"/>
        <v>3.1789585221753631E-2</v>
      </c>
    </row>
    <row r="33" spans="1:10" ht="12.75" thickBot="1">
      <c r="A33" s="73" t="s">
        <v>32</v>
      </c>
      <c r="B33" s="74"/>
      <c r="C33" s="75"/>
      <c r="D33" s="76">
        <f>SUM(D31:D32)</f>
        <v>22.597120000000004</v>
      </c>
      <c r="E33" s="75"/>
      <c r="F33" s="75"/>
      <c r="G33" s="76">
        <f>SUM(G31:G32)</f>
        <v>24.118079999999999</v>
      </c>
      <c r="H33" s="76">
        <f t="shared" si="1"/>
        <v>1.5209599999999952</v>
      </c>
      <c r="I33" s="77">
        <f t="shared" si="2"/>
        <v>6.7307692307692082E-2</v>
      </c>
      <c r="J33" s="78">
        <f t="shared" si="0"/>
        <v>7.2013142032952102E-2</v>
      </c>
    </row>
    <row r="34" spans="1:10" ht="12.75" thickBot="1">
      <c r="A34" s="81" t="s">
        <v>41</v>
      </c>
      <c r="B34" s="82"/>
      <c r="C34" s="83"/>
      <c r="D34" s="84">
        <f>D30+D33</f>
        <v>112.11712</v>
      </c>
      <c r="E34" s="83"/>
      <c r="F34" s="83"/>
      <c r="G34" s="84">
        <f>G30+G33</f>
        <v>114.60808</v>
      </c>
      <c r="H34" s="84">
        <f t="shared" si="1"/>
        <v>2.4909600000000012</v>
      </c>
      <c r="I34" s="85">
        <f t="shared" si="2"/>
        <v>2.2217481148284948E-2</v>
      </c>
      <c r="J34" s="86">
        <f t="shared" si="0"/>
        <v>0.3422033571148258</v>
      </c>
    </row>
    <row r="35" spans="1:10">
      <c r="A35" s="69" t="str">
        <f>A11</f>
        <v>Wholesale Market Service Rate</v>
      </c>
      <c r="B35" s="44">
        <f>B17*Rates!D66</f>
        <v>2172.8000000000002</v>
      </c>
      <c r="C35" s="45">
        <f>C11</f>
        <v>5.1999999999999998E-3</v>
      </c>
      <c r="D35" s="47">
        <f>B35*C35</f>
        <v>11.29856</v>
      </c>
      <c r="E35" s="44">
        <f>B17*H17</f>
        <v>2172.8000000000002</v>
      </c>
      <c r="F35" s="45">
        <f>D11</f>
        <v>5.1999999999999998E-3</v>
      </c>
      <c r="G35" s="47">
        <f>E35*F35</f>
        <v>11.29856</v>
      </c>
      <c r="H35" s="47">
        <f t="shared" si="1"/>
        <v>0</v>
      </c>
      <c r="I35" s="48">
        <f t="shared" si="2"/>
        <v>0</v>
      </c>
      <c r="J35" s="72">
        <f t="shared" si="0"/>
        <v>3.3735886357779368E-2</v>
      </c>
    </row>
    <row r="36" spans="1:10">
      <c r="A36" s="61" t="str">
        <f>A12</f>
        <v>Rural Rate Protection Charge</v>
      </c>
      <c r="B36" s="39">
        <f>B17*Rates!D66</f>
        <v>2172.8000000000002</v>
      </c>
      <c r="C36" s="40">
        <f>C12</f>
        <v>1.2999999999999999E-3</v>
      </c>
      <c r="D36" s="41">
        <f>B36*C36</f>
        <v>2.82464</v>
      </c>
      <c r="E36" s="39">
        <f>B17*H17</f>
        <v>2172.8000000000002</v>
      </c>
      <c r="F36" s="40">
        <f>D12</f>
        <v>1.2999999999999999E-3</v>
      </c>
      <c r="G36" s="41">
        <f>E36*F36</f>
        <v>2.82464</v>
      </c>
      <c r="H36" s="41">
        <f t="shared" si="1"/>
        <v>0</v>
      </c>
      <c r="I36" s="42">
        <f t="shared" si="2"/>
        <v>0</v>
      </c>
      <c r="J36" s="62">
        <f t="shared" si="0"/>
        <v>8.4339715894448421E-3</v>
      </c>
    </row>
    <row r="37" spans="1:10">
      <c r="A37" s="63" t="s">
        <v>45</v>
      </c>
      <c r="B37" s="64">
        <f>B17*Rates!D66</f>
        <v>2172.8000000000002</v>
      </c>
      <c r="C37" s="65">
        <f>Rates!D14</f>
        <v>0</v>
      </c>
      <c r="D37" s="66">
        <f>B37*C37</f>
        <v>0</v>
      </c>
      <c r="E37" s="64">
        <f>B17*Rates!F66</f>
        <v>2172.8000000000002</v>
      </c>
      <c r="F37" s="65">
        <f>Rates!F14</f>
        <v>0</v>
      </c>
      <c r="G37" s="66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0"/>
        <v>0</v>
      </c>
    </row>
    <row r="38" spans="1:10" ht="12.75" thickBot="1">
      <c r="A38" s="63" t="str">
        <f>A14</f>
        <v>Standard Supply Service - Administarive Charge (if applicable)</v>
      </c>
      <c r="B38" s="79">
        <f>B25</f>
        <v>1</v>
      </c>
      <c r="C38" s="66">
        <f>C14</f>
        <v>0.25</v>
      </c>
      <c r="D38" s="66">
        <f>B38*C38</f>
        <v>0.25</v>
      </c>
      <c r="E38" s="64">
        <f>B25</f>
        <v>1</v>
      </c>
      <c r="F38" s="66">
        <f>D14</f>
        <v>0.25</v>
      </c>
      <c r="G38" s="66">
        <f>E38*F38</f>
        <v>0.25</v>
      </c>
      <c r="H38" s="66">
        <f t="shared" si="1"/>
        <v>0</v>
      </c>
      <c r="I38" s="67">
        <f t="shared" si="2"/>
        <v>0</v>
      </c>
      <c r="J38" s="68">
        <f t="shared" si="0"/>
        <v>7.4646429186063013E-4</v>
      </c>
    </row>
    <row r="39" spans="1:10" ht="12.75" thickBot="1">
      <c r="A39" s="73" t="s">
        <v>42</v>
      </c>
      <c r="B39" s="74"/>
      <c r="C39" s="75"/>
      <c r="D39" s="76">
        <f>SUM(D35:D38)</f>
        <v>14.373200000000001</v>
      </c>
      <c r="E39" s="75"/>
      <c r="F39" s="75"/>
      <c r="G39" s="76">
        <f>SUM(G35:G38)</f>
        <v>14.373200000000001</v>
      </c>
      <c r="H39" s="76">
        <f t="shared" si="1"/>
        <v>0</v>
      </c>
      <c r="I39" s="77">
        <f t="shared" si="2"/>
        <v>0</v>
      </c>
      <c r="J39" s="78">
        <f t="shared" si="0"/>
        <v>4.2916322239084835E-2</v>
      </c>
    </row>
    <row r="40" spans="1:10" ht="12.75" thickBot="1">
      <c r="A40" s="87" t="s">
        <v>19</v>
      </c>
      <c r="B40" s="88">
        <f>B17</f>
        <v>2000</v>
      </c>
      <c r="C40" s="89">
        <f>Rates!D60</f>
        <v>2E-3</v>
      </c>
      <c r="D40" s="90">
        <f>B40*C40</f>
        <v>4</v>
      </c>
      <c r="E40" s="88">
        <f>B17</f>
        <v>2000</v>
      </c>
      <c r="F40" s="89">
        <f>Rates!F60</f>
        <v>2E-3</v>
      </c>
      <c r="G40" s="90">
        <f>E40*F40</f>
        <v>4</v>
      </c>
      <c r="H40" s="90">
        <f t="shared" si="1"/>
        <v>0</v>
      </c>
      <c r="I40" s="91">
        <f t="shared" si="2"/>
        <v>0</v>
      </c>
      <c r="J40" s="92">
        <f t="shared" si="0"/>
        <v>1.1943428669770082E-2</v>
      </c>
    </row>
    <row r="41" spans="1:10" ht="12.75" thickBot="1">
      <c r="A41" s="73" t="s">
        <v>43</v>
      </c>
      <c r="B41" s="74"/>
      <c r="C41" s="75"/>
      <c r="D41" s="76">
        <f>D24+D34+D39+D40</f>
        <v>293.89152000000001</v>
      </c>
      <c r="E41" s="75"/>
      <c r="F41" s="75"/>
      <c r="G41" s="76">
        <f>G24+G34+G39+G40</f>
        <v>296.38247999999999</v>
      </c>
      <c r="H41" s="76">
        <f t="shared" si="1"/>
        <v>2.4909599999999728</v>
      </c>
      <c r="I41" s="77">
        <f t="shared" si="2"/>
        <v>8.4757804512357923E-3</v>
      </c>
      <c r="J41" s="78">
        <f t="shared" si="0"/>
        <v>0.88495575221238942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38.2058976</v>
      </c>
      <c r="E42" s="96"/>
      <c r="F42" s="95">
        <f>Rates!F67</f>
        <v>0.13</v>
      </c>
      <c r="G42" s="90">
        <f>F42*G41</f>
        <v>38.529722399999997</v>
      </c>
      <c r="H42" s="90">
        <f t="shared" si="1"/>
        <v>0.32382479999999703</v>
      </c>
      <c r="I42" s="91">
        <f t="shared" si="2"/>
        <v>8.4757804512358061E-3</v>
      </c>
      <c r="J42" s="92">
        <f t="shared" si="0"/>
        <v>0.11504424778761063</v>
      </c>
    </row>
    <row r="43" spans="1:10" ht="12.75" thickBot="1">
      <c r="A43" s="81" t="s">
        <v>33</v>
      </c>
      <c r="B43" s="82"/>
      <c r="C43" s="83"/>
      <c r="D43" s="104">
        <f>D41+D42</f>
        <v>332.09741760000003</v>
      </c>
      <c r="E43" s="83"/>
      <c r="F43" s="83"/>
      <c r="G43" s="104">
        <f>G41+G42</f>
        <v>334.91220239999996</v>
      </c>
      <c r="H43" s="104">
        <f t="shared" si="1"/>
        <v>2.8147847999999271</v>
      </c>
      <c r="I43" s="85">
        <f t="shared" si="2"/>
        <v>8.4757804512356639E-3</v>
      </c>
      <c r="J43" s="86">
        <f t="shared" si="0"/>
        <v>1</v>
      </c>
    </row>
  </sheetData>
  <mergeCells count="4">
    <mergeCell ref="A20:A21"/>
    <mergeCell ref="B20:B21"/>
    <mergeCell ref="E20:E21"/>
    <mergeCell ref="H20:J20"/>
  </mergeCells>
  <pageMargins left="0.75" right="0.75" top="1" bottom="1" header="0.5" footer="0.5"/>
  <pageSetup scale="73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zoomScaleNormal="100" workbookViewId="0">
      <selection activeCell="B27" sqref="B27:I27"/>
    </sheetView>
  </sheetViews>
  <sheetFormatPr defaultRowHeight="12"/>
  <cols>
    <col min="1" max="1" width="80.14062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1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2.5728</v>
      </c>
      <c r="D6" s="32">
        <f>Rates!F20</f>
        <v>2.6574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2.1951000000000001</v>
      </c>
      <c r="D7" s="32">
        <f>Rates!F21</f>
        <v>2.1951000000000001</v>
      </c>
    </row>
    <row r="8" spans="1:4">
      <c r="A8" s="27" t="str">
        <f>Rates!A22</f>
        <v>Rate Rider for Tax Changes - effective until December 31, 2012</v>
      </c>
      <c r="B8" s="28" t="str">
        <f>Rates!B22</f>
        <v>$/kW</v>
      </c>
      <c r="C8" s="31">
        <f>Rates!D22</f>
        <v>0</v>
      </c>
      <c r="D8" s="32">
        <f>Rates!F22</f>
        <v>-2.2800000000000001E-2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2.3003999999999998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1.6634</v>
      </c>
      <c r="D10" s="32">
        <f>Rates!F24</f>
        <v>1.7452000000000001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2.4403000000000001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1.8384</v>
      </c>
      <c r="D12" s="22">
        <f>Rates!F26</f>
        <v>1.9288000000000001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1.2999999999999999E-3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0</v>
      </c>
      <c r="D15" s="32">
        <f>Rates!F29</f>
        <v>0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90000</v>
      </c>
      <c r="C19" s="35" t="s">
        <v>27</v>
      </c>
      <c r="D19" s="36">
        <v>225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0.54824561403508776</v>
      </c>
    </row>
    <row r="21" spans="1:10" ht="12.75" thickBot="1"/>
    <row r="22" spans="1:10" ht="12.75" customHeight="1">
      <c r="A22" s="133" t="str">
        <f>A3</f>
        <v>Residential - R2</v>
      </c>
      <c r="B22" s="135" t="s">
        <v>31</v>
      </c>
      <c r="C22" s="49" t="s">
        <v>37</v>
      </c>
      <c r="D22" s="49" t="s">
        <v>38</v>
      </c>
      <c r="E22" s="135" t="s">
        <v>31</v>
      </c>
      <c r="F22" s="49" t="s">
        <v>37</v>
      </c>
      <c r="G22" s="49" t="s">
        <v>38</v>
      </c>
      <c r="H22" s="137" t="s">
        <v>44</v>
      </c>
      <c r="I22" s="137"/>
      <c r="J22" s="138"/>
    </row>
    <row r="23" spans="1:10" ht="12.75" thickBot="1">
      <c r="A23" s="134"/>
      <c r="B23" s="136"/>
      <c r="C23" s="50" t="s">
        <v>15</v>
      </c>
      <c r="D23" s="50" t="s">
        <v>15</v>
      </c>
      <c r="E23" s="136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6.8000000000000005E-2</v>
      </c>
      <c r="D24" s="57">
        <f>B24*C24</f>
        <v>51.000000000000007</v>
      </c>
      <c r="E24" s="55">
        <f>IF(B19*H19&gt;B20,B20,B19*H19)</f>
        <v>750</v>
      </c>
      <c r="F24" s="56">
        <f>Rates!F61</f>
        <v>6.8000000000000005E-2</v>
      </c>
      <c r="G24" s="57">
        <f>E24*F24</f>
        <v>51.000000000000007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4.0280703206599239E-3</v>
      </c>
    </row>
    <row r="25" spans="1:10" ht="12.75" thickBot="1">
      <c r="A25" s="63" t="s">
        <v>36</v>
      </c>
      <c r="B25" s="64">
        <f>IF(B19*Rates!D66&gt;=B20,B19*Rates!D66-B20,0)</f>
        <v>97026</v>
      </c>
      <c r="C25" s="65">
        <f>Rates!D62</f>
        <v>7.9000000000000001E-2</v>
      </c>
      <c r="D25" s="66">
        <f>B25*C25</f>
        <v>7665.0540000000001</v>
      </c>
      <c r="E25" s="64">
        <f>IF(B19*H19&gt;=B20,B19*H19-B20,0)</f>
        <v>97026</v>
      </c>
      <c r="F25" s="65">
        <f>Rates!F62</f>
        <v>7.9000000000000001E-2</v>
      </c>
      <c r="G25" s="66">
        <f>E25*F25</f>
        <v>7665.0540000000001</v>
      </c>
      <c r="H25" s="66">
        <f t="shared" si="0"/>
        <v>0</v>
      </c>
      <c r="I25" s="67">
        <f>IF(ISERROR(H25/D25),0,H25/D25)</f>
        <v>0</v>
      </c>
      <c r="J25" s="68">
        <f t="shared" si="1"/>
        <v>0.6053995396795222</v>
      </c>
    </row>
    <row r="26" spans="1:10" ht="12.75" thickBot="1">
      <c r="A26" s="73" t="s">
        <v>39</v>
      </c>
      <c r="B26" s="74"/>
      <c r="C26" s="75"/>
      <c r="D26" s="76">
        <f>SUM(D24:D25)</f>
        <v>7716.0540000000001</v>
      </c>
      <c r="E26" s="75"/>
      <c r="F26" s="75"/>
      <c r="G26" s="76">
        <f>SUM(G24:G25)</f>
        <v>7716.0540000000001</v>
      </c>
      <c r="H26" s="76">
        <f t="shared" si="0"/>
        <v>0</v>
      </c>
      <c r="I26" s="77">
        <f>IF(ISERROR(H26/D26),0,H26/D26)</f>
        <v>0</v>
      </c>
      <c r="J26" s="78">
        <f t="shared" si="1"/>
        <v>0.60942761000018209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4.7082613324544977E-2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1</v>
      </c>
      <c r="D28" s="41">
        <f t="shared" si="2"/>
        <v>1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0</v>
      </c>
      <c r="I28" s="42">
        <f>IF(ISERROR(H28/D28),1,H28/D28)</f>
        <v>0</v>
      </c>
      <c r="J28" s="62">
        <f t="shared" si="1"/>
        <v>7.8981770993331835E-5</v>
      </c>
    </row>
    <row r="29" spans="1:10">
      <c r="A29" s="61" t="str">
        <f>A6</f>
        <v>Distribution Volumetric Rate</v>
      </c>
      <c r="B29" s="43">
        <f>D19</f>
        <v>225</v>
      </c>
      <c r="C29" s="40">
        <f>C6</f>
        <v>2.5728</v>
      </c>
      <c r="D29" s="41">
        <f t="shared" si="2"/>
        <v>578.88</v>
      </c>
      <c r="E29" s="43">
        <f>D19</f>
        <v>225</v>
      </c>
      <c r="F29" s="40">
        <f>D6</f>
        <v>2.6574</v>
      </c>
      <c r="G29" s="41">
        <f t="shared" si="3"/>
        <v>597.91499999999996</v>
      </c>
      <c r="H29" s="41">
        <f t="shared" si="0"/>
        <v>19.034999999999968</v>
      </c>
      <c r="I29" s="42">
        <f t="shared" ref="I29:I45" si="4">IF(ISERROR(H29/D29),0,H29/D29)</f>
        <v>3.288246268656711E-2</v>
      </c>
      <c r="J29" s="62">
        <f t="shared" si="1"/>
        <v>4.7224385603478004E-2</v>
      </c>
    </row>
    <row r="30" spans="1:10">
      <c r="A30" s="61" t="str">
        <f>A7</f>
        <v>Rate Rider for Deferral/Variance Account Disposition - effective until May 31, 2013</v>
      </c>
      <c r="B30" s="43">
        <f>D19</f>
        <v>225</v>
      </c>
      <c r="C30" s="40">
        <f>C7</f>
        <v>2.1951000000000001</v>
      </c>
      <c r="D30" s="41">
        <f t="shared" si="2"/>
        <v>493.89750000000004</v>
      </c>
      <c r="E30" s="43">
        <f>D19</f>
        <v>225</v>
      </c>
      <c r="F30" s="40">
        <f>D7</f>
        <v>2.1951000000000001</v>
      </c>
      <c r="G30" s="41">
        <f t="shared" si="3"/>
        <v>493.89750000000004</v>
      </c>
      <c r="H30" s="41">
        <f t="shared" si="0"/>
        <v>0</v>
      </c>
      <c r="I30" s="42">
        <f t="shared" si="4"/>
        <v>0</v>
      </c>
      <c r="J30" s="62">
        <f t="shared" si="1"/>
        <v>3.9008899239179114E-2</v>
      </c>
    </row>
    <row r="31" spans="1:10" ht="12.75" thickBot="1">
      <c r="A31" s="61" t="str">
        <f>A8</f>
        <v>Rate Rider for Tax Changes - effective until December 31, 2012</v>
      </c>
      <c r="B31" s="43">
        <f>D19</f>
        <v>225</v>
      </c>
      <c r="C31" s="40">
        <f>C8</f>
        <v>0</v>
      </c>
      <c r="D31" s="41">
        <f t="shared" si="2"/>
        <v>0</v>
      </c>
      <c r="E31" s="43">
        <f>D19</f>
        <v>225</v>
      </c>
      <c r="F31" s="40">
        <f>D8</f>
        <v>-2.2800000000000001E-2</v>
      </c>
      <c r="G31" s="41">
        <f t="shared" si="3"/>
        <v>-5.13</v>
      </c>
      <c r="H31" s="41">
        <f t="shared" si="0"/>
        <v>-5.13</v>
      </c>
      <c r="I31" s="42">
        <f t="shared" si="4"/>
        <v>0</v>
      </c>
      <c r="J31" s="62">
        <f t="shared" si="1"/>
        <v>-4.0517648519579233E-4</v>
      </c>
    </row>
    <row r="32" spans="1:10" ht="12.75" thickBot="1">
      <c r="A32" s="73" t="s">
        <v>40</v>
      </c>
      <c r="B32" s="74"/>
      <c r="C32" s="75"/>
      <c r="D32" s="80">
        <f>SUM(D27:D31)</f>
        <v>1669.8975</v>
      </c>
      <c r="E32" s="75"/>
      <c r="F32" s="75"/>
      <c r="G32" s="76">
        <f>SUM(G27:G31)</f>
        <v>1683.8024999999998</v>
      </c>
      <c r="H32" s="76">
        <f t="shared" si="0"/>
        <v>13.904999999999745</v>
      </c>
      <c r="I32" s="77">
        <f t="shared" si="4"/>
        <v>8.3268583850204855E-3</v>
      </c>
      <c r="J32" s="78">
        <f t="shared" si="1"/>
        <v>0.13298970345299962</v>
      </c>
    </row>
    <row r="33" spans="1:10">
      <c r="A33" s="69" t="str">
        <f>A9</f>
        <v>Retail Transmission Rate - Network Service Rate</v>
      </c>
      <c r="B33" s="44">
        <f>D19*Rates!D66</f>
        <v>244.44</v>
      </c>
      <c r="C33" s="45">
        <f>C9</f>
        <v>2.1217999999999999</v>
      </c>
      <c r="D33" s="47">
        <f>B33*C33</f>
        <v>518.65279199999998</v>
      </c>
      <c r="E33" s="44">
        <f>D19*H19</f>
        <v>244.44</v>
      </c>
      <c r="F33" s="45">
        <f>D9</f>
        <v>2.3003999999999998</v>
      </c>
      <c r="G33" s="47">
        <f>E33*F33</f>
        <v>562.30977599999994</v>
      </c>
      <c r="H33" s="47">
        <f t="shared" si="0"/>
        <v>43.656983999999966</v>
      </c>
      <c r="I33" s="48">
        <f t="shared" si="4"/>
        <v>8.4173814685644208E-2</v>
      </c>
      <c r="J33" s="72">
        <f t="shared" si="1"/>
        <v>4.4412221955343716E-2</v>
      </c>
    </row>
    <row r="34" spans="1:10" ht="12.75" thickBot="1">
      <c r="A34" s="63" t="str">
        <f>A10</f>
        <v>Retail Transmission Rate - Line and Transformation Connection Service Rate</v>
      </c>
      <c r="B34" s="64">
        <f>D19*Rates!D66</f>
        <v>244.44</v>
      </c>
      <c r="C34" s="65">
        <f>C10</f>
        <v>1.6634</v>
      </c>
      <c r="D34" s="66">
        <f>B34*C34</f>
        <v>406.601496</v>
      </c>
      <c r="E34" s="64">
        <f>D19*H19</f>
        <v>244.44</v>
      </c>
      <c r="F34" s="65">
        <f>D10</f>
        <v>1.7452000000000001</v>
      </c>
      <c r="G34" s="66">
        <f>E34*F34</f>
        <v>426.59668800000003</v>
      </c>
      <c r="H34" s="66">
        <f t="shared" si="0"/>
        <v>19.995192000000031</v>
      </c>
      <c r="I34" s="67">
        <f t="shared" si="4"/>
        <v>4.9176385716003447E-2</v>
      </c>
      <c r="J34" s="68">
        <f t="shared" si="1"/>
        <v>3.3693361918129834E-2</v>
      </c>
    </row>
    <row r="35" spans="1:10" ht="12.75" thickBot="1">
      <c r="A35" s="73" t="s">
        <v>32</v>
      </c>
      <c r="B35" s="74"/>
      <c r="C35" s="75"/>
      <c r="D35" s="76">
        <f>SUM(D33:D34)</f>
        <v>925.25428799999997</v>
      </c>
      <c r="E35" s="75"/>
      <c r="F35" s="75"/>
      <c r="G35" s="76">
        <f>SUM(G33:G34)</f>
        <v>988.90646399999991</v>
      </c>
      <c r="H35" s="76">
        <f t="shared" si="0"/>
        <v>63.65217599999994</v>
      </c>
      <c r="I35" s="77">
        <f t="shared" si="4"/>
        <v>6.8794251294515413E-2</v>
      </c>
      <c r="J35" s="78">
        <f t="shared" si="1"/>
        <v>7.810558387347355E-2</v>
      </c>
    </row>
    <row r="36" spans="1:10" ht="12.75" thickBot="1">
      <c r="A36" s="81" t="s">
        <v>41</v>
      </c>
      <c r="B36" s="82"/>
      <c r="C36" s="83"/>
      <c r="D36" s="84">
        <f>D32+D35</f>
        <v>2595.1517880000001</v>
      </c>
      <c r="E36" s="83"/>
      <c r="F36" s="83"/>
      <c r="G36" s="84">
        <f>G32+G35</f>
        <v>2672.7089639999995</v>
      </c>
      <c r="H36" s="84">
        <f t="shared" si="0"/>
        <v>77.557175999999345</v>
      </c>
      <c r="I36" s="85">
        <f t="shared" si="4"/>
        <v>2.9885410309571973E-2</v>
      </c>
      <c r="J36" s="86">
        <f t="shared" si="1"/>
        <v>0.21109528732647315</v>
      </c>
    </row>
    <row r="37" spans="1:10">
      <c r="A37" s="69" t="str">
        <f>A13</f>
        <v>Wholesale Market Service Rate</v>
      </c>
      <c r="B37" s="44">
        <f>B19*Rates!D66</f>
        <v>97776</v>
      </c>
      <c r="C37" s="45">
        <f>C13</f>
        <v>5.1999999999999998E-3</v>
      </c>
      <c r="D37" s="47">
        <f>B37*C37</f>
        <v>508.43519999999995</v>
      </c>
      <c r="E37" s="44">
        <f>B19*H19</f>
        <v>97776</v>
      </c>
      <c r="F37" s="45">
        <f>D13</f>
        <v>5.1999999999999998E-3</v>
      </c>
      <c r="G37" s="47">
        <f>E37*F37</f>
        <v>508.43519999999995</v>
      </c>
      <c r="H37" s="47">
        <f t="shared" si="0"/>
        <v>0</v>
      </c>
      <c r="I37" s="48">
        <f t="shared" si="4"/>
        <v>0</v>
      </c>
      <c r="J37" s="72">
        <f t="shared" si="1"/>
        <v>4.0157112531348869E-2</v>
      </c>
    </row>
    <row r="38" spans="1:10">
      <c r="A38" s="61" t="str">
        <f>A14</f>
        <v>Rural Rate Protection Charge</v>
      </c>
      <c r="B38" s="39">
        <f>B19*Rates!D66</f>
        <v>97776</v>
      </c>
      <c r="C38" s="40">
        <f>C14</f>
        <v>1.2999999999999999E-3</v>
      </c>
      <c r="D38" s="41">
        <f>B38*C38</f>
        <v>127.10879999999999</v>
      </c>
      <c r="E38" s="39">
        <f>B19*H19</f>
        <v>97776</v>
      </c>
      <c r="F38" s="40">
        <f>D14</f>
        <v>1.2999999999999999E-3</v>
      </c>
      <c r="G38" s="41">
        <f>E38*F38</f>
        <v>127.10879999999999</v>
      </c>
      <c r="H38" s="41">
        <f t="shared" si="0"/>
        <v>0</v>
      </c>
      <c r="I38" s="42">
        <f t="shared" si="4"/>
        <v>0</v>
      </c>
      <c r="J38" s="62">
        <f t="shared" si="1"/>
        <v>1.0039278132837217E-2</v>
      </c>
    </row>
    <row r="39" spans="1:10">
      <c r="A39" s="63" t="s">
        <v>45</v>
      </c>
      <c r="B39" s="64">
        <f>B19*Rates!D66</f>
        <v>97776</v>
      </c>
      <c r="C39" s="65">
        <f>Rates!D29</f>
        <v>0</v>
      </c>
      <c r="D39" s="66">
        <f>B39*C39</f>
        <v>0</v>
      </c>
      <c r="E39" s="64">
        <f>B19*Rates!F66</f>
        <v>97776</v>
      </c>
      <c r="F39" s="65">
        <f>Rates!F29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1.9745442748332959E-5</v>
      </c>
    </row>
    <row r="41" spans="1:10" ht="12.75" thickBot="1">
      <c r="A41" s="73" t="s">
        <v>42</v>
      </c>
      <c r="B41" s="74"/>
      <c r="C41" s="75"/>
      <c r="D41" s="76">
        <f>SUM(D37:D40)</f>
        <v>635.79399999999998</v>
      </c>
      <c r="E41" s="75"/>
      <c r="F41" s="75"/>
      <c r="G41" s="76">
        <f>SUM(G37:G40)</f>
        <v>635.79399999999998</v>
      </c>
      <c r="H41" s="76">
        <f t="shared" si="0"/>
        <v>0</v>
      </c>
      <c r="I41" s="77">
        <f t="shared" si="4"/>
        <v>0</v>
      </c>
      <c r="J41" s="78">
        <f t="shared" si="1"/>
        <v>5.0216136106934421E-2</v>
      </c>
    </row>
    <row r="42" spans="1:10" ht="12.75" thickBot="1">
      <c r="A42" s="87" t="s">
        <v>19</v>
      </c>
      <c r="B42" s="88">
        <f>B19</f>
        <v>90000</v>
      </c>
      <c r="C42" s="89">
        <f>Rates!D60</f>
        <v>2E-3</v>
      </c>
      <c r="D42" s="90">
        <f>B42*C42</f>
        <v>180</v>
      </c>
      <c r="E42" s="88">
        <f>B19</f>
        <v>90000</v>
      </c>
      <c r="F42" s="89">
        <f>Rates!F60</f>
        <v>2E-3</v>
      </c>
      <c r="G42" s="90">
        <f>E42*F42</f>
        <v>180</v>
      </c>
      <c r="H42" s="90">
        <f t="shared" si="0"/>
        <v>0</v>
      </c>
      <c r="I42" s="91">
        <f t="shared" si="4"/>
        <v>0</v>
      </c>
      <c r="J42" s="92">
        <f t="shared" si="1"/>
        <v>1.4216718778799731E-2</v>
      </c>
    </row>
    <row r="43" spans="1:10" ht="12.75" thickBot="1">
      <c r="A43" s="73" t="s">
        <v>43</v>
      </c>
      <c r="B43" s="74"/>
      <c r="C43" s="75"/>
      <c r="D43" s="76">
        <f>D26+D36+D41+D42</f>
        <v>11126.999787999999</v>
      </c>
      <c r="E43" s="75"/>
      <c r="F43" s="75"/>
      <c r="G43" s="76">
        <f>G26+G36+G41+G42</f>
        <v>11204.556963999999</v>
      </c>
      <c r="H43" s="76">
        <f t="shared" si="0"/>
        <v>77.557176000000254</v>
      </c>
      <c r="I43" s="77">
        <f t="shared" si="4"/>
        <v>6.9701786175679096E-3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1446.50997244</v>
      </c>
      <c r="E44" s="96"/>
      <c r="F44" s="95">
        <f>Rates!F67</f>
        <v>0.13</v>
      </c>
      <c r="G44" s="90">
        <f>F44*G43</f>
        <v>1456.5924053199999</v>
      </c>
      <c r="H44" s="90">
        <f t="shared" si="0"/>
        <v>10.082432879999942</v>
      </c>
      <c r="I44" s="91">
        <f t="shared" si="4"/>
        <v>6.9701786175678463E-3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12573.50976044</v>
      </c>
      <c r="E45" s="83"/>
      <c r="F45" s="83"/>
      <c r="G45" s="104">
        <f>G43+G44</f>
        <v>12661.149369319999</v>
      </c>
      <c r="H45" s="104">
        <f t="shared" si="0"/>
        <v>87.639608879999287</v>
      </c>
      <c r="I45" s="85">
        <f t="shared" si="4"/>
        <v>6.970178617567829E-3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1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13" zoomScaleNormal="100" workbookViewId="0">
      <selection activeCell="B27" sqref="B27:I27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48</v>
      </c>
    </row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1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2.5728</v>
      </c>
      <c r="D6" s="32">
        <f>Rates!F20</f>
        <v>2.6574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2.1951000000000001</v>
      </c>
      <c r="D7" s="32">
        <f>Rates!F21</f>
        <v>2.1951000000000001</v>
      </c>
    </row>
    <row r="8" spans="1:4">
      <c r="A8" s="27" t="str">
        <f>Rates!A22</f>
        <v>Rate Rider for Tax Changes - effective until December 31, 2012</v>
      </c>
      <c r="B8" s="28" t="str">
        <f>Rates!B22</f>
        <v>$/kW</v>
      </c>
      <c r="C8" s="31">
        <f>Rates!D22</f>
        <v>0</v>
      </c>
      <c r="D8" s="32">
        <f>Rates!F22</f>
        <v>-2.2800000000000001E-2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2.3003999999999998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1.6634</v>
      </c>
      <c r="D10" s="32">
        <f>Rates!F24</f>
        <v>1.7452000000000001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2.4403000000000001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1.8384</v>
      </c>
      <c r="D12" s="22">
        <f>Rates!F26</f>
        <v>1.9288000000000001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1.2999999999999999E-3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0</v>
      </c>
      <c r="D15" s="32">
        <f>Rates!F29</f>
        <v>0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1100000</v>
      </c>
      <c r="C19" s="35" t="s">
        <v>27</v>
      </c>
      <c r="D19" s="36">
        <v>2500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0.60307017543859653</v>
      </c>
    </row>
    <row r="21" spans="1:10" ht="12.75" thickBot="1"/>
    <row r="22" spans="1:10" ht="12.75" customHeight="1">
      <c r="A22" s="133" t="str">
        <f>A3</f>
        <v>Residential - R2</v>
      </c>
      <c r="B22" s="135" t="s">
        <v>31</v>
      </c>
      <c r="C22" s="49" t="s">
        <v>37</v>
      </c>
      <c r="D22" s="49" t="s">
        <v>38</v>
      </c>
      <c r="E22" s="135" t="s">
        <v>31</v>
      </c>
      <c r="F22" s="49" t="s">
        <v>37</v>
      </c>
      <c r="G22" s="49" t="s">
        <v>38</v>
      </c>
      <c r="H22" s="137" t="s">
        <v>44</v>
      </c>
      <c r="I22" s="137"/>
      <c r="J22" s="138"/>
    </row>
    <row r="23" spans="1:10" ht="12.75" thickBot="1">
      <c r="A23" s="134"/>
      <c r="B23" s="136"/>
      <c r="C23" s="50" t="s">
        <v>15</v>
      </c>
      <c r="D23" s="50" t="s">
        <v>15</v>
      </c>
      <c r="E23" s="136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6.8000000000000005E-2</v>
      </c>
      <c r="D24" s="57">
        <f>B24*C24</f>
        <v>51.000000000000007</v>
      </c>
      <c r="E24" s="55">
        <f>IF(B19*H19&gt;B20,B20,B19*H19)</f>
        <v>750</v>
      </c>
      <c r="F24" s="56">
        <f>Rates!F61</f>
        <v>6.8000000000000005E-2</v>
      </c>
      <c r="G24" s="57">
        <f>E24*F24</f>
        <v>51.000000000000007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3.5012199146220244E-4</v>
      </c>
    </row>
    <row r="25" spans="1:10" ht="12.75" thickBot="1">
      <c r="A25" s="63" t="s">
        <v>36</v>
      </c>
      <c r="B25" s="64">
        <f>IF(B19*Rates!D66&gt;=B20,B19*Rates!D66-B20,0)</f>
        <v>1194290</v>
      </c>
      <c r="C25" s="65">
        <f>Rates!D62</f>
        <v>7.9000000000000001E-2</v>
      </c>
      <c r="D25" s="66">
        <f>B25*C25</f>
        <v>94348.91</v>
      </c>
      <c r="E25" s="64">
        <f>IF(B19*H19&gt;=B20,B19*H19-B20,0)</f>
        <v>1194290</v>
      </c>
      <c r="F25" s="65">
        <f>Rates!F62</f>
        <v>7.9000000000000001E-2</v>
      </c>
      <c r="G25" s="66">
        <f>E25*F25</f>
        <v>94348.91</v>
      </c>
      <c r="H25" s="66">
        <f t="shared" si="0"/>
        <v>0</v>
      </c>
      <c r="I25" s="67">
        <f>IF(ISERROR(H25/D25),0,H25/D25)</f>
        <v>0</v>
      </c>
      <c r="J25" s="68">
        <f t="shared" si="1"/>
        <v>0.64771820120564905</v>
      </c>
    </row>
    <row r="26" spans="1:10" ht="12.75" thickBot="1">
      <c r="A26" s="73" t="s">
        <v>39</v>
      </c>
      <c r="B26" s="74"/>
      <c r="C26" s="75"/>
      <c r="D26" s="76">
        <f>SUM(D24:D25)</f>
        <v>94399.91</v>
      </c>
      <c r="E26" s="75"/>
      <c r="F26" s="75"/>
      <c r="G26" s="76">
        <f>SUM(G24:G25)</f>
        <v>94399.91</v>
      </c>
      <c r="H26" s="76">
        <f t="shared" si="0"/>
        <v>0</v>
      </c>
      <c r="I26" s="77">
        <f>IF(ISERROR(H26/D26),0,H26/D26)</f>
        <v>0</v>
      </c>
      <c r="J26" s="78">
        <f t="shared" si="1"/>
        <v>0.64806832319711127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4.0924455205970213E-3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1</v>
      </c>
      <c r="D28" s="41">
        <f t="shared" si="2"/>
        <v>1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0</v>
      </c>
      <c r="I28" s="42">
        <f>IF(ISERROR(H28/D28),1,H28/D28)</f>
        <v>0</v>
      </c>
      <c r="J28" s="62">
        <f t="shared" si="1"/>
        <v>6.8651370874941642E-6</v>
      </c>
    </row>
    <row r="29" spans="1:10">
      <c r="A29" s="61" t="str">
        <f>A6</f>
        <v>Distribution Volumetric Rate</v>
      </c>
      <c r="B29" s="43">
        <f>D19</f>
        <v>2500</v>
      </c>
      <c r="C29" s="40">
        <f>C6</f>
        <v>2.5728</v>
      </c>
      <c r="D29" s="41">
        <f t="shared" si="2"/>
        <v>6432</v>
      </c>
      <c r="E29" s="43">
        <f>D19</f>
        <v>2500</v>
      </c>
      <c r="F29" s="40">
        <f>D6</f>
        <v>2.6574</v>
      </c>
      <c r="G29" s="41">
        <f t="shared" si="3"/>
        <v>6643.5</v>
      </c>
      <c r="H29" s="41">
        <f t="shared" si="0"/>
        <v>211.5</v>
      </c>
      <c r="I29" s="42">
        <f t="shared" ref="I29:I45" si="4">IF(ISERROR(H29/D29),0,H29/D29)</f>
        <v>3.2882462686567165E-2</v>
      </c>
      <c r="J29" s="62">
        <f t="shared" si="1"/>
        <v>4.5608538240767479E-2</v>
      </c>
    </row>
    <row r="30" spans="1:10">
      <c r="A30" s="61" t="str">
        <f>A7</f>
        <v>Rate Rider for Deferral/Variance Account Disposition - effective until May 31, 2013</v>
      </c>
      <c r="B30" s="43">
        <f>D19</f>
        <v>2500</v>
      </c>
      <c r="C30" s="40">
        <f>C7</f>
        <v>2.1951000000000001</v>
      </c>
      <c r="D30" s="41">
        <f t="shared" si="2"/>
        <v>5487.75</v>
      </c>
      <c r="E30" s="43">
        <f>D19</f>
        <v>2500</v>
      </c>
      <c r="F30" s="40">
        <f>D7</f>
        <v>2.1951000000000001</v>
      </c>
      <c r="G30" s="41">
        <f t="shared" si="3"/>
        <v>5487.75</v>
      </c>
      <c r="H30" s="41">
        <f t="shared" si="0"/>
        <v>0</v>
      </c>
      <c r="I30" s="42">
        <f t="shared" si="4"/>
        <v>0</v>
      </c>
      <c r="J30" s="62">
        <f t="shared" si="1"/>
        <v>3.7674156051896099E-2</v>
      </c>
    </row>
    <row r="31" spans="1:10" ht="12.75" thickBot="1">
      <c r="A31" s="61" t="str">
        <f>A8</f>
        <v>Rate Rider for Tax Changes - effective until December 31, 2012</v>
      </c>
      <c r="B31" s="43">
        <f>D19</f>
        <v>2500</v>
      </c>
      <c r="C31" s="40">
        <f>C8</f>
        <v>0</v>
      </c>
      <c r="D31" s="41">
        <f t="shared" si="2"/>
        <v>0</v>
      </c>
      <c r="E31" s="43">
        <f>D19</f>
        <v>2500</v>
      </c>
      <c r="F31" s="40">
        <f>D8</f>
        <v>-2.2800000000000001E-2</v>
      </c>
      <c r="G31" s="41">
        <f t="shared" si="3"/>
        <v>-57</v>
      </c>
      <c r="H31" s="41">
        <f t="shared" si="0"/>
        <v>-57</v>
      </c>
      <c r="I31" s="42">
        <f t="shared" si="4"/>
        <v>0</v>
      </c>
      <c r="J31" s="62">
        <f t="shared" si="1"/>
        <v>-3.9131281398716733E-4</v>
      </c>
    </row>
    <row r="32" spans="1:10" ht="12.75" thickBot="1">
      <c r="A32" s="73" t="s">
        <v>40</v>
      </c>
      <c r="B32" s="74"/>
      <c r="C32" s="75"/>
      <c r="D32" s="80">
        <f>SUM(D27:D31)</f>
        <v>12516.869999999999</v>
      </c>
      <c r="E32" s="75"/>
      <c r="F32" s="75"/>
      <c r="G32" s="76">
        <f>SUM(G27:G31)</f>
        <v>12671.369999999999</v>
      </c>
      <c r="H32" s="76">
        <f t="shared" si="0"/>
        <v>154.5</v>
      </c>
      <c r="I32" s="77">
        <f t="shared" si="4"/>
        <v>1.2343341426410916E-2</v>
      </c>
      <c r="J32" s="78">
        <f t="shared" si="1"/>
        <v>8.6990692136360917E-2</v>
      </c>
    </row>
    <row r="33" spans="1:10">
      <c r="A33" s="69" t="str">
        <f>A11</f>
        <v>Retail Transmission Rate - Network Service Rate - Interval Meter &gt; 1,000 kW</v>
      </c>
      <c r="B33" s="44">
        <f>D19*Rates!D66</f>
        <v>2716</v>
      </c>
      <c r="C33" s="45">
        <f>C11</f>
        <v>2.2507999999999999</v>
      </c>
      <c r="D33" s="47">
        <f>B33*C33</f>
        <v>6113.1727999999994</v>
      </c>
      <c r="E33" s="44">
        <f>D19*H19</f>
        <v>2716</v>
      </c>
      <c r="F33" s="45">
        <f>D11</f>
        <v>2.4403000000000001</v>
      </c>
      <c r="G33" s="47">
        <f>E33*F33</f>
        <v>6627.8548000000001</v>
      </c>
      <c r="H33" s="47">
        <f t="shared" si="0"/>
        <v>514.6820000000007</v>
      </c>
      <c r="I33" s="48">
        <f t="shared" si="4"/>
        <v>8.4192287186778153E-2</v>
      </c>
      <c r="J33" s="72">
        <f t="shared" si="1"/>
        <v>4.5501131798006217E-2</v>
      </c>
    </row>
    <row r="34" spans="1:10" ht="12.75" thickBot="1">
      <c r="A34" s="63" t="str">
        <f>A12</f>
        <v>Retail Transmission Rate - Line and Transformation Connection Service Rate - Interval &gt; 1,000 kW</v>
      </c>
      <c r="B34" s="64">
        <f>D19*Rates!D66</f>
        <v>2716</v>
      </c>
      <c r="C34" s="65">
        <f>C12</f>
        <v>1.8384</v>
      </c>
      <c r="D34" s="66">
        <f>B34*C34</f>
        <v>4993.0944</v>
      </c>
      <c r="E34" s="64">
        <f>D19*H19</f>
        <v>2716</v>
      </c>
      <c r="F34" s="65">
        <f>D12</f>
        <v>1.9288000000000001</v>
      </c>
      <c r="G34" s="66">
        <f>E34*F34</f>
        <v>5238.6208000000006</v>
      </c>
      <c r="H34" s="66">
        <f t="shared" si="0"/>
        <v>245.52640000000065</v>
      </c>
      <c r="I34" s="67">
        <f t="shared" si="4"/>
        <v>4.9173194081810402E-2</v>
      </c>
      <c r="J34" s="68">
        <f t="shared" si="1"/>
        <v>3.5963849941398354E-2</v>
      </c>
    </row>
    <row r="35" spans="1:10" ht="12.75" thickBot="1">
      <c r="A35" s="73" t="s">
        <v>32</v>
      </c>
      <c r="B35" s="74"/>
      <c r="C35" s="75"/>
      <c r="D35" s="76">
        <f>SUM(D33:D34)</f>
        <v>11106.267199999998</v>
      </c>
      <c r="E35" s="75"/>
      <c r="F35" s="75"/>
      <c r="G35" s="76">
        <f>SUM(G33:G34)</f>
        <v>11866.475600000002</v>
      </c>
      <c r="H35" s="76">
        <f t="shared" si="0"/>
        <v>760.20840000000317</v>
      </c>
      <c r="I35" s="77">
        <f t="shared" si="4"/>
        <v>6.8448596302455547E-2</v>
      </c>
      <c r="J35" s="78">
        <f t="shared" si="1"/>
        <v>8.1464981739404571E-2</v>
      </c>
    </row>
    <row r="36" spans="1:10" ht="12.75" thickBot="1">
      <c r="A36" s="81" t="s">
        <v>41</v>
      </c>
      <c r="B36" s="82"/>
      <c r="C36" s="83"/>
      <c r="D36" s="84">
        <f>D32+D35</f>
        <v>23623.137199999997</v>
      </c>
      <c r="E36" s="83"/>
      <c r="F36" s="83"/>
      <c r="G36" s="84">
        <f>G32+G35</f>
        <v>24537.845600000001</v>
      </c>
      <c r="H36" s="84">
        <f t="shared" si="0"/>
        <v>914.70840000000317</v>
      </c>
      <c r="I36" s="85">
        <f t="shared" si="4"/>
        <v>3.8720868962315608E-2</v>
      </c>
      <c r="J36" s="86">
        <f t="shared" si="1"/>
        <v>0.16845567387576549</v>
      </c>
    </row>
    <row r="37" spans="1:10">
      <c r="A37" s="69" t="str">
        <f>A13</f>
        <v>Wholesale Market Service Rate</v>
      </c>
      <c r="B37" s="44">
        <f>B19*Rates!D66</f>
        <v>1195040</v>
      </c>
      <c r="C37" s="45">
        <f>C13</f>
        <v>5.1999999999999998E-3</v>
      </c>
      <c r="D37" s="47">
        <f>B37*C37</f>
        <v>6214.2079999999996</v>
      </c>
      <c r="E37" s="44">
        <f>B19*H19</f>
        <v>1195040</v>
      </c>
      <c r="F37" s="45">
        <f>D13</f>
        <v>5.1999999999999998E-3</v>
      </c>
      <c r="G37" s="47">
        <f>E37*F37</f>
        <v>6214.2079999999996</v>
      </c>
      <c r="H37" s="47">
        <f t="shared" si="0"/>
        <v>0</v>
      </c>
      <c r="I37" s="48">
        <f t="shared" si="4"/>
        <v>0</v>
      </c>
      <c r="J37" s="72">
        <f t="shared" si="1"/>
        <v>4.2661389810202933E-2</v>
      </c>
    </row>
    <row r="38" spans="1:10">
      <c r="A38" s="61" t="str">
        <f>A14</f>
        <v>Rural Rate Protection Charge</v>
      </c>
      <c r="B38" s="39">
        <f>B19*Rates!D66</f>
        <v>1195040</v>
      </c>
      <c r="C38" s="40">
        <f>C14</f>
        <v>1.2999999999999999E-3</v>
      </c>
      <c r="D38" s="41">
        <f>B38*C38</f>
        <v>1553.5519999999999</v>
      </c>
      <c r="E38" s="39">
        <f>B19*H19</f>
        <v>1195040</v>
      </c>
      <c r="F38" s="40">
        <f>D14</f>
        <v>1.2999999999999999E-3</v>
      </c>
      <c r="G38" s="41">
        <f>E38*F38</f>
        <v>1553.5519999999999</v>
      </c>
      <c r="H38" s="41">
        <f t="shared" si="0"/>
        <v>0</v>
      </c>
      <c r="I38" s="42">
        <f t="shared" si="4"/>
        <v>0</v>
      </c>
      <c r="J38" s="62">
        <f t="shared" si="1"/>
        <v>1.0665347452550733E-2</v>
      </c>
    </row>
    <row r="39" spans="1:10">
      <c r="A39" s="63" t="s">
        <v>45</v>
      </c>
      <c r="B39" s="64">
        <f>B19*Rates!D66</f>
        <v>1195040</v>
      </c>
      <c r="C39" s="65">
        <f>Rates!D29</f>
        <v>0</v>
      </c>
      <c r="D39" s="66">
        <f>B39*C39</f>
        <v>0</v>
      </c>
      <c r="E39" s="64">
        <f>B19*Rates!F66</f>
        <v>1195040</v>
      </c>
      <c r="F39" s="65">
        <f>Rates!F29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1.7162842718735411E-6</v>
      </c>
    </row>
    <row r="41" spans="1:10" ht="12.75" thickBot="1">
      <c r="A41" s="73" t="s">
        <v>42</v>
      </c>
      <c r="B41" s="74"/>
      <c r="C41" s="75"/>
      <c r="D41" s="76">
        <f>SUM(D37:D40)</f>
        <v>7768.0099999999993</v>
      </c>
      <c r="E41" s="75"/>
      <c r="F41" s="75"/>
      <c r="G41" s="76">
        <f>SUM(G37:G40)</f>
        <v>7768.0099999999993</v>
      </c>
      <c r="H41" s="76">
        <f t="shared" si="0"/>
        <v>0</v>
      </c>
      <c r="I41" s="77">
        <f t="shared" si="4"/>
        <v>0</v>
      </c>
      <c r="J41" s="78">
        <f t="shared" si="1"/>
        <v>5.3328453547025534E-2</v>
      </c>
    </row>
    <row r="42" spans="1:10" ht="12.75" thickBot="1">
      <c r="A42" s="87" t="s">
        <v>19</v>
      </c>
      <c r="B42" s="88">
        <f>B19</f>
        <v>1100000</v>
      </c>
      <c r="C42" s="89">
        <f>Rates!D60</f>
        <v>2E-3</v>
      </c>
      <c r="D42" s="90">
        <f>B42*C42</f>
        <v>2200</v>
      </c>
      <c r="E42" s="88">
        <f>B19</f>
        <v>1100000</v>
      </c>
      <c r="F42" s="89">
        <f>Rates!F60</f>
        <v>2E-3</v>
      </c>
      <c r="G42" s="90">
        <f>E42*F42</f>
        <v>2200</v>
      </c>
      <c r="H42" s="90">
        <f t="shared" si="0"/>
        <v>0</v>
      </c>
      <c r="I42" s="91">
        <f t="shared" si="4"/>
        <v>0</v>
      </c>
      <c r="J42" s="92">
        <f t="shared" si="1"/>
        <v>1.5103301592487161E-2</v>
      </c>
    </row>
    <row r="43" spans="1:10" ht="12.75" thickBot="1">
      <c r="A43" s="73" t="s">
        <v>43</v>
      </c>
      <c r="B43" s="74"/>
      <c r="C43" s="75"/>
      <c r="D43" s="76">
        <f>D26+D36+D41+D42</f>
        <v>127991.0572</v>
      </c>
      <c r="E43" s="75"/>
      <c r="F43" s="75"/>
      <c r="G43" s="76">
        <f>G26+G36+G41+G42</f>
        <v>128905.7656</v>
      </c>
      <c r="H43" s="76">
        <f t="shared" si="0"/>
        <v>914.70840000000317</v>
      </c>
      <c r="I43" s="77">
        <f t="shared" si="4"/>
        <v>7.1466586807754189E-3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16638.837436000002</v>
      </c>
      <c r="E44" s="96"/>
      <c r="F44" s="95">
        <f>Rates!F67</f>
        <v>0.13</v>
      </c>
      <c r="G44" s="90">
        <f>F44*G43</f>
        <v>16757.749528</v>
      </c>
      <c r="H44" s="90">
        <f t="shared" si="0"/>
        <v>118.91209199999867</v>
      </c>
      <c r="I44" s="91">
        <f t="shared" si="4"/>
        <v>7.146658680775313E-3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144629.89463599998</v>
      </c>
      <c r="E45" s="83"/>
      <c r="F45" s="83"/>
      <c r="G45" s="104">
        <f>G43+G44</f>
        <v>145663.515128</v>
      </c>
      <c r="H45" s="104">
        <f t="shared" si="0"/>
        <v>1033.6204920000164</v>
      </c>
      <c r="I45" s="85">
        <f t="shared" si="4"/>
        <v>7.1466586807755082E-3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J45"/>
  <sheetViews>
    <sheetView topLeftCell="A4" zoomScaleNormal="100" workbookViewId="0">
      <selection activeCell="B27" sqref="B27:I27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Rates!A32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Rates!A33</f>
        <v>Monthly Service Charge</v>
      </c>
      <c r="B4" s="24" t="str">
        <f>Rates!B33</f>
        <v>$</v>
      </c>
      <c r="C4" s="25">
        <f>Rates!D33</f>
        <v>26.07</v>
      </c>
      <c r="D4" s="26">
        <f>Rates!F33</f>
        <v>25.85</v>
      </c>
    </row>
    <row r="5" spans="1:4">
      <c r="A5" s="27" t="str">
        <f>Rates!A34</f>
        <v>Smart Meter Rate Adder</v>
      </c>
      <c r="B5" s="28" t="str">
        <f>Rates!B34</f>
        <v>$</v>
      </c>
      <c r="C5" s="29">
        <f>Rates!D34</f>
        <v>1</v>
      </c>
      <c r="D5" s="30">
        <f>Rates!F34</f>
        <v>1</v>
      </c>
    </row>
    <row r="6" spans="1:4">
      <c r="A6" s="27" t="str">
        <f>Rates!A35</f>
        <v>Distribution Volumetric Rate</v>
      </c>
      <c r="B6" s="28" t="str">
        <f>Rates!B35</f>
        <v>$/kWh</v>
      </c>
      <c r="C6" s="31">
        <f>Rates!D35</f>
        <v>0.10009999999999999</v>
      </c>
      <c r="D6" s="32">
        <f>Rates!F35</f>
        <v>9.9400000000000002E-2</v>
      </c>
    </row>
    <row r="7" spans="1:4">
      <c r="A7" s="27" t="str">
        <f>Rates!A36</f>
        <v>Rate Rider for Deferral/Variance Account Disposition - effective until May 31, 2013</v>
      </c>
      <c r="B7" s="28" t="str">
        <f>Rates!B36</f>
        <v>$/kWh</v>
      </c>
      <c r="C7" s="31">
        <f>Rates!D36</f>
        <v>4.4999999999999997E-3</v>
      </c>
      <c r="D7" s="32">
        <f>Rates!F36</f>
        <v>4.4999999999999997E-3</v>
      </c>
    </row>
    <row r="8" spans="1:4">
      <c r="A8" s="27" t="str">
        <f>Rates!A37</f>
        <v>Rate Rider for Deferral/Variance Account Disposition - effective until November 30, 2015</v>
      </c>
      <c r="B8" s="28" t="str">
        <f>Rates!B37</f>
        <v>$/kWh</v>
      </c>
      <c r="C8" s="31">
        <f>Rates!D37</f>
        <v>3.0700000000000002E-2</v>
      </c>
      <c r="D8" s="32">
        <f>Rates!F37</f>
        <v>3.0700000000000002E-2</v>
      </c>
    </row>
    <row r="9" spans="1:4">
      <c r="A9" s="27" t="str">
        <f>Rates!A38</f>
        <v>Rate Rider for Tax Changes - effective until December 31, 2012</v>
      </c>
      <c r="B9" s="28" t="str">
        <f>Rates!B38</f>
        <v>$/kWh</v>
      </c>
      <c r="C9" s="31">
        <f>Rates!D38</f>
        <v>0</v>
      </c>
      <c r="D9" s="32">
        <f>Rates!F38</f>
        <v>-2.0000000000000001E-4</v>
      </c>
    </row>
    <row r="10" spans="1:4">
      <c r="A10" s="27" t="str">
        <f>Rates!A39</f>
        <v>Retail Transmission Rate - Network Service Rate</v>
      </c>
      <c r="B10" s="28" t="str">
        <f>Rates!B39</f>
        <v>$/kWh</v>
      </c>
      <c r="C10" s="31">
        <f>Rates!D39</f>
        <v>5.7000000000000002E-3</v>
      </c>
      <c r="D10" s="32">
        <f>Rates!F39</f>
        <v>6.1999999999999998E-3</v>
      </c>
    </row>
    <row r="11" spans="1:4">
      <c r="A11" s="27" t="str">
        <f>Rates!A40</f>
        <v>Retail Transmission Rate - Line and Transformation Connection Service Rate</v>
      </c>
      <c r="B11" s="28" t="str">
        <f>Rates!B40</f>
        <v>$/kWh</v>
      </c>
      <c r="C11" s="31">
        <f>Rates!D40</f>
        <v>4.7000000000000002E-3</v>
      </c>
      <c r="D11" s="32">
        <f>Rates!F40</f>
        <v>4.8999999999999998E-3</v>
      </c>
    </row>
    <row r="12" spans="1:4">
      <c r="A12" s="27" t="str">
        <f>Rates!A41</f>
        <v>Wholesale Market Service Rate</v>
      </c>
      <c r="B12" s="28" t="str">
        <f>Rates!B41</f>
        <v>$/kWh</v>
      </c>
      <c r="C12" s="31">
        <f>Rates!D41</f>
        <v>5.1999999999999998E-3</v>
      </c>
      <c r="D12" s="32">
        <f>Rates!F41</f>
        <v>5.1999999999999998E-3</v>
      </c>
    </row>
    <row r="13" spans="1:4">
      <c r="A13" s="27" t="str">
        <f>Rates!A42</f>
        <v>Rural Rate Protection Charge</v>
      </c>
      <c r="B13" s="28" t="str">
        <f>Rates!B42</f>
        <v>$/kWh</v>
      </c>
      <c r="C13" s="31">
        <f>Rates!D42</f>
        <v>1.2999999999999999E-3</v>
      </c>
      <c r="D13" s="32">
        <f>Rates!F42</f>
        <v>1.2999999999999999E-3</v>
      </c>
    </row>
    <row r="14" spans="1:4">
      <c r="A14" s="27" t="str">
        <f>Rates!A43</f>
        <v>Special Purpose Charge</v>
      </c>
      <c r="B14" s="28" t="str">
        <f>Rates!B43</f>
        <v>$/kWh</v>
      </c>
      <c r="C14" s="31">
        <f>Rates!D43</f>
        <v>0</v>
      </c>
      <c r="D14" s="32">
        <f>Rates!F43</f>
        <v>0</v>
      </c>
    </row>
    <row r="15" spans="1:4" ht="12.75" thickBot="1">
      <c r="A15" s="12" t="str">
        <f>Rates!A44</f>
        <v>Standard Supply Service - Administarive Charge (if applicable)</v>
      </c>
      <c r="B15" s="17" t="str">
        <f>Rates!B44</f>
        <v>$</v>
      </c>
      <c r="C15" s="18">
        <f>Rates!D44</f>
        <v>0.25</v>
      </c>
      <c r="D15" s="13">
        <f>Rates!F44</f>
        <v>0.25</v>
      </c>
    </row>
    <row r="17" spans="1:10" ht="12.75" thickBot="1"/>
    <row r="18" spans="1:10" ht="13.5" thickBot="1">
      <c r="A18" s="33" t="s">
        <v>26</v>
      </c>
      <c r="B18" s="34">
        <v>287</v>
      </c>
      <c r="C18" s="35" t="s">
        <v>27</v>
      </c>
      <c r="D18" s="36"/>
      <c r="E18" s="35" t="s">
        <v>28</v>
      </c>
      <c r="G18" s="37" t="s">
        <v>23</v>
      </c>
      <c r="H18" s="53">
        <f>Rates!F66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33" t="str">
        <f>A3</f>
        <v>Seasonal</v>
      </c>
      <c r="B21" s="135" t="s">
        <v>31</v>
      </c>
      <c r="C21" s="49" t="s">
        <v>37</v>
      </c>
      <c r="D21" s="49" t="s">
        <v>38</v>
      </c>
      <c r="E21" s="135" t="s">
        <v>31</v>
      </c>
      <c r="F21" s="49" t="s">
        <v>37</v>
      </c>
      <c r="G21" s="49" t="s">
        <v>38</v>
      </c>
      <c r="H21" s="137" t="s">
        <v>44</v>
      </c>
      <c r="I21" s="137"/>
      <c r="J21" s="138"/>
    </row>
    <row r="22" spans="1:10" ht="12.75" thickBot="1">
      <c r="A22" s="134"/>
      <c r="B22" s="136"/>
      <c r="C22" s="50" t="s">
        <v>15</v>
      </c>
      <c r="D22" s="50" t="s">
        <v>15</v>
      </c>
      <c r="E22" s="136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IF(B18*Rates!D66&gt;B19,B19,B18*Rates!D66)</f>
        <v>311.79680000000002</v>
      </c>
      <c r="C23" s="56">
        <f>Rates!D61</f>
        <v>6.8000000000000005E-2</v>
      </c>
      <c r="D23" s="58">
        <f>B23*C23</f>
        <v>21.202182400000002</v>
      </c>
      <c r="E23" s="55">
        <f>IF(B18*H18&gt;B19,B19,B18*H18)</f>
        <v>311.79680000000002</v>
      </c>
      <c r="F23" s="56">
        <f>Rates!F61</f>
        <v>6.8000000000000005E-2</v>
      </c>
      <c r="G23" s="58">
        <f>E23*F23</f>
        <v>21.202182400000002</v>
      </c>
      <c r="H23" s="58">
        <f t="shared" ref="H23:H45" si="0">G23-D23</f>
        <v>0</v>
      </c>
      <c r="I23" s="59">
        <f>IF(ISERROR(H23/D23),1,H23/D23)</f>
        <v>0</v>
      </c>
      <c r="J23" s="60">
        <f t="shared" ref="J23:J45" si="1">IF(ISERROR(G23/G$45),0,G23/G$45)</f>
        <v>0.20189023535231174</v>
      </c>
    </row>
    <row r="24" spans="1:10" ht="12.75" thickBot="1">
      <c r="A24" s="63" t="s">
        <v>36</v>
      </c>
      <c r="B24" s="64">
        <f>IF(B18*Rates!D66&gt;=B19,B18*Rates!D66-B19,0)</f>
        <v>0</v>
      </c>
      <c r="C24" s="65">
        <f>Rates!D62</f>
        <v>7.9000000000000001E-2</v>
      </c>
      <c r="D24" s="66">
        <f>B24*C24</f>
        <v>0</v>
      </c>
      <c r="E24" s="64">
        <f>IF(B18*H18&gt;=B19,B18*H18-B19,0)</f>
        <v>0</v>
      </c>
      <c r="F24" s="65">
        <f>Rates!F62</f>
        <v>7.9000000000000001E-2</v>
      </c>
      <c r="G24" s="66">
        <f>E24*F24</f>
        <v>0</v>
      </c>
      <c r="H24" s="66">
        <f t="shared" si="0"/>
        <v>0</v>
      </c>
      <c r="I24" s="67">
        <f>IF(ISERROR(H24/D24),0,H24/D24)</f>
        <v>0</v>
      </c>
      <c r="J24" s="68">
        <f t="shared" si="1"/>
        <v>0</v>
      </c>
    </row>
    <row r="25" spans="1:10" ht="12.75" thickBot="1">
      <c r="A25" s="73" t="s">
        <v>39</v>
      </c>
      <c r="B25" s="74"/>
      <c r="C25" s="75"/>
      <c r="D25" s="76">
        <f>SUM(D23:D24)</f>
        <v>21.202182400000002</v>
      </c>
      <c r="E25" s="75"/>
      <c r="F25" s="75"/>
      <c r="G25" s="76">
        <f>SUM(G23:G24)</f>
        <v>21.202182400000002</v>
      </c>
      <c r="H25" s="76">
        <f t="shared" si="0"/>
        <v>0</v>
      </c>
      <c r="I25" s="77">
        <f>IF(ISERROR(H25/D25),0,H25/D25)</f>
        <v>0</v>
      </c>
      <c r="J25" s="78">
        <f t="shared" si="1"/>
        <v>0.20189023535231174</v>
      </c>
    </row>
    <row r="26" spans="1:10">
      <c r="A26" s="69" t="str">
        <f t="shared" ref="A26:A31" si="2">A4</f>
        <v>Monthly Service Charge</v>
      </c>
      <c r="B26" s="70">
        <v>1</v>
      </c>
      <c r="C26" s="46">
        <f t="shared" ref="C26:C31" si="3">C4</f>
        <v>26.07</v>
      </c>
      <c r="D26" s="46">
        <f t="shared" ref="D26:D31" si="4">B26*C26</f>
        <v>26.07</v>
      </c>
      <c r="E26" s="71">
        <f>B26</f>
        <v>1</v>
      </c>
      <c r="F26" s="47">
        <f t="shared" ref="F26:F31" si="5">D4</f>
        <v>25.85</v>
      </c>
      <c r="G26" s="47">
        <f t="shared" ref="G26:G31" si="6">E26*F26</f>
        <v>25.85</v>
      </c>
      <c r="H26" s="47">
        <f t="shared" si="0"/>
        <v>-0.21999999999999886</v>
      </c>
      <c r="I26" s="48">
        <f>IF(ISERROR(H26/D26),0,H26/D26)</f>
        <v>-8.4388185654007998E-3</v>
      </c>
      <c r="J26" s="72">
        <f t="shared" si="1"/>
        <v>0.2461474241376802</v>
      </c>
    </row>
    <row r="27" spans="1:10">
      <c r="A27" s="61" t="str">
        <f t="shared" si="2"/>
        <v>Smart Meter Rate Adder</v>
      </c>
      <c r="B27" s="43">
        <f>B26</f>
        <v>1</v>
      </c>
      <c r="C27" s="41">
        <f t="shared" si="3"/>
        <v>1</v>
      </c>
      <c r="D27" s="41">
        <f t="shared" si="4"/>
        <v>1</v>
      </c>
      <c r="E27" s="43">
        <f>B27</f>
        <v>1</v>
      </c>
      <c r="F27" s="41">
        <f t="shared" si="5"/>
        <v>1</v>
      </c>
      <c r="G27" s="41">
        <f t="shared" si="6"/>
        <v>1</v>
      </c>
      <c r="H27" s="41">
        <f t="shared" si="0"/>
        <v>0</v>
      </c>
      <c r="I27" s="42">
        <f>IF(ISERROR(H27/D27),1,H27/D27)</f>
        <v>0</v>
      </c>
      <c r="J27" s="62">
        <f t="shared" si="1"/>
        <v>9.5221440672216707E-3</v>
      </c>
    </row>
    <row r="28" spans="1:10">
      <c r="A28" s="61" t="str">
        <f t="shared" si="2"/>
        <v>Distribution Volumetric Rate</v>
      </c>
      <c r="B28" s="43">
        <f>B18</f>
        <v>287</v>
      </c>
      <c r="C28" s="40">
        <f t="shared" si="3"/>
        <v>0.10009999999999999</v>
      </c>
      <c r="D28" s="41">
        <f t="shared" si="4"/>
        <v>28.7287</v>
      </c>
      <c r="E28" s="43">
        <f>B18</f>
        <v>287</v>
      </c>
      <c r="F28" s="40">
        <f t="shared" si="5"/>
        <v>9.9400000000000002E-2</v>
      </c>
      <c r="G28" s="41">
        <f t="shared" si="6"/>
        <v>28.527799999999999</v>
      </c>
      <c r="H28" s="41">
        <f t="shared" si="0"/>
        <v>-0.20090000000000074</v>
      </c>
      <c r="I28" s="42">
        <f t="shared" ref="I28:I45" si="7">IF(ISERROR(H28/D28),0,H28/D28)</f>
        <v>-6.993006993007019E-3</v>
      </c>
      <c r="J28" s="62">
        <f t="shared" si="1"/>
        <v>0.27164582152088634</v>
      </c>
    </row>
    <row r="29" spans="1:10">
      <c r="A29" s="61" t="str">
        <f t="shared" si="2"/>
        <v>Rate Rider for Deferral/Variance Account Disposition - effective until May 31, 2013</v>
      </c>
      <c r="B29" s="43">
        <f>B18</f>
        <v>287</v>
      </c>
      <c r="C29" s="40">
        <f t="shared" si="3"/>
        <v>4.4999999999999997E-3</v>
      </c>
      <c r="D29" s="41">
        <f t="shared" si="4"/>
        <v>1.2914999999999999</v>
      </c>
      <c r="E29" s="43">
        <f>B18</f>
        <v>287</v>
      </c>
      <c r="F29" s="40">
        <f t="shared" si="5"/>
        <v>4.4999999999999997E-3</v>
      </c>
      <c r="G29" s="41">
        <f t="shared" si="6"/>
        <v>1.2914999999999999</v>
      </c>
      <c r="H29" s="41">
        <f t="shared" si="0"/>
        <v>0</v>
      </c>
      <c r="I29" s="42">
        <f t="shared" si="7"/>
        <v>0</v>
      </c>
      <c r="J29" s="62">
        <f t="shared" si="1"/>
        <v>1.2297849062816786E-2</v>
      </c>
    </row>
    <row r="30" spans="1:10">
      <c r="A30" s="61" t="str">
        <f t="shared" si="2"/>
        <v>Rate Rider for Deferral/Variance Account Disposition - effective until November 30, 2015</v>
      </c>
      <c r="B30" s="43">
        <f>B18</f>
        <v>287</v>
      </c>
      <c r="C30" s="40">
        <f t="shared" si="3"/>
        <v>3.0700000000000002E-2</v>
      </c>
      <c r="D30" s="41">
        <f t="shared" si="4"/>
        <v>8.8109000000000002</v>
      </c>
      <c r="E30" s="43">
        <f>B18</f>
        <v>287</v>
      </c>
      <c r="F30" s="40">
        <f t="shared" si="5"/>
        <v>3.0700000000000002E-2</v>
      </c>
      <c r="G30" s="41">
        <f t="shared" si="6"/>
        <v>8.8109000000000002</v>
      </c>
      <c r="H30" s="41">
        <f t="shared" si="0"/>
        <v>0</v>
      </c>
      <c r="I30" s="42">
        <f t="shared" si="7"/>
        <v>0</v>
      </c>
      <c r="J30" s="62">
        <f t="shared" si="1"/>
        <v>8.3898659161883424E-2</v>
      </c>
    </row>
    <row r="31" spans="1:10" ht="12.75" thickBot="1">
      <c r="A31" s="61" t="str">
        <f t="shared" si="2"/>
        <v>Rate Rider for Tax Changes - effective until December 31, 2012</v>
      </c>
      <c r="B31" s="43">
        <f>B18</f>
        <v>287</v>
      </c>
      <c r="C31" s="40">
        <f t="shared" si="3"/>
        <v>0</v>
      </c>
      <c r="D31" s="41">
        <f t="shared" si="4"/>
        <v>0</v>
      </c>
      <c r="E31" s="43">
        <f>B18</f>
        <v>287</v>
      </c>
      <c r="F31" s="40">
        <f t="shared" si="5"/>
        <v>-2.0000000000000001E-4</v>
      </c>
      <c r="G31" s="41">
        <f t="shared" si="6"/>
        <v>-5.74E-2</v>
      </c>
      <c r="H31" s="41">
        <f t="shared" si="0"/>
        <v>-5.74E-2</v>
      </c>
      <c r="I31" s="42">
        <f t="shared" si="7"/>
        <v>0</v>
      </c>
      <c r="J31" s="62">
        <f t="shared" si="1"/>
        <v>-5.4657106945852393E-4</v>
      </c>
    </row>
    <row r="32" spans="1:10" ht="12.75" thickBot="1">
      <c r="A32" s="73" t="s">
        <v>40</v>
      </c>
      <c r="B32" s="74"/>
      <c r="C32" s="75"/>
      <c r="D32" s="76">
        <f>SUM(D26:D31)</f>
        <v>65.9011</v>
      </c>
      <c r="E32" s="75"/>
      <c r="F32" s="75"/>
      <c r="G32" s="76">
        <f>SUM(G26:G31)</f>
        <v>65.422799999999995</v>
      </c>
      <c r="H32" s="76">
        <f t="shared" si="0"/>
        <v>-0.47830000000000439</v>
      </c>
      <c r="I32" s="77">
        <f t="shared" si="7"/>
        <v>-7.2578454684368602E-3</v>
      </c>
      <c r="J32" s="78">
        <f t="shared" si="1"/>
        <v>0.6229653268810299</v>
      </c>
    </row>
    <row r="33" spans="1:10">
      <c r="A33" s="69" t="str">
        <f>A10</f>
        <v>Retail Transmission Rate - Network Service Rate</v>
      </c>
      <c r="B33" s="44">
        <f>B18*Rates!D66</f>
        <v>311.79680000000002</v>
      </c>
      <c r="C33" s="45">
        <f>C10</f>
        <v>5.7000000000000002E-3</v>
      </c>
      <c r="D33" s="47">
        <f>B33*C33</f>
        <v>1.7772417600000001</v>
      </c>
      <c r="E33" s="44">
        <f>B18*H18</f>
        <v>311.79680000000002</v>
      </c>
      <c r="F33" s="45">
        <f>D10</f>
        <v>6.1999999999999998E-3</v>
      </c>
      <c r="G33" s="47">
        <f>E33*F33</f>
        <v>1.93314016</v>
      </c>
      <c r="H33" s="47">
        <f t="shared" si="0"/>
        <v>0.15589839999999988</v>
      </c>
      <c r="I33" s="48">
        <f t="shared" si="7"/>
        <v>8.7719298245613961E-2</v>
      </c>
      <c r="J33" s="72">
        <f t="shared" si="1"/>
        <v>1.8407639105651952E-2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B18*Rates!D66</f>
        <v>311.79680000000002</v>
      </c>
      <c r="C34" s="65">
        <f>C11</f>
        <v>4.7000000000000002E-3</v>
      </c>
      <c r="D34" s="66">
        <f>B34*C34</f>
        <v>1.4654449600000001</v>
      </c>
      <c r="E34" s="64">
        <f>B18*H18</f>
        <v>311.79680000000002</v>
      </c>
      <c r="F34" s="65">
        <f>D11</f>
        <v>4.8999999999999998E-3</v>
      </c>
      <c r="G34" s="66">
        <f>E34*F34</f>
        <v>1.52780432</v>
      </c>
      <c r="H34" s="66">
        <f t="shared" si="0"/>
        <v>6.2359359999999864E-2</v>
      </c>
      <c r="I34" s="67">
        <f t="shared" si="7"/>
        <v>4.2553191489361604E-2</v>
      </c>
      <c r="J34" s="68">
        <f t="shared" si="1"/>
        <v>1.4547972841563639E-2</v>
      </c>
    </row>
    <row r="35" spans="1:10" ht="12.75" thickBot="1">
      <c r="A35" s="73" t="s">
        <v>32</v>
      </c>
      <c r="B35" s="74"/>
      <c r="C35" s="75"/>
      <c r="D35" s="76">
        <f>SUM(D33:D34)</f>
        <v>3.24268672</v>
      </c>
      <c r="E35" s="75"/>
      <c r="F35" s="75"/>
      <c r="G35" s="76">
        <f>SUM(G33:G34)</f>
        <v>3.4609444800000002</v>
      </c>
      <c r="H35" s="76">
        <f t="shared" si="0"/>
        <v>0.21825776000000019</v>
      </c>
      <c r="I35" s="77">
        <f t="shared" si="7"/>
        <v>6.730769230769236E-2</v>
      </c>
      <c r="J35" s="78">
        <f t="shared" si="1"/>
        <v>3.2955611947215593E-2</v>
      </c>
    </row>
    <row r="36" spans="1:10" ht="12.75" thickBot="1">
      <c r="A36" s="81" t="s">
        <v>41</v>
      </c>
      <c r="B36" s="82"/>
      <c r="C36" s="83"/>
      <c r="D36" s="84">
        <f>D32+D35</f>
        <v>69.143786719999994</v>
      </c>
      <c r="E36" s="83"/>
      <c r="F36" s="83"/>
      <c r="G36" s="84">
        <f>G32+G35</f>
        <v>68.88374447999999</v>
      </c>
      <c r="H36" s="84">
        <f t="shared" si="0"/>
        <v>-0.2600422400000042</v>
      </c>
      <c r="I36" s="85">
        <f t="shared" si="7"/>
        <v>-3.7608909250668276E-3</v>
      </c>
      <c r="J36" s="86">
        <f t="shared" si="1"/>
        <v>0.65592093882824543</v>
      </c>
    </row>
    <row r="37" spans="1:10">
      <c r="A37" s="69" t="str">
        <f>A12</f>
        <v>Wholesale Market Service Rate</v>
      </c>
      <c r="B37" s="44">
        <f>B18*Rates!D66</f>
        <v>311.79680000000002</v>
      </c>
      <c r="C37" s="45">
        <f>C12</f>
        <v>5.1999999999999998E-3</v>
      </c>
      <c r="D37" s="47">
        <f>B37*C37</f>
        <v>1.62134336</v>
      </c>
      <c r="E37" s="44">
        <f>B18*H18</f>
        <v>311.79680000000002</v>
      </c>
      <c r="F37" s="45">
        <f>D12</f>
        <v>5.1999999999999998E-3</v>
      </c>
      <c r="G37" s="47">
        <f>E37*F37</f>
        <v>1.62134336</v>
      </c>
      <c r="H37" s="47">
        <f t="shared" si="0"/>
        <v>0</v>
      </c>
      <c r="I37" s="48">
        <f t="shared" si="7"/>
        <v>0</v>
      </c>
      <c r="J37" s="72">
        <f t="shared" si="1"/>
        <v>1.5438665056353249E-2</v>
      </c>
    </row>
    <row r="38" spans="1:10">
      <c r="A38" s="61" t="str">
        <f>A13</f>
        <v>Rural Rate Protection Charge</v>
      </c>
      <c r="B38" s="39">
        <f>B18*Rates!D66</f>
        <v>311.79680000000002</v>
      </c>
      <c r="C38" s="40">
        <f>C13</f>
        <v>1.2999999999999999E-3</v>
      </c>
      <c r="D38" s="41">
        <f>B38*C38</f>
        <v>0.40533584</v>
      </c>
      <c r="E38" s="39">
        <f>B18*H18</f>
        <v>311.79680000000002</v>
      </c>
      <c r="F38" s="40">
        <f>D13</f>
        <v>1.2999999999999999E-3</v>
      </c>
      <c r="G38" s="41">
        <f>E38*F38</f>
        <v>0.40533584</v>
      </c>
      <c r="H38" s="41">
        <f t="shared" si="0"/>
        <v>0</v>
      </c>
      <c r="I38" s="42">
        <f t="shared" si="7"/>
        <v>0</v>
      </c>
      <c r="J38" s="62">
        <f t="shared" si="1"/>
        <v>3.8596662640883123E-3</v>
      </c>
    </row>
    <row r="39" spans="1:10">
      <c r="A39" s="63" t="s">
        <v>45</v>
      </c>
      <c r="B39" s="64">
        <f>B18*Rates!D66</f>
        <v>311.79680000000002</v>
      </c>
      <c r="C39" s="65">
        <f>Rates!D43</f>
        <v>0</v>
      </c>
      <c r="D39" s="66">
        <f>B39*C39</f>
        <v>0</v>
      </c>
      <c r="E39" s="64">
        <f>B18*Rates!F66</f>
        <v>311.79680000000002</v>
      </c>
      <c r="F39" s="65">
        <f>Rates!F43</f>
        <v>0</v>
      </c>
      <c r="G39" s="66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0"/>
        <v>0</v>
      </c>
      <c r="I40" s="67">
        <f t="shared" si="7"/>
        <v>0</v>
      </c>
      <c r="J40" s="68">
        <f t="shared" si="1"/>
        <v>2.3805360168054177E-3</v>
      </c>
    </row>
    <row r="41" spans="1:10" ht="12.75" thickBot="1">
      <c r="A41" s="73" t="s">
        <v>42</v>
      </c>
      <c r="B41" s="74"/>
      <c r="C41" s="75"/>
      <c r="D41" s="76">
        <f>SUM(D37:D40)</f>
        <v>2.2766792000000002</v>
      </c>
      <c r="E41" s="75"/>
      <c r="F41" s="75"/>
      <c r="G41" s="76">
        <f>SUM(G37:G40)</f>
        <v>2.2766792000000002</v>
      </c>
      <c r="H41" s="76">
        <f t="shared" si="0"/>
        <v>0</v>
      </c>
      <c r="I41" s="77">
        <f t="shared" si="7"/>
        <v>0</v>
      </c>
      <c r="J41" s="78">
        <f t="shared" si="1"/>
        <v>2.1678867337246981E-2</v>
      </c>
    </row>
    <row r="42" spans="1:10" ht="12.75" thickBot="1">
      <c r="A42" s="87" t="s">
        <v>19</v>
      </c>
      <c r="B42" s="88">
        <f>B18</f>
        <v>287</v>
      </c>
      <c r="C42" s="89">
        <f>Rates!D60</f>
        <v>2E-3</v>
      </c>
      <c r="D42" s="90">
        <f>B42*C42</f>
        <v>0.57400000000000007</v>
      </c>
      <c r="E42" s="88">
        <f>B18</f>
        <v>287</v>
      </c>
      <c r="F42" s="89">
        <f>Rates!F60</f>
        <v>2E-3</v>
      </c>
      <c r="G42" s="90">
        <f>E42*F42</f>
        <v>0.57400000000000007</v>
      </c>
      <c r="H42" s="90">
        <f t="shared" si="0"/>
        <v>0</v>
      </c>
      <c r="I42" s="91">
        <f t="shared" si="7"/>
        <v>0</v>
      </c>
      <c r="J42" s="92">
        <f t="shared" si="1"/>
        <v>5.4657106945852395E-3</v>
      </c>
    </row>
    <row r="43" spans="1:10" ht="12.75" thickBot="1">
      <c r="A43" s="73" t="s">
        <v>43</v>
      </c>
      <c r="B43" s="74"/>
      <c r="C43" s="75"/>
      <c r="D43" s="76">
        <f>D25+D36+D41+D42</f>
        <v>93.196648319999994</v>
      </c>
      <c r="E43" s="75"/>
      <c r="F43" s="75"/>
      <c r="G43" s="76">
        <f>G25+G36+G41+G42</f>
        <v>92.93660607999999</v>
      </c>
      <c r="H43" s="76">
        <f t="shared" si="0"/>
        <v>-0.2600422400000042</v>
      </c>
      <c r="I43" s="77">
        <f t="shared" si="7"/>
        <v>-2.7902531334294683E-3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12.115564281599999</v>
      </c>
      <c r="E44" s="96"/>
      <c r="F44" s="95">
        <f>Rates!F67</f>
        <v>0.13</v>
      </c>
      <c r="G44" s="90">
        <f>F44*G43</f>
        <v>12.081758790399999</v>
      </c>
      <c r="H44" s="90">
        <f t="shared" si="0"/>
        <v>-3.3805491200000759E-2</v>
      </c>
      <c r="I44" s="91">
        <f t="shared" si="7"/>
        <v>-2.7902531334294861E-3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105.3122126016</v>
      </c>
      <c r="E45" s="83"/>
      <c r="F45" s="83"/>
      <c r="G45" s="104">
        <f>G43+G44</f>
        <v>105.01836487039999</v>
      </c>
      <c r="H45" s="104">
        <f t="shared" si="0"/>
        <v>-0.29384773120000318</v>
      </c>
      <c r="I45" s="85">
        <f t="shared" si="7"/>
        <v>-2.7902531334294536E-3</v>
      </c>
      <c r="J45" s="86">
        <f t="shared" si="1"/>
        <v>1</v>
      </c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J43"/>
  <sheetViews>
    <sheetView zoomScaleNormal="100" workbookViewId="0">
      <selection activeCell="B27" sqref="B27:I27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Rates!A46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2012</v>
      </c>
    </row>
    <row r="4" spans="1:4">
      <c r="A4" s="23" t="str">
        <f>Rates!A33</f>
        <v>Monthly Service Charge</v>
      </c>
      <c r="B4" s="24" t="str">
        <f>Rates!B47</f>
        <v>$</v>
      </c>
      <c r="C4" s="25">
        <f>Rates!D47</f>
        <v>0.96</v>
      </c>
      <c r="D4" s="26">
        <f>Rates!F47</f>
        <v>0.97</v>
      </c>
    </row>
    <row r="5" spans="1:4">
      <c r="A5" s="27" t="str">
        <f>Rates!A34</f>
        <v>Smart Meter Rate Adder</v>
      </c>
      <c r="B5" s="28" t="str">
        <f>Rates!B48</f>
        <v>$</v>
      </c>
      <c r="C5" s="29">
        <f>Rates!D48</f>
        <v>0</v>
      </c>
      <c r="D5" s="30">
        <f>Rates!F48</f>
        <v>0</v>
      </c>
    </row>
    <row r="6" spans="1:4">
      <c r="A6" s="27" t="str">
        <f>Rates!A35</f>
        <v>Distribution Volumetric Rate</v>
      </c>
      <c r="B6" s="28" t="str">
        <f>Rates!B49</f>
        <v>$/kWh</v>
      </c>
      <c r="C6" s="31">
        <f>Rates!D49</f>
        <v>0.1537</v>
      </c>
      <c r="D6" s="32">
        <f>Rates!F49</f>
        <v>0.18149999999999999</v>
      </c>
    </row>
    <row r="7" spans="1:4">
      <c r="A7" s="27" t="str">
        <f>Rates!A36</f>
        <v>Rate Rider for Deferral/Variance Account Disposition - effective until May 31, 2013</v>
      </c>
      <c r="B7" s="28" t="str">
        <f>Rates!B50</f>
        <v>$/kWh</v>
      </c>
      <c r="C7" s="31">
        <f>Rates!D50</f>
        <v>4.7000000000000002E-3</v>
      </c>
      <c r="D7" s="32">
        <f>Rates!F50</f>
        <v>4.7000000000000002E-3</v>
      </c>
    </row>
    <row r="8" spans="1:4">
      <c r="A8" s="27" t="str">
        <f>Rates!A38</f>
        <v>Rate Rider for Tax Changes - effective until December 31, 2012</v>
      </c>
      <c r="B8" s="28" t="str">
        <f>Rates!B51</f>
        <v>$/kWh</v>
      </c>
      <c r="C8" s="31">
        <f>Rates!D51</f>
        <v>0</v>
      </c>
      <c r="D8" s="32">
        <f>Rates!F51</f>
        <v>-2.0000000000000001E-4</v>
      </c>
    </row>
    <row r="9" spans="1:4">
      <c r="A9" s="27" t="str">
        <f>Rates!A39</f>
        <v>Retail Transmission Rate - Network Service Rate</v>
      </c>
      <c r="B9" s="28" t="str">
        <f>Rates!B52</f>
        <v>$/kW</v>
      </c>
      <c r="C9" s="31">
        <f>Rates!D52</f>
        <v>1.6002000000000001</v>
      </c>
      <c r="D9" s="32">
        <f>Rates!F52</f>
        <v>1.7349000000000001</v>
      </c>
    </row>
    <row r="10" spans="1:4">
      <c r="A10" s="27" t="str">
        <f>Rates!A40</f>
        <v>Retail Transmission Rate - Line and Transformation Connection Service Rate</v>
      </c>
      <c r="B10" s="28" t="str">
        <f>Rates!B53</f>
        <v>$/kW</v>
      </c>
      <c r="C10" s="31">
        <f>Rates!D53</f>
        <v>1.2859</v>
      </c>
      <c r="D10" s="32">
        <f>Rates!F53</f>
        <v>1.3491</v>
      </c>
    </row>
    <row r="11" spans="1:4">
      <c r="A11" s="27" t="str">
        <f>Rates!A41</f>
        <v>Wholesale Market Service Rate</v>
      </c>
      <c r="B11" s="28" t="str">
        <f>Rates!B54</f>
        <v>$/kWh</v>
      </c>
      <c r="C11" s="31">
        <f>Rates!D54</f>
        <v>5.1999999999999998E-3</v>
      </c>
      <c r="D11" s="32">
        <f>Rates!F54</f>
        <v>5.1999999999999998E-3</v>
      </c>
    </row>
    <row r="12" spans="1:4">
      <c r="A12" s="27" t="str">
        <f>Rates!A42</f>
        <v>Rural Rate Protection Charge</v>
      </c>
      <c r="B12" s="28" t="str">
        <f>Rates!B55</f>
        <v>$/kWh</v>
      </c>
      <c r="C12" s="31">
        <f>Rates!D55</f>
        <v>1.2999999999999999E-3</v>
      </c>
      <c r="D12" s="32">
        <f>Rates!F55</f>
        <v>1.2999999999999999E-3</v>
      </c>
    </row>
    <row r="13" spans="1:4">
      <c r="A13" s="27" t="str">
        <f>Rates!A56</f>
        <v>Special Purpose Charge</v>
      </c>
      <c r="B13" s="28" t="str">
        <f>Rates!B56</f>
        <v>$/kWh</v>
      </c>
      <c r="C13" s="31">
        <f>Rates!D56</f>
        <v>0</v>
      </c>
      <c r="D13" s="32">
        <f>Rates!F56</f>
        <v>0</v>
      </c>
    </row>
    <row r="14" spans="1:4" ht="12.75" thickBot="1">
      <c r="A14" s="12" t="str">
        <f>Rates!A44</f>
        <v>Standard Supply Service - Administarive Charge (if applicable)</v>
      </c>
      <c r="B14" s="17" t="str">
        <f>Rates!B57</f>
        <v>$</v>
      </c>
      <c r="C14" s="18">
        <f>Rates!D57</f>
        <v>0.25</v>
      </c>
      <c r="D14" s="13">
        <f>Rates!F57</f>
        <v>0.25</v>
      </c>
    </row>
    <row r="16" spans="1:4" ht="12.75" thickBot="1"/>
    <row r="17" spans="1:10" ht="13.5" thickBot="1">
      <c r="A17" s="33" t="s">
        <v>26</v>
      </c>
      <c r="B17" s="34">
        <v>25000</v>
      </c>
      <c r="C17" s="35" t="s">
        <v>27</v>
      </c>
      <c r="D17" s="36">
        <v>71.459999999999994</v>
      </c>
      <c r="E17" s="35" t="s">
        <v>28</v>
      </c>
      <c r="G17" s="37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98">
        <f>IF(D17&gt;0,B17/(D17*24*30.4)," ")</f>
        <v>0.47950393055125928</v>
      </c>
    </row>
    <row r="19" spans="1:10" ht="12.75" thickBot="1"/>
    <row r="20" spans="1:10" ht="12.75" customHeight="1">
      <c r="A20" s="133" t="str">
        <f>A3</f>
        <v>Street Lighting</v>
      </c>
      <c r="B20" s="135" t="s">
        <v>31</v>
      </c>
      <c r="C20" s="49" t="s">
        <v>37</v>
      </c>
      <c r="D20" s="49" t="s">
        <v>38</v>
      </c>
      <c r="E20" s="135" t="s">
        <v>31</v>
      </c>
      <c r="F20" s="49" t="s">
        <v>37</v>
      </c>
      <c r="G20" s="49" t="s">
        <v>38</v>
      </c>
      <c r="H20" s="137" t="s">
        <v>44</v>
      </c>
      <c r="I20" s="137"/>
      <c r="J20" s="138"/>
    </row>
    <row r="21" spans="1:10" ht="12.75" thickBot="1">
      <c r="A21" s="134"/>
      <c r="B21" s="136"/>
      <c r="C21" s="50" t="s">
        <v>15</v>
      </c>
      <c r="D21" s="50" t="s">
        <v>15</v>
      </c>
      <c r="E21" s="136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6.8000000000000005E-2</v>
      </c>
      <c r="D22" s="58">
        <f>B22*C22</f>
        <v>51.000000000000007</v>
      </c>
      <c r="E22" s="55">
        <f>IF(B17*H17&gt;B18,B18,B17*H17)</f>
        <v>750</v>
      </c>
      <c r="F22" s="56">
        <f>Rates!F61</f>
        <v>6.8000000000000005E-2</v>
      </c>
      <c r="G22" s="58">
        <f>E22*F22</f>
        <v>51.000000000000007</v>
      </c>
      <c r="H22" s="58">
        <f t="shared" ref="H22:H43" si="0">G22-D22</f>
        <v>0</v>
      </c>
      <c r="I22" s="59">
        <f>IF(ISERROR(H22/D22),1,H22/D22)</f>
        <v>0</v>
      </c>
      <c r="J22" s="60">
        <f t="shared" ref="J22:J43" si="1">IF(ISERROR(G22/G$43),0,G22/G$43)</f>
        <v>5.8044709460514021E-3</v>
      </c>
    </row>
    <row r="23" spans="1:10" ht="12.75" thickBot="1">
      <c r="A23" s="63" t="s">
        <v>36</v>
      </c>
      <c r="B23" s="64">
        <f>IF(B17*Rates!D66&gt;=B18,B17*Rates!D66-B18,0)</f>
        <v>26410</v>
      </c>
      <c r="C23" s="65">
        <f>Rates!D62</f>
        <v>7.9000000000000001E-2</v>
      </c>
      <c r="D23" s="66">
        <f>B23*C23</f>
        <v>2086.39</v>
      </c>
      <c r="E23" s="64">
        <f>IF(B17*H17&gt;=B18,B17*H17-B18,0)</f>
        <v>26410</v>
      </c>
      <c r="F23" s="65">
        <f>Rates!F62</f>
        <v>7.9000000000000001E-2</v>
      </c>
      <c r="G23" s="66">
        <f>E23*F23</f>
        <v>2086.39</v>
      </c>
      <c r="H23" s="66">
        <f t="shared" si="0"/>
        <v>0</v>
      </c>
      <c r="I23" s="67">
        <f>IF(ISERROR(H23/D23),0,H23/D23)</f>
        <v>0</v>
      </c>
      <c r="J23" s="68">
        <f t="shared" si="1"/>
        <v>0.23745863013984669</v>
      </c>
    </row>
    <row r="24" spans="1:10" ht="12.75" thickBot="1">
      <c r="A24" s="73" t="s">
        <v>39</v>
      </c>
      <c r="B24" s="74"/>
      <c r="C24" s="75"/>
      <c r="D24" s="76">
        <f>SUM(D22:D23)</f>
        <v>2137.39</v>
      </c>
      <c r="E24" s="75"/>
      <c r="F24" s="75"/>
      <c r="G24" s="76">
        <f>SUM(G22:G23)</f>
        <v>2137.39</v>
      </c>
      <c r="H24" s="76">
        <f t="shared" si="0"/>
        <v>0</v>
      </c>
      <c r="I24" s="77">
        <f>IF(ISERROR(H24/D24),0,H24/D24)</f>
        <v>0</v>
      </c>
      <c r="J24" s="78">
        <f t="shared" si="1"/>
        <v>0.2432631010858981</v>
      </c>
    </row>
    <row r="25" spans="1:10">
      <c r="A25" s="69" t="str">
        <f>A4</f>
        <v>Monthly Service Charge</v>
      </c>
      <c r="B25" s="70">
        <v>428</v>
      </c>
      <c r="C25" s="46">
        <f>C4</f>
        <v>0.96</v>
      </c>
      <c r="D25" s="46">
        <f t="shared" ref="D25:D29" si="2">B25*C25</f>
        <v>410.88</v>
      </c>
      <c r="E25" s="71">
        <f>B25</f>
        <v>428</v>
      </c>
      <c r="F25" s="47">
        <f>D4</f>
        <v>0.97</v>
      </c>
      <c r="G25" s="47">
        <f t="shared" ref="G25:G29" si="3">E25*F25</f>
        <v>415.15999999999997</v>
      </c>
      <c r="H25" s="47">
        <f t="shared" si="0"/>
        <v>4.2799999999999727</v>
      </c>
      <c r="I25" s="48">
        <f>IF(ISERROR(H25/D25),0,H25/D25)</f>
        <v>1.04166666666666E-2</v>
      </c>
      <c r="J25" s="72">
        <f t="shared" si="1"/>
        <v>4.7250669763974497E-2</v>
      </c>
    </row>
    <row r="26" spans="1:10">
      <c r="A26" s="61" t="str">
        <f>A5</f>
        <v>Smart Meter Rate Adder</v>
      </c>
      <c r="B26" s="43">
        <f>B25</f>
        <v>428</v>
      </c>
      <c r="C26" s="41">
        <f>C5</f>
        <v>0</v>
      </c>
      <c r="D26" s="41">
        <f t="shared" si="2"/>
        <v>0</v>
      </c>
      <c r="E26" s="43">
        <f>B26</f>
        <v>428</v>
      </c>
      <c r="F26" s="41">
        <f>D5</f>
        <v>0</v>
      </c>
      <c r="G26" s="41">
        <f t="shared" si="3"/>
        <v>0</v>
      </c>
      <c r="H26" s="41">
        <f t="shared" si="0"/>
        <v>0</v>
      </c>
      <c r="I26" s="42">
        <f>IF(ISERROR(H26/D26),0,H26/D26)</f>
        <v>0</v>
      </c>
      <c r="J26" s="62">
        <f t="shared" si="1"/>
        <v>0</v>
      </c>
    </row>
    <row r="27" spans="1:10">
      <c r="A27" s="61" t="str">
        <f>A6</f>
        <v>Distribution Volumetric Rate</v>
      </c>
      <c r="B27" s="43">
        <f>B17</f>
        <v>25000</v>
      </c>
      <c r="C27" s="40">
        <f>C6</f>
        <v>0.1537</v>
      </c>
      <c r="D27" s="41">
        <f t="shared" si="2"/>
        <v>3842.5</v>
      </c>
      <c r="E27" s="43">
        <f>B17</f>
        <v>25000</v>
      </c>
      <c r="F27" s="40">
        <f>D6</f>
        <v>0.18149999999999999</v>
      </c>
      <c r="G27" s="41">
        <f t="shared" si="3"/>
        <v>4537.5</v>
      </c>
      <c r="H27" s="41">
        <f t="shared" si="0"/>
        <v>695</v>
      </c>
      <c r="I27" s="42">
        <f t="shared" ref="I27:I43" si="4">IF(ISERROR(H27/D27),0,H27/D27)</f>
        <v>0.18087182823682499</v>
      </c>
      <c r="J27" s="62">
        <f t="shared" si="1"/>
        <v>0.51642719446486729</v>
      </c>
    </row>
    <row r="28" spans="1:10">
      <c r="A28" s="61" t="str">
        <f>A7</f>
        <v>Rate Rider for Deferral/Variance Account Disposition - effective until May 31, 2013</v>
      </c>
      <c r="B28" s="43">
        <f>B17</f>
        <v>25000</v>
      </c>
      <c r="C28" s="40">
        <f>C7</f>
        <v>4.7000000000000002E-3</v>
      </c>
      <c r="D28" s="41">
        <f t="shared" si="2"/>
        <v>117.5</v>
      </c>
      <c r="E28" s="43">
        <f>B17</f>
        <v>25000</v>
      </c>
      <c r="F28" s="40">
        <f>D7</f>
        <v>4.7000000000000002E-3</v>
      </c>
      <c r="G28" s="41">
        <f t="shared" si="3"/>
        <v>117.5</v>
      </c>
      <c r="H28" s="41">
        <f t="shared" si="0"/>
        <v>0</v>
      </c>
      <c r="I28" s="42">
        <f t="shared" si="4"/>
        <v>0</v>
      </c>
      <c r="J28" s="62">
        <f t="shared" si="1"/>
        <v>1.3373045807079207E-2</v>
      </c>
    </row>
    <row r="29" spans="1:10" ht="12.75" thickBot="1">
      <c r="A29" s="61" t="str">
        <f>A8</f>
        <v>Rate Rider for Tax Changes - effective until December 31, 2012</v>
      </c>
      <c r="B29" s="43">
        <f>B17</f>
        <v>25000</v>
      </c>
      <c r="C29" s="40">
        <f>C8</f>
        <v>0</v>
      </c>
      <c r="D29" s="41">
        <f t="shared" si="2"/>
        <v>0</v>
      </c>
      <c r="E29" s="43">
        <f>B17</f>
        <v>25000</v>
      </c>
      <c r="F29" s="40">
        <f>D8</f>
        <v>-2.0000000000000001E-4</v>
      </c>
      <c r="G29" s="41">
        <f t="shared" si="3"/>
        <v>-5</v>
      </c>
      <c r="H29" s="41">
        <f t="shared" si="0"/>
        <v>-5</v>
      </c>
      <c r="I29" s="42">
        <f t="shared" si="4"/>
        <v>0</v>
      </c>
      <c r="J29" s="62">
        <f t="shared" si="1"/>
        <v>-5.690657790246472E-4</v>
      </c>
    </row>
    <row r="30" spans="1:10" ht="12.75" thickBot="1">
      <c r="A30" s="73" t="s">
        <v>40</v>
      </c>
      <c r="B30" s="74"/>
      <c r="C30" s="75"/>
      <c r="D30" s="76">
        <f>SUM(D25:D29)</f>
        <v>4370.88</v>
      </c>
      <c r="E30" s="75"/>
      <c r="F30" s="75"/>
      <c r="G30" s="76">
        <f>SUM(G25:G29)</f>
        <v>5065.16</v>
      </c>
      <c r="H30" s="76">
        <f t="shared" si="0"/>
        <v>694.27999999999975</v>
      </c>
      <c r="I30" s="77">
        <f t="shared" si="4"/>
        <v>0.15884215535544324</v>
      </c>
      <c r="J30" s="78">
        <f t="shared" si="1"/>
        <v>0.5764818442568963</v>
      </c>
    </row>
    <row r="31" spans="1:10">
      <c r="A31" s="69" t="str">
        <f>A9</f>
        <v>Retail Transmission Rate - Network Service Rate</v>
      </c>
      <c r="B31" s="99">
        <f>D17*Rates!D66</f>
        <v>77.634143999999992</v>
      </c>
      <c r="C31" s="45">
        <f>C9</f>
        <v>1.6002000000000001</v>
      </c>
      <c r="D31" s="47">
        <f>B31*C31</f>
        <v>124.2301572288</v>
      </c>
      <c r="E31" s="99">
        <f>D17*H17</f>
        <v>77.634143999999992</v>
      </c>
      <c r="F31" s="45">
        <f>D9</f>
        <v>1.7349000000000001</v>
      </c>
      <c r="G31" s="47">
        <f>E31*F31</f>
        <v>134.68747642559998</v>
      </c>
      <c r="H31" s="47">
        <f t="shared" si="0"/>
        <v>10.457319196799986</v>
      </c>
      <c r="I31" s="48">
        <f t="shared" si="4"/>
        <v>8.4176977877765166E-2</v>
      </c>
      <c r="J31" s="72">
        <f t="shared" si="1"/>
        <v>1.5329206739399571E-2</v>
      </c>
    </row>
    <row r="32" spans="1:10" ht="12.75" thickBot="1">
      <c r="A32" s="63" t="str">
        <f>A10</f>
        <v>Retail Transmission Rate - Line and Transformation Connection Service Rate</v>
      </c>
      <c r="B32" s="100">
        <f>D17*Rates!D66</f>
        <v>77.634143999999992</v>
      </c>
      <c r="C32" s="65">
        <f>C10</f>
        <v>1.2859</v>
      </c>
      <c r="D32" s="66">
        <f>B32*C32</f>
        <v>99.829745769599995</v>
      </c>
      <c r="E32" s="100">
        <f>D17*H17</f>
        <v>77.634143999999992</v>
      </c>
      <c r="F32" s="65">
        <f>D10</f>
        <v>1.3491</v>
      </c>
      <c r="G32" s="66">
        <f>E32*F32</f>
        <v>104.73622367039998</v>
      </c>
      <c r="H32" s="66">
        <f t="shared" si="0"/>
        <v>4.9064779007999846</v>
      </c>
      <c r="I32" s="67">
        <f t="shared" si="4"/>
        <v>4.9148456334084926E-2</v>
      </c>
      <c r="J32" s="68">
        <f t="shared" si="1"/>
        <v>1.1920360143019171E-2</v>
      </c>
    </row>
    <row r="33" spans="1:10" ht="12.75" thickBot="1">
      <c r="A33" s="73" t="s">
        <v>32</v>
      </c>
      <c r="B33" s="74"/>
      <c r="C33" s="75"/>
      <c r="D33" s="76">
        <f>SUM(D31:D32)</f>
        <v>224.05990299839999</v>
      </c>
      <c r="E33" s="75"/>
      <c r="F33" s="75"/>
      <c r="G33" s="76">
        <f>SUM(G31:G32)</f>
        <v>239.42370009599995</v>
      </c>
      <c r="H33" s="76">
        <f t="shared" si="0"/>
        <v>15.363797097599956</v>
      </c>
      <c r="I33" s="77">
        <f t="shared" si="4"/>
        <v>6.8570042618065707E-2</v>
      </c>
      <c r="J33" s="78">
        <f t="shared" si="1"/>
        <v>2.7249566882418738E-2</v>
      </c>
    </row>
    <row r="34" spans="1:10" ht="12.75" thickBot="1">
      <c r="A34" s="81" t="s">
        <v>41</v>
      </c>
      <c r="B34" s="82"/>
      <c r="C34" s="83"/>
      <c r="D34" s="84">
        <f>D30+D33</f>
        <v>4594.9399029983997</v>
      </c>
      <c r="E34" s="83"/>
      <c r="F34" s="83"/>
      <c r="G34" s="84">
        <f>G30+G33</f>
        <v>5304.583700096</v>
      </c>
      <c r="H34" s="84">
        <f t="shared" si="0"/>
        <v>709.64379709760033</v>
      </c>
      <c r="I34" s="85">
        <f t="shared" si="4"/>
        <v>0.15444027823618034</v>
      </c>
      <c r="J34" s="86">
        <f t="shared" si="1"/>
        <v>0.60373141113931506</v>
      </c>
    </row>
    <row r="35" spans="1:10">
      <c r="A35" s="69" t="str">
        <f>A11</f>
        <v>Wholesale Market Service Rate</v>
      </c>
      <c r="B35" s="44">
        <f>B17*Rates!D66</f>
        <v>27160</v>
      </c>
      <c r="C35" s="45">
        <f>C11</f>
        <v>5.1999999999999998E-3</v>
      </c>
      <c r="D35" s="47">
        <f>B35*C35</f>
        <v>141.232</v>
      </c>
      <c r="E35" s="44">
        <f>B17*H17</f>
        <v>27160</v>
      </c>
      <c r="F35" s="45">
        <f>D11</f>
        <v>5.1999999999999998E-3</v>
      </c>
      <c r="G35" s="47">
        <f>E35*F35</f>
        <v>141.232</v>
      </c>
      <c r="H35" s="47">
        <f t="shared" si="0"/>
        <v>0</v>
      </c>
      <c r="I35" s="48">
        <f t="shared" si="4"/>
        <v>0</v>
      </c>
      <c r="J35" s="72">
        <f t="shared" si="1"/>
        <v>1.6074059620641793E-2</v>
      </c>
    </row>
    <row r="36" spans="1:10">
      <c r="A36" s="61" t="str">
        <f>A12</f>
        <v>Rural Rate Protection Charge</v>
      </c>
      <c r="B36" s="39">
        <f>B17*Rates!D66</f>
        <v>27160</v>
      </c>
      <c r="C36" s="40">
        <f>C12</f>
        <v>1.2999999999999999E-3</v>
      </c>
      <c r="D36" s="41">
        <f>B36*C36</f>
        <v>35.308</v>
      </c>
      <c r="E36" s="39">
        <f>B17*H17</f>
        <v>27160</v>
      </c>
      <c r="F36" s="40">
        <f>D12</f>
        <v>1.2999999999999999E-3</v>
      </c>
      <c r="G36" s="41">
        <f>E36*F36</f>
        <v>35.308</v>
      </c>
      <c r="H36" s="41">
        <f t="shared" si="0"/>
        <v>0</v>
      </c>
      <c r="I36" s="42">
        <f t="shared" si="4"/>
        <v>0</v>
      </c>
      <c r="J36" s="62">
        <f t="shared" si="1"/>
        <v>4.0185149051604483E-3</v>
      </c>
    </row>
    <row r="37" spans="1:10">
      <c r="A37" s="63" t="s">
        <v>45</v>
      </c>
      <c r="B37" s="64">
        <f>B17*Rates!D66</f>
        <v>27160</v>
      </c>
      <c r="C37" s="65">
        <f>Rates!D56</f>
        <v>0</v>
      </c>
      <c r="D37" s="66">
        <f>B37*C37</f>
        <v>0</v>
      </c>
      <c r="E37" s="64">
        <f>B17*Rates!F66</f>
        <v>27160</v>
      </c>
      <c r="F37" s="65">
        <f>Rates!F56</f>
        <v>0</v>
      </c>
      <c r="G37" s="66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 ht="12.75" thickBot="1">
      <c r="A38" s="63" t="str">
        <f>A14</f>
        <v>Standard Supply Service - Administarive Charge (if applicable)</v>
      </c>
      <c r="B38" s="79">
        <f>B25</f>
        <v>428</v>
      </c>
      <c r="C38" s="66">
        <f>C14</f>
        <v>0.25</v>
      </c>
      <c r="D38" s="66">
        <f>B38*C38</f>
        <v>107</v>
      </c>
      <c r="E38" s="64">
        <f>B25</f>
        <v>428</v>
      </c>
      <c r="F38" s="66">
        <f>D14</f>
        <v>0.25</v>
      </c>
      <c r="G38" s="66">
        <f>E38*F38</f>
        <v>107</v>
      </c>
      <c r="H38" s="66">
        <f t="shared" si="0"/>
        <v>0</v>
      </c>
      <c r="I38" s="67">
        <f t="shared" si="4"/>
        <v>0</v>
      </c>
      <c r="J38" s="68">
        <f t="shared" si="1"/>
        <v>1.217800767112745E-2</v>
      </c>
    </row>
    <row r="39" spans="1:10" ht="12.75" thickBot="1">
      <c r="A39" s="73" t="s">
        <v>42</v>
      </c>
      <c r="B39" s="74"/>
      <c r="C39" s="75"/>
      <c r="D39" s="76">
        <f>SUM(D35:D38)</f>
        <v>283.53999999999996</v>
      </c>
      <c r="E39" s="75"/>
      <c r="F39" s="75"/>
      <c r="G39" s="76">
        <f>SUM(G35:G38)</f>
        <v>283.53999999999996</v>
      </c>
      <c r="H39" s="76">
        <f t="shared" si="0"/>
        <v>0</v>
      </c>
      <c r="I39" s="77">
        <f t="shared" si="4"/>
        <v>0</v>
      </c>
      <c r="J39" s="78">
        <f t="shared" si="1"/>
        <v>3.2270582196929687E-2</v>
      </c>
    </row>
    <row r="40" spans="1:10" ht="12.75" thickBot="1">
      <c r="A40" s="87" t="s">
        <v>19</v>
      </c>
      <c r="B40" s="88">
        <f>B17</f>
        <v>25000</v>
      </c>
      <c r="C40" s="89">
        <f>Rates!D60</f>
        <v>2E-3</v>
      </c>
      <c r="D40" s="90">
        <f>B40*C40</f>
        <v>50</v>
      </c>
      <c r="E40" s="88">
        <f>B17</f>
        <v>25000</v>
      </c>
      <c r="F40" s="89">
        <f>Rates!F60</f>
        <v>2E-3</v>
      </c>
      <c r="G40" s="90">
        <f>E40*F40</f>
        <v>50</v>
      </c>
      <c r="H40" s="90">
        <f t="shared" si="0"/>
        <v>0</v>
      </c>
      <c r="I40" s="91">
        <f t="shared" si="4"/>
        <v>0</v>
      </c>
      <c r="J40" s="92">
        <f t="shared" si="1"/>
        <v>5.6906577902464716E-3</v>
      </c>
    </row>
    <row r="41" spans="1:10" ht="12.75" thickBot="1">
      <c r="A41" s="73" t="s">
        <v>43</v>
      </c>
      <c r="B41" s="74"/>
      <c r="C41" s="75"/>
      <c r="D41" s="76">
        <f>D24+D34+D39+D40</f>
        <v>7065.8699029983991</v>
      </c>
      <c r="E41" s="75"/>
      <c r="F41" s="75"/>
      <c r="G41" s="76">
        <f>G24+G34+G39+G40</f>
        <v>7775.5137000959994</v>
      </c>
      <c r="H41" s="76">
        <f t="shared" si="0"/>
        <v>709.64379709760033</v>
      </c>
      <c r="I41" s="77">
        <f t="shared" si="4"/>
        <v>0.10043261577692837</v>
      </c>
      <c r="J41" s="78">
        <f t="shared" si="1"/>
        <v>0.88495575221238931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918.56308738979192</v>
      </c>
      <c r="E42" s="96"/>
      <c r="F42" s="95">
        <f>Rates!F67</f>
        <v>0.13</v>
      </c>
      <c r="G42" s="90">
        <f>F42*G41</f>
        <v>1010.81678101248</v>
      </c>
      <c r="H42" s="90">
        <f t="shared" si="0"/>
        <v>92.253693622688047</v>
      </c>
      <c r="I42" s="91">
        <f t="shared" si="4"/>
        <v>0.10043261577692837</v>
      </c>
      <c r="J42" s="92">
        <f t="shared" si="1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7984.4329903881908</v>
      </c>
      <c r="E43" s="83"/>
      <c r="F43" s="83"/>
      <c r="G43" s="104">
        <f>G41+G42</f>
        <v>8786.3304811084799</v>
      </c>
      <c r="H43" s="104">
        <f t="shared" si="0"/>
        <v>801.89749072028917</v>
      </c>
      <c r="I43" s="85">
        <f t="shared" si="4"/>
        <v>0.10043261577692847</v>
      </c>
      <c r="J43" s="86">
        <f t="shared" si="1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2:L10"/>
  <sheetViews>
    <sheetView zoomScaleNormal="100" workbookViewId="0">
      <selection activeCell="B27" sqref="B27:I27"/>
    </sheetView>
  </sheetViews>
  <sheetFormatPr defaultRowHeight="12.75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/>
    <row r="3" spans="2:12" ht="13.5" thickBot="1">
      <c r="B3" s="141" t="s">
        <v>66</v>
      </c>
      <c r="C3" s="142"/>
      <c r="D3" s="142"/>
      <c r="E3" s="142"/>
      <c r="F3" s="142"/>
      <c r="G3" s="142"/>
      <c r="H3" s="142"/>
      <c r="I3" s="142"/>
      <c r="J3" s="142"/>
      <c r="K3" s="142"/>
      <c r="L3" s="143"/>
    </row>
    <row r="4" spans="2:12">
      <c r="B4" s="123" t="s">
        <v>55</v>
      </c>
      <c r="C4" s="139" t="s">
        <v>56</v>
      </c>
      <c r="D4" s="139"/>
      <c r="E4" s="124"/>
      <c r="F4" s="139" t="s">
        <v>57</v>
      </c>
      <c r="G4" s="139"/>
      <c r="H4" s="139"/>
      <c r="I4" s="124"/>
      <c r="J4" s="139" t="s">
        <v>33</v>
      </c>
      <c r="K4" s="139"/>
      <c r="L4" s="140"/>
    </row>
    <row r="5" spans="2:12">
      <c r="B5" s="114"/>
      <c r="C5" s="110" t="s">
        <v>27</v>
      </c>
      <c r="D5" s="110" t="s">
        <v>28</v>
      </c>
      <c r="E5" s="125"/>
      <c r="F5" s="110" t="s">
        <v>58</v>
      </c>
      <c r="G5" s="110" t="s">
        <v>59</v>
      </c>
      <c r="H5" s="110" t="s">
        <v>60</v>
      </c>
      <c r="I5" s="125"/>
      <c r="J5" s="110" t="s">
        <v>58</v>
      </c>
      <c r="K5" s="110" t="s">
        <v>59</v>
      </c>
      <c r="L5" s="115" t="s">
        <v>60</v>
      </c>
    </row>
    <row r="6" spans="2:12">
      <c r="B6" s="116" t="s">
        <v>61</v>
      </c>
      <c r="C6" s="111">
        <v>800</v>
      </c>
      <c r="D6" s="111">
        <v>0</v>
      </c>
      <c r="E6" s="126"/>
      <c r="F6" s="112">
        <f>'Residential R1 Impact'!D34</f>
        <v>57.998848000000002</v>
      </c>
      <c r="G6" s="112">
        <f>'Residential R1 Impact'!G34</f>
        <v>59.217231999999996</v>
      </c>
      <c r="H6" s="113">
        <f>(G6-F6)/F6</f>
        <v>2.1007037932891239E-2</v>
      </c>
      <c r="I6" s="128"/>
      <c r="J6" s="112">
        <f>'Residential R1 Impact'!D43</f>
        <v>142.27672704000003</v>
      </c>
      <c r="K6" s="112">
        <f>'Residential R1 Impact'!G43</f>
        <v>143.65350096</v>
      </c>
      <c r="L6" s="117">
        <f>(K6-J6)/J6</f>
        <v>9.6767331428203786E-3</v>
      </c>
    </row>
    <row r="7" spans="2:12">
      <c r="B7" s="116" t="s">
        <v>61</v>
      </c>
      <c r="C7" s="111">
        <v>2000</v>
      </c>
      <c r="D7" s="111">
        <v>0</v>
      </c>
      <c r="E7" s="126"/>
      <c r="F7" s="112">
        <f>'Residential R1 Impact (2)'!D34</f>
        <v>112.11712</v>
      </c>
      <c r="G7" s="112">
        <f>'Residential R1 Impact (2)'!G34</f>
        <v>114.60808</v>
      </c>
      <c r="H7" s="113">
        <f t="shared" ref="H7:H10" si="0">(G7-F7)/F7</f>
        <v>2.2217481148284948E-2</v>
      </c>
      <c r="I7" s="128"/>
      <c r="J7" s="112">
        <f>'Residential R1 Impact (2)'!D43</f>
        <v>332.09741760000003</v>
      </c>
      <c r="K7" s="112">
        <f>'Residential R1 Impact (2)'!G43</f>
        <v>334.91220239999996</v>
      </c>
      <c r="L7" s="117">
        <f t="shared" ref="L7:L10" si="1">(K7-J7)/J7</f>
        <v>8.4757804512356639E-3</v>
      </c>
    </row>
    <row r="8" spans="2:12">
      <c r="B8" s="116" t="s">
        <v>62</v>
      </c>
      <c r="C8" s="111">
        <v>90000</v>
      </c>
      <c r="D8" s="111">
        <v>225</v>
      </c>
      <c r="E8" s="126"/>
      <c r="F8" s="112">
        <f>'Residential R2 Impact'!D36</f>
        <v>2595.1517880000001</v>
      </c>
      <c r="G8" s="112">
        <f>'Residential R2 Impact'!G36</f>
        <v>2672.7089639999995</v>
      </c>
      <c r="H8" s="113">
        <f t="shared" si="0"/>
        <v>2.9885410309571973E-2</v>
      </c>
      <c r="I8" s="128"/>
      <c r="J8" s="112">
        <f>'Residential R2 Impact'!D45</f>
        <v>12573.50976044</v>
      </c>
      <c r="K8" s="112">
        <f>'Residential R2 Impact'!G45</f>
        <v>12661.149369319999</v>
      </c>
      <c r="L8" s="117">
        <f t="shared" si="1"/>
        <v>6.970178617567829E-3</v>
      </c>
    </row>
    <row r="9" spans="2:12">
      <c r="B9" s="116" t="s">
        <v>13</v>
      </c>
      <c r="C9" s="111">
        <v>287</v>
      </c>
      <c r="D9" s="111">
        <v>0</v>
      </c>
      <c r="E9" s="126"/>
      <c r="F9" s="112">
        <f>'Seasonal Impact'!D36*0.9</f>
        <v>62.229408047999996</v>
      </c>
      <c r="G9" s="112">
        <f>'Seasonal Impact'!G36*0.9</f>
        <v>61.99537003199999</v>
      </c>
      <c r="H9" s="113">
        <f t="shared" si="0"/>
        <v>-3.7608909250668732E-3</v>
      </c>
      <c r="I9" s="128"/>
      <c r="J9" s="112">
        <f>'Seasonal Impact'!D45*0.9</f>
        <v>94.78099134144</v>
      </c>
      <c r="K9" s="112">
        <f>'Seasonal Impact'!G45*0.9</f>
        <v>94.516528383359997</v>
      </c>
      <c r="L9" s="117">
        <f t="shared" si="1"/>
        <v>-2.7902531334294536E-3</v>
      </c>
    </row>
    <row r="10" spans="2:12" ht="13.5" thickBot="1">
      <c r="B10" s="118" t="s">
        <v>14</v>
      </c>
      <c r="C10" s="119">
        <v>25000</v>
      </c>
      <c r="D10" s="119">
        <v>71.459999999999994</v>
      </c>
      <c r="E10" s="127"/>
      <c r="F10" s="120">
        <f>'Street Light Impact'!D34</f>
        <v>4594.9399029983997</v>
      </c>
      <c r="G10" s="120">
        <f>'Street Light Impact'!G34</f>
        <v>5304.583700096</v>
      </c>
      <c r="H10" s="121">
        <f t="shared" si="0"/>
        <v>0.15444027823618034</v>
      </c>
      <c r="I10" s="129"/>
      <c r="J10" s="120">
        <f>'Street Light Impact'!D43</f>
        <v>7984.4329903881908</v>
      </c>
      <c r="K10" s="120">
        <f>'Street Light Impact'!G43</f>
        <v>8786.3304811084799</v>
      </c>
      <c r="L10" s="122">
        <f t="shared" si="1"/>
        <v>0.10043261577692847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2012&amp;"Arial,Regular"&amp;10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Rates</vt:lpstr>
      <vt:lpstr>Residential R1 Impact</vt:lpstr>
      <vt:lpstr>Residential R1 Impact (2)</vt:lpstr>
      <vt:lpstr>Residential R2 Impact</vt:lpstr>
      <vt:lpstr>Residential R2 Impact Interval</vt:lpstr>
      <vt:lpstr>Seasonal Impact</vt:lpstr>
      <vt:lpstr>Street Light Impact</vt:lpstr>
      <vt:lpstr>Summary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2011-09-06T18:49:20Z</cp:lastPrinted>
  <dcterms:created xsi:type="dcterms:W3CDTF">2010-01-19T01:47:37Z</dcterms:created>
  <dcterms:modified xsi:type="dcterms:W3CDTF">2011-09-13T14:38:31Z</dcterms:modified>
</cp:coreProperties>
</file>