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pcor4-my.sharepoint.com/personal/thesselink_epcor_com/Documents/H_DRIVE/ENGLP/IRM/EB-2025-0178 - Southern Bruce/Staff IR/Revised/"/>
    </mc:Choice>
  </mc:AlternateContent>
  <xr:revisionPtr revIDLastSave="1" documentId="13_ncr:1_{2B8A423D-C95C-43C9-9C47-1E598245F760}" xr6:coauthVersionLast="47" xr6:coauthVersionMax="47" xr10:uidLastSave="{2D4CC82D-2496-43B1-BAEB-88EE079AF684}"/>
  <bookViews>
    <workbookView xWindow="-120" yWindow="-120" windowWidth="29040" windowHeight="15720" xr2:uid="{00000000-000D-0000-FFFF-FFFF00000000}"/>
  </bookViews>
  <sheets>
    <sheet name="Summary" sheetId="24" r:id="rId1"/>
    <sheet name="ECVA" sheetId="25" r:id="rId2"/>
    <sheet name="CIACVA" sheetId="3" r:id="rId3"/>
    <sheet name="MTVA" sheetId="26" r:id="rId4"/>
    <sheet name="ORDA" sheetId="27" r:id="rId5"/>
    <sheet name="CVVA" sheetId="28" r:id="rId6"/>
    <sheet name="UFGVA" sheetId="14" r:id="rId7"/>
    <sheet name="S&amp;TVA" sheetId="30" r:id="rId8"/>
    <sheet name="TVA" sheetId="29" r:id="rId9"/>
    <sheet name="Load Forecast" sheetId="19" r:id="rId10"/>
    <sheet name="Staff 4i" sheetId="31" r:id="rId11"/>
    <sheet name="Staff 15" sheetId="32" r:id="rId12"/>
  </sheets>
  <definedNames>
    <definedName name="_MailEndCompose" localSheetId="6">UFGVA!#REF!</definedName>
    <definedName name="_xlnm.Print_Area" localSheetId="2">CIACVA!$A$1:$O$42</definedName>
    <definedName name="_xlnm.Print_Area" localSheetId="5">CVVA!$A$1:$O$41</definedName>
    <definedName name="_xlnm.Print_Area" localSheetId="1">ECVA!$A$1:$P$43</definedName>
    <definedName name="_xlnm.Print_Area" localSheetId="3">MTVA!$A$1:$O$46</definedName>
    <definedName name="_xlnm.Print_Area" localSheetId="4">ORDA!$A$1:$O$45</definedName>
    <definedName name="_xlnm.Print_Area" localSheetId="7">'S&amp;TVA'!$A$1:$O$64</definedName>
    <definedName name="_xlnm.Print_Area" localSheetId="8">TVA!$A$1:$O$49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31" l="1"/>
  <c r="F53" i="31"/>
  <c r="D53" i="31"/>
  <c r="E48" i="31"/>
  <c r="F48" i="31"/>
  <c r="D48" i="31"/>
  <c r="E43" i="31"/>
  <c r="F43" i="31"/>
  <c r="D43" i="31"/>
  <c r="A53" i="31"/>
  <c r="D42" i="31"/>
  <c r="D47" i="31" s="1"/>
  <c r="D52" i="31" s="1"/>
  <c r="E42" i="31"/>
  <c r="E47" i="31" s="1"/>
  <c r="E52" i="31" s="1"/>
  <c r="F42" i="31"/>
  <c r="F47" i="31" s="1"/>
  <c r="F52" i="31" s="1"/>
  <c r="C42" i="31"/>
  <c r="C47" i="31" s="1"/>
  <c r="C52" i="31" s="1"/>
  <c r="A43" i="31"/>
  <c r="AM5" i="32"/>
  <c r="BM11" i="32" l="1"/>
  <c r="BM12" i="32" s="1"/>
  <c r="BL11" i="32"/>
  <c r="BK11" i="32"/>
  <c r="BJ11" i="32"/>
  <c r="BI11" i="32"/>
  <c r="BH11" i="32"/>
  <c r="BH12" i="32" s="1"/>
  <c r="BG11" i="32"/>
  <c r="BG12" i="32" s="1"/>
  <c r="BF11" i="32"/>
  <c r="BF12" i="32" s="1"/>
  <c r="BE11" i="32"/>
  <c r="BE12" i="32" s="1"/>
  <c r="BD11" i="32"/>
  <c r="BC11" i="32"/>
  <c r="BB11" i="32"/>
  <c r="AZ11" i="32"/>
  <c r="AY11" i="32"/>
  <c r="AX11" i="32"/>
  <c r="AX12" i="32" s="1"/>
  <c r="AW11" i="32"/>
  <c r="AW12" i="32" s="1"/>
  <c r="AV11" i="32"/>
  <c r="AU11" i="32"/>
  <c r="AT11" i="32"/>
  <c r="AT12" i="32" s="1"/>
  <c r="AS11" i="32"/>
  <c r="AR11" i="32"/>
  <c r="AQ11" i="32"/>
  <c r="AQ12" i="32" s="1"/>
  <c r="AP11" i="32"/>
  <c r="AO11" i="32"/>
  <c r="AO12" i="32" s="1"/>
  <c r="AL11" i="32"/>
  <c r="AK11" i="32"/>
  <c r="AJ11" i="32"/>
  <c r="AI11" i="32"/>
  <c r="AH11" i="32"/>
  <c r="AH12" i="32" s="1"/>
  <c r="AG11" i="32"/>
  <c r="AG12" i="32" s="1"/>
  <c r="AF11" i="32"/>
  <c r="AF12" i="32" s="1"/>
  <c r="AE11" i="32"/>
  <c r="AD11" i="32"/>
  <c r="AC11" i="32"/>
  <c r="AB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J11" i="32"/>
  <c r="K11" i="32"/>
  <c r="L11" i="32"/>
  <c r="M11" i="32"/>
  <c r="I11" i="32"/>
  <c r="AA5" i="32"/>
  <c r="AA4" i="32"/>
  <c r="BL12" i="32"/>
  <c r="BK12" i="32"/>
  <c r="BJ12" i="32"/>
  <c r="BI12" i="32"/>
  <c r="BD12" i="32"/>
  <c r="BC12" i="32"/>
  <c r="BB12" i="32"/>
  <c r="AZ12" i="32"/>
  <c r="AY12" i="32"/>
  <c r="AV12" i="32"/>
  <c r="AU12" i="32"/>
  <c r="AS12" i="32"/>
  <c r="AR12" i="32"/>
  <c r="AP12" i="32"/>
  <c r="AC12" i="32"/>
  <c r="AD12" i="32"/>
  <c r="AE12" i="32"/>
  <c r="AI12" i="32"/>
  <c r="AJ12" i="32"/>
  <c r="AK12" i="32"/>
  <c r="AL12" i="32"/>
  <c r="AB12" i="32"/>
  <c r="AM11" i="32" l="1"/>
  <c r="AM12" i="32" s="1"/>
  <c r="BN12" i="32"/>
  <c r="BA12" i="32"/>
  <c r="AN12" i="32" l="1"/>
  <c r="AN11" i="32"/>
  <c r="P10" i="32"/>
  <c r="Q10" i="32"/>
  <c r="R10" i="32"/>
  <c r="S10" i="32"/>
  <c r="T10" i="32"/>
  <c r="U10" i="32"/>
  <c r="V10" i="32"/>
  <c r="W10" i="32"/>
  <c r="X10" i="32"/>
  <c r="Y10" i="32"/>
  <c r="Z10" i="32"/>
  <c r="R12" i="32"/>
  <c r="Z12" i="32"/>
  <c r="O10" i="32"/>
  <c r="AA10" i="32" s="1"/>
  <c r="N11" i="32"/>
  <c r="J12" i="32"/>
  <c r="K12" i="32"/>
  <c r="L12" i="32"/>
  <c r="M12" i="32"/>
  <c r="I12" i="32"/>
  <c r="BN11" i="32"/>
  <c r="BA11" i="32"/>
  <c r="J10" i="32"/>
  <c r="K10" i="32"/>
  <c r="L10" i="32"/>
  <c r="M10" i="32"/>
  <c r="I10" i="32"/>
  <c r="N10" i="32" s="1"/>
  <c r="BN10" i="32"/>
  <c r="BA10" i="32"/>
  <c r="AN10" i="32"/>
  <c r="AN4" i="32"/>
  <c r="BN4" i="32"/>
  <c r="BA4" i="32"/>
  <c r="N4" i="32"/>
  <c r="N12" i="32" l="1"/>
  <c r="W12" i="32"/>
  <c r="U12" i="32"/>
  <c r="S12" i="32"/>
  <c r="AA11" i="32"/>
  <c r="V12" i="32"/>
  <c r="T12" i="32"/>
  <c r="Y12" i="32"/>
  <c r="Q12" i="32"/>
  <c r="X12" i="32"/>
  <c r="P12" i="32"/>
  <c r="O12" i="32"/>
  <c r="BO10" i="32"/>
  <c r="BO4" i="32"/>
  <c r="AA12" i="32" l="1"/>
  <c r="BO12" i="32" s="1"/>
  <c r="BN5" i="32"/>
  <c r="BA5" i="32"/>
  <c r="AN5" i="32"/>
  <c r="N5" i="32"/>
  <c r="B17" i="31"/>
  <c r="B42" i="31" s="1"/>
  <c r="D17" i="31"/>
  <c r="E17" i="31"/>
  <c r="F17" i="31"/>
  <c r="F21" i="31" s="1"/>
  <c r="F25" i="31" s="1"/>
  <c r="C17" i="31"/>
  <c r="C19" i="31"/>
  <c r="C23" i="31" s="1"/>
  <c r="C27" i="31" s="1"/>
  <c r="C21" i="31" l="1"/>
  <c r="C25" i="31" s="1"/>
  <c r="BO5" i="32"/>
  <c r="E18" i="31"/>
  <c r="E22" i="31" s="1"/>
  <c r="E26" i="31" s="1"/>
  <c r="D18" i="31"/>
  <c r="D22" i="31" s="1"/>
  <c r="D26" i="31" s="1"/>
  <c r="F18" i="31"/>
  <c r="F22" i="31" s="1"/>
  <c r="F26" i="31" s="1"/>
  <c r="E21" i="31"/>
  <c r="E25" i="31" s="1"/>
  <c r="D21" i="31"/>
  <c r="D25" i="31" s="1"/>
  <c r="F19" i="31" l="1"/>
  <c r="F23" i="31" s="1"/>
  <c r="F27" i="31" s="1"/>
  <c r="E19" i="31"/>
  <c r="E23" i="31" s="1"/>
  <c r="E27" i="31" s="1"/>
  <c r="C18" i="31"/>
  <c r="C22" i="31" s="1"/>
  <c r="C26" i="31" s="1"/>
  <c r="C21" i="24"/>
  <c r="D21" i="24"/>
  <c r="E21" i="24"/>
  <c r="F21" i="24"/>
  <c r="G21" i="24"/>
  <c r="H21" i="24"/>
  <c r="B21" i="24"/>
  <c r="D19" i="31" l="1"/>
  <c r="D23" i="31" s="1"/>
  <c r="D27" i="31" s="1"/>
  <c r="A2" i="29"/>
  <c r="A2" i="30"/>
  <c r="A2" i="28"/>
  <c r="A2" i="27"/>
  <c r="A2" i="26"/>
  <c r="A2" i="25"/>
  <c r="C5" i="31"/>
  <c r="C9" i="31" l="1"/>
  <c r="C32" i="31"/>
  <c r="C31" i="31" s="1"/>
  <c r="C7" i="31"/>
  <c r="C13" i="31" l="1"/>
  <c r="C38" i="31" s="1"/>
  <c r="C37" i="31" s="1"/>
  <c r="C35" i="31"/>
  <c r="C34" i="31" s="1"/>
  <c r="E8" i="31"/>
  <c r="D8" i="31"/>
  <c r="F8" i="31"/>
  <c r="C8" i="31" l="1"/>
  <c r="C11" i="31" l="1"/>
  <c r="D12" i="31" l="1"/>
  <c r="D13" i="31" s="1"/>
  <c r="D38" i="31" s="1"/>
  <c r="F12" i="31"/>
  <c r="F13" i="31" s="1"/>
  <c r="F38" i="31" s="1"/>
  <c r="E12" i="31"/>
  <c r="E13" i="31" s="1"/>
  <c r="E38" i="31" s="1"/>
  <c r="E37" i="31" l="1"/>
  <c r="E55" i="31"/>
  <c r="E54" i="31" s="1"/>
  <c r="F37" i="31"/>
  <c r="F55" i="31"/>
  <c r="F54" i="31" s="1"/>
  <c r="D37" i="31"/>
  <c r="D55" i="31"/>
  <c r="D54" i="31" s="1"/>
  <c r="C54" i="31" s="1"/>
  <c r="C12" i="31"/>
  <c r="F3" i="31"/>
  <c r="E3" i="31"/>
  <c r="D3" i="31"/>
  <c r="C3" i="31" l="1"/>
  <c r="D4" i="31" s="1"/>
  <c r="D5" i="31" s="1"/>
  <c r="D32" i="31" s="1"/>
  <c r="D31" i="31" l="1"/>
  <c r="D45" i="31"/>
  <c r="D44" i="31" s="1"/>
  <c r="F4" i="31"/>
  <c r="F5" i="31" s="1"/>
  <c r="F32" i="31" s="1"/>
  <c r="E4" i="31"/>
  <c r="E5" i="31" s="1"/>
  <c r="E32" i="31" s="1"/>
  <c r="G30" i="14"/>
  <c r="F30" i="14"/>
  <c r="E30" i="14"/>
  <c r="D30" i="14"/>
  <c r="G18" i="19"/>
  <c r="G19" i="19"/>
  <c r="G20" i="19"/>
  <c r="G21" i="19"/>
  <c r="G17" i="19"/>
  <c r="C21" i="19"/>
  <c r="D21" i="19"/>
  <c r="E21" i="19"/>
  <c r="F21" i="19"/>
  <c r="B21" i="19"/>
  <c r="F31" i="31" l="1"/>
  <c r="F45" i="31"/>
  <c r="F44" i="31" s="1"/>
  <c r="E31" i="31"/>
  <c r="E45" i="31"/>
  <c r="E44" i="31" s="1"/>
  <c r="C4" i="31"/>
  <c r="F41" i="30"/>
  <c r="E41" i="30"/>
  <c r="D41" i="30"/>
  <c r="C48" i="30" l="1"/>
  <c r="F49" i="30" l="1"/>
  <c r="F50" i="30" s="1"/>
  <c r="E49" i="30"/>
  <c r="E50" i="30" s="1"/>
  <c r="D49" i="30"/>
  <c r="D50" i="30" s="1"/>
  <c r="B70" i="30" l="1"/>
  <c r="D46" i="29"/>
  <c r="B55" i="29"/>
  <c r="D45" i="29"/>
  <c r="E38" i="28"/>
  <c r="D38" i="28"/>
  <c r="C32" i="28"/>
  <c r="E31" i="28"/>
  <c r="D31" i="28"/>
  <c r="E32" i="28"/>
  <c r="D32" i="28"/>
  <c r="D46" i="28"/>
  <c r="D47" i="28"/>
  <c r="D45" i="28"/>
  <c r="C47" i="28"/>
  <c r="C46" i="28"/>
  <c r="C45" i="28"/>
  <c r="B47" i="28"/>
  <c r="H36" i="14"/>
  <c r="F7" i="19" l="1"/>
  <c r="H42" i="27" l="1"/>
  <c r="E36" i="27"/>
  <c r="F36" i="27"/>
  <c r="G36" i="27"/>
  <c r="D36" i="27"/>
  <c r="H41" i="27"/>
  <c r="F41" i="27"/>
  <c r="E41" i="27"/>
  <c r="D41" i="27"/>
  <c r="C35" i="27"/>
  <c r="H43" i="26"/>
  <c r="H44" i="26"/>
  <c r="F44" i="26"/>
  <c r="E44" i="26"/>
  <c r="D44" i="26"/>
  <c r="C44" i="26"/>
  <c r="H42" i="26"/>
  <c r="F42" i="26"/>
  <c r="E42" i="26"/>
  <c r="D42" i="26"/>
  <c r="G33" i="25"/>
  <c r="G39" i="25"/>
  <c r="F39" i="25"/>
  <c r="E39" i="25"/>
  <c r="F33" i="25"/>
  <c r="E33" i="25"/>
  <c r="C7" i="19"/>
  <c r="F42" i="27" s="1"/>
  <c r="B7" i="19"/>
  <c r="A7" i="19"/>
  <c r="H39" i="3"/>
  <c r="D39" i="3" l="1"/>
  <c r="D61" i="30"/>
  <c r="D36" i="14"/>
  <c r="D43" i="26"/>
  <c r="E39" i="3"/>
  <c r="E61" i="30"/>
  <c r="E36" i="14"/>
  <c r="F39" i="3"/>
  <c r="F61" i="30"/>
  <c r="F36" i="14"/>
  <c r="E42" i="27"/>
  <c r="F43" i="26"/>
  <c r="E43" i="26"/>
  <c r="G40" i="25"/>
  <c r="F40" i="25"/>
  <c r="C43" i="26"/>
  <c r="E40" i="25"/>
  <c r="D42" i="27"/>
  <c r="B13" i="19"/>
  <c r="C13" i="19"/>
  <c r="D13" i="19"/>
  <c r="A13" i="19"/>
  <c r="C39" i="3" l="1"/>
  <c r="C36" i="14"/>
  <c r="C42" i="27"/>
  <c r="D40" i="25"/>
  <c r="E38" i="3"/>
  <c r="F38" i="3"/>
  <c r="H38" i="3"/>
  <c r="D38" i="3"/>
  <c r="N28" i="30" l="1"/>
  <c r="B28" i="30"/>
  <c r="B27" i="29"/>
  <c r="O25" i="30" l="1"/>
  <c r="M15" i="30"/>
  <c r="M19" i="30" s="1"/>
  <c r="M22" i="30" s="1"/>
  <c r="L15" i="30"/>
  <c r="L19" i="30" s="1"/>
  <c r="L22" i="30" s="1"/>
  <c r="K15" i="30"/>
  <c r="K19" i="30" s="1"/>
  <c r="K22" i="30" s="1"/>
  <c r="J15" i="30"/>
  <c r="J19" i="30" s="1"/>
  <c r="J22" i="30" s="1"/>
  <c r="I15" i="30"/>
  <c r="I19" i="30" s="1"/>
  <c r="I22" i="30" s="1"/>
  <c r="H15" i="30"/>
  <c r="H19" i="30" s="1"/>
  <c r="H22" i="30" s="1"/>
  <c r="G15" i="30"/>
  <c r="G19" i="30" s="1"/>
  <c r="G22" i="30" s="1"/>
  <c r="F15" i="30"/>
  <c r="F19" i="30" s="1"/>
  <c r="F22" i="30" s="1"/>
  <c r="E15" i="30"/>
  <c r="E19" i="30" s="1"/>
  <c r="E22" i="30" s="1"/>
  <c r="D15" i="30"/>
  <c r="D19" i="30" s="1"/>
  <c r="D22" i="30" s="1"/>
  <c r="C15" i="30"/>
  <c r="C19" i="30" s="1"/>
  <c r="C22" i="30" s="1"/>
  <c r="B15" i="30"/>
  <c r="B19" i="30" s="1"/>
  <c r="B22" i="30" s="1"/>
  <c r="B23" i="30" s="1"/>
  <c r="E17" i="24"/>
  <c r="F17" i="24"/>
  <c r="G17" i="24"/>
  <c r="D17" i="24"/>
  <c r="N27" i="29"/>
  <c r="O24" i="29"/>
  <c r="C14" i="29"/>
  <c r="C18" i="29" s="1"/>
  <c r="C21" i="29" s="1"/>
  <c r="D14" i="29"/>
  <c r="D18" i="29" s="1"/>
  <c r="D21" i="29" s="1"/>
  <c r="E14" i="29"/>
  <c r="E18" i="29" s="1"/>
  <c r="E21" i="29" s="1"/>
  <c r="F14" i="29"/>
  <c r="F18" i="29" s="1"/>
  <c r="F21" i="29" s="1"/>
  <c r="G14" i="29"/>
  <c r="G18" i="29" s="1"/>
  <c r="G21" i="29" s="1"/>
  <c r="H14" i="29"/>
  <c r="H18" i="29" s="1"/>
  <c r="H21" i="29" s="1"/>
  <c r="I14" i="29"/>
  <c r="I18" i="29" s="1"/>
  <c r="I21" i="29" s="1"/>
  <c r="J14" i="29"/>
  <c r="J18" i="29" s="1"/>
  <c r="J21" i="29" s="1"/>
  <c r="K14" i="29"/>
  <c r="K18" i="29" s="1"/>
  <c r="K21" i="29" s="1"/>
  <c r="L14" i="29"/>
  <c r="L18" i="29" s="1"/>
  <c r="L21" i="29" s="1"/>
  <c r="M14" i="29"/>
  <c r="M18" i="29" s="1"/>
  <c r="M21" i="29" s="1"/>
  <c r="B14" i="29"/>
  <c r="B18" i="29" s="1"/>
  <c r="B21" i="29" s="1"/>
  <c r="B22" i="29" s="1"/>
  <c r="C20" i="29" s="1"/>
  <c r="C27" i="29" s="1"/>
  <c r="C11" i="14"/>
  <c r="D11" i="14"/>
  <c r="E11" i="14"/>
  <c r="F11" i="14"/>
  <c r="G11" i="14"/>
  <c r="H11" i="14"/>
  <c r="I11" i="14"/>
  <c r="J11" i="14"/>
  <c r="K11" i="14"/>
  <c r="L11" i="14"/>
  <c r="M11" i="14"/>
  <c r="B11" i="14"/>
  <c r="B18" i="28"/>
  <c r="B19" i="28" s="1"/>
  <c r="C17" i="28" s="1"/>
  <c r="M9" i="28"/>
  <c r="M12" i="28" s="1"/>
  <c r="L9" i="28"/>
  <c r="L12" i="28" s="1"/>
  <c r="K9" i="28"/>
  <c r="K12" i="28" s="1"/>
  <c r="J9" i="28"/>
  <c r="J12" i="28" s="1"/>
  <c r="I9" i="28"/>
  <c r="I12" i="28" s="1"/>
  <c r="H9" i="28"/>
  <c r="H12" i="28" s="1"/>
  <c r="G9" i="28"/>
  <c r="G12" i="28" s="1"/>
  <c r="F9" i="28"/>
  <c r="F12" i="28" s="1"/>
  <c r="E9" i="28"/>
  <c r="E12" i="28" s="1"/>
  <c r="D9" i="28"/>
  <c r="D12" i="28" s="1"/>
  <c r="C9" i="28"/>
  <c r="C12" i="28" s="1"/>
  <c r="B9" i="28"/>
  <c r="B12" i="28" s="1"/>
  <c r="B13" i="28" s="1"/>
  <c r="C11" i="28" s="1"/>
  <c r="C11" i="24"/>
  <c r="B11" i="24"/>
  <c r="E11" i="24" s="1"/>
  <c r="C13" i="27"/>
  <c r="D13" i="27"/>
  <c r="E13" i="27"/>
  <c r="F13" i="27"/>
  <c r="G13" i="27"/>
  <c r="H13" i="27"/>
  <c r="I13" i="27"/>
  <c r="I16" i="27" s="1"/>
  <c r="J13" i="27"/>
  <c r="J16" i="27" s="1"/>
  <c r="K13" i="27"/>
  <c r="L13" i="27"/>
  <c r="M13" i="27"/>
  <c r="B13" i="27"/>
  <c r="B16" i="27" s="1"/>
  <c r="B17" i="27" s="1"/>
  <c r="C15" i="27" s="1"/>
  <c r="B22" i="27"/>
  <c r="B23" i="27" s="1"/>
  <c r="C21" i="27" s="1"/>
  <c r="M16" i="27"/>
  <c r="L16" i="27"/>
  <c r="K16" i="27"/>
  <c r="H16" i="27"/>
  <c r="G16" i="27"/>
  <c r="F16" i="27"/>
  <c r="E16" i="27"/>
  <c r="D16" i="27"/>
  <c r="C16" i="27"/>
  <c r="C17" i="26"/>
  <c r="D17" i="26"/>
  <c r="K17" i="26"/>
  <c r="L17" i="26"/>
  <c r="C14" i="26"/>
  <c r="D14" i="26"/>
  <c r="E14" i="26"/>
  <c r="E17" i="26" s="1"/>
  <c r="F14" i="26"/>
  <c r="F17" i="26" s="1"/>
  <c r="G14" i="26"/>
  <c r="G17" i="26" s="1"/>
  <c r="H14" i="26"/>
  <c r="H17" i="26" s="1"/>
  <c r="I14" i="26"/>
  <c r="I17" i="26" s="1"/>
  <c r="J14" i="26"/>
  <c r="J17" i="26" s="1"/>
  <c r="K14" i="26"/>
  <c r="L14" i="26"/>
  <c r="B14" i="26"/>
  <c r="B17" i="26" s="1"/>
  <c r="M11" i="26"/>
  <c r="M12" i="26" s="1"/>
  <c r="M14" i="26" s="1"/>
  <c r="M17" i="26" s="1"/>
  <c r="B23" i="26"/>
  <c r="B24" i="26" s="1"/>
  <c r="C22" i="26" s="1"/>
  <c r="D14" i="25"/>
  <c r="E14" i="25"/>
  <c r="F14" i="25"/>
  <c r="G14" i="25"/>
  <c r="H14" i="25"/>
  <c r="I14" i="25"/>
  <c r="J14" i="25"/>
  <c r="K14" i="25"/>
  <c r="L14" i="25"/>
  <c r="M14" i="25"/>
  <c r="N11" i="25"/>
  <c r="N14" i="25" s="1"/>
  <c r="O14" i="25"/>
  <c r="C20" i="25"/>
  <c r="C21" i="25" s="1"/>
  <c r="D19" i="25" s="1"/>
  <c r="C10" i="3"/>
  <c r="C13" i="3" s="1"/>
  <c r="D10" i="3"/>
  <c r="D13" i="3" s="1"/>
  <c r="E10" i="3"/>
  <c r="E13" i="3" s="1"/>
  <c r="F10" i="3"/>
  <c r="F13" i="3" s="1"/>
  <c r="G10" i="3"/>
  <c r="G13" i="3" s="1"/>
  <c r="H10" i="3"/>
  <c r="H13" i="3" s="1"/>
  <c r="I10" i="3"/>
  <c r="I13" i="3" s="1"/>
  <c r="J10" i="3"/>
  <c r="J13" i="3" s="1"/>
  <c r="K10" i="3"/>
  <c r="K13" i="3" s="1"/>
  <c r="L10" i="3"/>
  <c r="L13" i="3" s="1"/>
  <c r="M10" i="3"/>
  <c r="M13" i="3" s="1"/>
  <c r="B10" i="3"/>
  <c r="B13" i="3" s="1"/>
  <c r="B28" i="29" l="1"/>
  <c r="C26" i="29" s="1"/>
  <c r="B29" i="30"/>
  <c r="C27" i="30" s="1"/>
  <c r="C21" i="30"/>
  <c r="D11" i="24"/>
  <c r="F11" i="24"/>
  <c r="C22" i="29"/>
  <c r="C18" i="28"/>
  <c r="C19" i="28" s="1"/>
  <c r="D17" i="28" s="1"/>
  <c r="C13" i="28"/>
  <c r="D11" i="28" s="1"/>
  <c r="C22" i="27"/>
  <c r="C23" i="27" s="1"/>
  <c r="D21" i="27" s="1"/>
  <c r="C17" i="27"/>
  <c r="D15" i="27" s="1"/>
  <c r="B18" i="26"/>
  <c r="C16" i="26" s="1"/>
  <c r="C18" i="26" s="1"/>
  <c r="D16" i="26" s="1"/>
  <c r="C14" i="25"/>
  <c r="C15" i="25" s="1"/>
  <c r="D13" i="25" s="1"/>
  <c r="C23" i="30" l="1"/>
  <c r="D21" i="30" s="1"/>
  <c r="C28" i="30"/>
  <c r="C29" i="30" s="1"/>
  <c r="D27" i="30" s="1"/>
  <c r="D20" i="29"/>
  <c r="D27" i="29" s="1"/>
  <c r="C28" i="29"/>
  <c r="D26" i="29" s="1"/>
  <c r="D22" i="29"/>
  <c r="D18" i="28"/>
  <c r="D19" i="28" s="1"/>
  <c r="E17" i="28" s="1"/>
  <c r="D13" i="28"/>
  <c r="E11" i="28" s="1"/>
  <c r="D22" i="27"/>
  <c r="D23" i="27" s="1"/>
  <c r="E21" i="27" s="1"/>
  <c r="D17" i="27"/>
  <c r="E15" i="27" s="1"/>
  <c r="C23" i="26"/>
  <c r="C24" i="26" s="1"/>
  <c r="D22" i="26" s="1"/>
  <c r="D23" i="26"/>
  <c r="D18" i="26"/>
  <c r="E16" i="26" s="1"/>
  <c r="D20" i="25"/>
  <c r="D21" i="25" s="1"/>
  <c r="E19" i="25" s="1"/>
  <c r="D15" i="25"/>
  <c r="E13" i="25" s="1"/>
  <c r="E15" i="25" s="1"/>
  <c r="F13" i="25" s="1"/>
  <c r="D23" i="30" l="1"/>
  <c r="E21" i="30" s="1"/>
  <c r="D28" i="30"/>
  <c r="D29" i="30" s="1"/>
  <c r="E27" i="30" s="1"/>
  <c r="E20" i="29"/>
  <c r="E27" i="29" s="1"/>
  <c r="D28" i="29"/>
  <c r="E26" i="29" s="1"/>
  <c r="E22" i="29"/>
  <c r="E13" i="28"/>
  <c r="F11" i="28" s="1"/>
  <c r="E18" i="28"/>
  <c r="E19" i="28" s="1"/>
  <c r="F17" i="28" s="1"/>
  <c r="E17" i="27"/>
  <c r="F15" i="27" s="1"/>
  <c r="E22" i="27"/>
  <c r="E23" i="27" s="1"/>
  <c r="F21" i="27" s="1"/>
  <c r="D24" i="26"/>
  <c r="E22" i="26" s="1"/>
  <c r="E18" i="26"/>
  <c r="F16" i="26" s="1"/>
  <c r="E23" i="26"/>
  <c r="E20" i="25"/>
  <c r="E21" i="25" s="1"/>
  <c r="F19" i="25" s="1"/>
  <c r="F15" i="25"/>
  <c r="G13" i="25" s="1"/>
  <c r="F20" i="25"/>
  <c r="E23" i="30" l="1"/>
  <c r="F21" i="30" s="1"/>
  <c r="E28" i="30"/>
  <c r="E29" i="30" s="1"/>
  <c r="F27" i="30" s="1"/>
  <c r="F20" i="29"/>
  <c r="F27" i="29" s="1"/>
  <c r="E28" i="29"/>
  <c r="F26" i="29" s="1"/>
  <c r="F13" i="28"/>
  <c r="G11" i="28" s="1"/>
  <c r="F18" i="28"/>
  <c r="F19" i="28" s="1"/>
  <c r="G17" i="28" s="1"/>
  <c r="F22" i="27"/>
  <c r="F23" i="27" s="1"/>
  <c r="G21" i="27" s="1"/>
  <c r="F17" i="27"/>
  <c r="G15" i="27" s="1"/>
  <c r="E24" i="26"/>
  <c r="F22" i="26" s="1"/>
  <c r="F18" i="26"/>
  <c r="G16" i="26" s="1"/>
  <c r="F23" i="26"/>
  <c r="F21" i="25"/>
  <c r="G19" i="25" s="1"/>
  <c r="G20" i="25"/>
  <c r="G15" i="25"/>
  <c r="H13" i="25" s="1"/>
  <c r="F23" i="30" l="1"/>
  <c r="G21" i="30" s="1"/>
  <c r="F28" i="30"/>
  <c r="F29" i="30" s="1"/>
  <c r="G27" i="30" s="1"/>
  <c r="F22" i="29"/>
  <c r="G20" i="29"/>
  <c r="G27" i="29" s="1"/>
  <c r="F28" i="29"/>
  <c r="G26" i="29" s="1"/>
  <c r="G18" i="28"/>
  <c r="G19" i="28" s="1"/>
  <c r="H17" i="28" s="1"/>
  <c r="G13" i="28"/>
  <c r="H11" i="28" s="1"/>
  <c r="G22" i="27"/>
  <c r="G23" i="27" s="1"/>
  <c r="H21" i="27" s="1"/>
  <c r="G17" i="27"/>
  <c r="H15" i="27" s="1"/>
  <c r="F24" i="26"/>
  <c r="G22" i="26" s="1"/>
  <c r="G18" i="26"/>
  <c r="H16" i="26" s="1"/>
  <c r="G23" i="26"/>
  <c r="G21" i="25"/>
  <c r="H19" i="25" s="1"/>
  <c r="H20" i="25"/>
  <c r="H21" i="25" s="1"/>
  <c r="I19" i="25" s="1"/>
  <c r="H15" i="25"/>
  <c r="I13" i="25" s="1"/>
  <c r="G23" i="30" l="1"/>
  <c r="H21" i="30" s="1"/>
  <c r="G28" i="30"/>
  <c r="G22" i="29"/>
  <c r="H20" i="29"/>
  <c r="H27" i="29" s="1"/>
  <c r="G28" i="29"/>
  <c r="H26" i="29" s="1"/>
  <c r="G29" i="30"/>
  <c r="H27" i="30" s="1"/>
  <c r="H18" i="28"/>
  <c r="H19" i="28" s="1"/>
  <c r="I17" i="28" s="1"/>
  <c r="H13" i="28"/>
  <c r="I11" i="28" s="1"/>
  <c r="H22" i="27"/>
  <c r="H23" i="27" s="1"/>
  <c r="I21" i="27" s="1"/>
  <c r="H17" i="27"/>
  <c r="I15" i="27" s="1"/>
  <c r="G24" i="26"/>
  <c r="H22" i="26" s="1"/>
  <c r="H23" i="26"/>
  <c r="H24" i="26" s="1"/>
  <c r="I22" i="26" s="1"/>
  <c r="H18" i="26"/>
  <c r="I16" i="26" s="1"/>
  <c r="I20" i="25"/>
  <c r="I21" i="25" s="1"/>
  <c r="J19" i="25" s="1"/>
  <c r="I15" i="25"/>
  <c r="J13" i="25" s="1"/>
  <c r="H23" i="30" l="1"/>
  <c r="H28" i="30"/>
  <c r="H29" i="30" s="1"/>
  <c r="I27" i="30" s="1"/>
  <c r="H22" i="29"/>
  <c r="I20" i="29" s="1"/>
  <c r="H28" i="29"/>
  <c r="I26" i="29" s="1"/>
  <c r="I21" i="30"/>
  <c r="I18" i="28"/>
  <c r="I19" i="28" s="1"/>
  <c r="J17" i="28" s="1"/>
  <c r="I13" i="28"/>
  <c r="J11" i="28" s="1"/>
  <c r="I22" i="27"/>
  <c r="I23" i="27" s="1"/>
  <c r="J21" i="27" s="1"/>
  <c r="I17" i="27"/>
  <c r="J15" i="27" s="1"/>
  <c r="I23" i="26"/>
  <c r="I24" i="26" s="1"/>
  <c r="J22" i="26" s="1"/>
  <c r="I18" i="26"/>
  <c r="J16" i="26" s="1"/>
  <c r="J20" i="25"/>
  <c r="J21" i="25" s="1"/>
  <c r="K19" i="25" s="1"/>
  <c r="J15" i="25"/>
  <c r="K13" i="25" s="1"/>
  <c r="I23" i="30" l="1"/>
  <c r="J21" i="30" s="1"/>
  <c r="I28" i="30"/>
  <c r="I29" i="30" s="1"/>
  <c r="J27" i="30" s="1"/>
  <c r="I27" i="29"/>
  <c r="I22" i="29"/>
  <c r="J20" i="29"/>
  <c r="I28" i="29"/>
  <c r="J26" i="29" s="1"/>
  <c r="J18" i="28"/>
  <c r="J19" i="28" s="1"/>
  <c r="K17" i="28" s="1"/>
  <c r="J13" i="28"/>
  <c r="K11" i="28" s="1"/>
  <c r="J17" i="27"/>
  <c r="K15" i="27" s="1"/>
  <c r="J22" i="27"/>
  <c r="J23" i="27" s="1"/>
  <c r="K21" i="27" s="1"/>
  <c r="J23" i="26"/>
  <c r="J24" i="26" s="1"/>
  <c r="K22" i="26" s="1"/>
  <c r="J18" i="26"/>
  <c r="K16" i="26" s="1"/>
  <c r="K20" i="25"/>
  <c r="K21" i="25" s="1"/>
  <c r="L19" i="25" s="1"/>
  <c r="K15" i="25"/>
  <c r="L13" i="25" s="1"/>
  <c r="J23" i="30" l="1"/>
  <c r="K21" i="30" s="1"/>
  <c r="J28" i="30"/>
  <c r="J29" i="30" s="1"/>
  <c r="K27" i="30" s="1"/>
  <c r="J22" i="29"/>
  <c r="K20" i="29" s="1"/>
  <c r="J27" i="29"/>
  <c r="J28" i="29"/>
  <c r="K26" i="29" s="1"/>
  <c r="K18" i="28"/>
  <c r="K19" i="28" s="1"/>
  <c r="L17" i="28" s="1"/>
  <c r="K13" i="28"/>
  <c r="L11" i="28" s="1"/>
  <c r="K22" i="27"/>
  <c r="K23" i="27" s="1"/>
  <c r="L21" i="27" s="1"/>
  <c r="K17" i="27"/>
  <c r="L15" i="27" s="1"/>
  <c r="K23" i="26"/>
  <c r="K24" i="26" s="1"/>
  <c r="L22" i="26" s="1"/>
  <c r="K18" i="26"/>
  <c r="L16" i="26" s="1"/>
  <c r="L20" i="25"/>
  <c r="L21" i="25" s="1"/>
  <c r="M19" i="25" s="1"/>
  <c r="L15" i="25"/>
  <c r="M13" i="25" s="1"/>
  <c r="K23" i="30" l="1"/>
  <c r="L21" i="30" s="1"/>
  <c r="K28" i="30"/>
  <c r="K27" i="29"/>
  <c r="K28" i="29" s="1"/>
  <c r="L26" i="29" s="1"/>
  <c r="K22" i="29"/>
  <c r="L20" i="29"/>
  <c r="L27" i="29" s="1"/>
  <c r="K29" i="30"/>
  <c r="L27" i="30" s="1"/>
  <c r="L18" i="28"/>
  <c r="L19" i="28" s="1"/>
  <c r="M17" i="28" s="1"/>
  <c r="L13" i="28"/>
  <c r="M11" i="28" s="1"/>
  <c r="L22" i="27"/>
  <c r="L23" i="27" s="1"/>
  <c r="M21" i="27" s="1"/>
  <c r="L17" i="27"/>
  <c r="M15" i="27" s="1"/>
  <c r="L23" i="26"/>
  <c r="L24" i="26" s="1"/>
  <c r="M22" i="26" s="1"/>
  <c r="L18" i="26"/>
  <c r="M16" i="26" s="1"/>
  <c r="M15" i="25"/>
  <c r="N13" i="25" s="1"/>
  <c r="M20" i="25"/>
  <c r="M21" i="25" s="1"/>
  <c r="N19" i="25" s="1"/>
  <c r="L23" i="30" l="1"/>
  <c r="M21" i="30" s="1"/>
  <c r="L28" i="30"/>
  <c r="L29" i="30" s="1"/>
  <c r="M27" i="30" s="1"/>
  <c r="L22" i="29"/>
  <c r="M20" i="29"/>
  <c r="M27" i="29" s="1"/>
  <c r="L28" i="29"/>
  <c r="M26" i="29" s="1"/>
  <c r="M22" i="29"/>
  <c r="M13" i="28"/>
  <c r="M18" i="28"/>
  <c r="M19" i="28" s="1"/>
  <c r="M17" i="27"/>
  <c r="M22" i="27"/>
  <c r="M23" i="27" s="1"/>
  <c r="M18" i="26"/>
  <c r="M23" i="26"/>
  <c r="M24" i="26" s="1"/>
  <c r="N20" i="25"/>
  <c r="N21" i="25" s="1"/>
  <c r="N15" i="25"/>
  <c r="M23" i="30" l="1"/>
  <c r="B34" i="30" s="1"/>
  <c r="M28" i="30"/>
  <c r="M29" i="30" s="1"/>
  <c r="M28" i="29"/>
  <c r="B34" i="29" s="1"/>
  <c r="C19" i="24" s="1"/>
  <c r="B33" i="29"/>
  <c r="O27" i="29"/>
  <c r="C34" i="29" s="1"/>
  <c r="C35" i="29" s="1"/>
  <c r="O17" i="28"/>
  <c r="B25" i="28"/>
  <c r="C12" i="24" s="1"/>
  <c r="B24" i="28"/>
  <c r="O21" i="27"/>
  <c r="B29" i="27"/>
  <c r="B28" i="27"/>
  <c r="D28" i="27" s="1"/>
  <c r="O22" i="26"/>
  <c r="B30" i="26"/>
  <c r="C10" i="24" s="1"/>
  <c r="B29" i="26"/>
  <c r="P19" i="25"/>
  <c r="C27" i="25"/>
  <c r="C26" i="25"/>
  <c r="O28" i="30" l="1"/>
  <c r="C35" i="30" s="1"/>
  <c r="C36" i="30" s="1"/>
  <c r="D34" i="30"/>
  <c r="B18" i="24"/>
  <c r="D29" i="26"/>
  <c r="B10" i="24"/>
  <c r="D24" i="28"/>
  <c r="B12" i="24"/>
  <c r="E26" i="25"/>
  <c r="B9" i="24"/>
  <c r="O26" i="29"/>
  <c r="O28" i="29" s="1"/>
  <c r="D33" i="29"/>
  <c r="B19" i="24"/>
  <c r="O27" i="30"/>
  <c r="B35" i="30"/>
  <c r="C18" i="24" s="1"/>
  <c r="B35" i="29"/>
  <c r="D35" i="29" s="1"/>
  <c r="D34" i="29"/>
  <c r="B26" i="28"/>
  <c r="B30" i="27"/>
  <c r="B31" i="26"/>
  <c r="C28" i="25"/>
  <c r="O29" i="30" l="1"/>
  <c r="D18" i="24"/>
  <c r="F18" i="24"/>
  <c r="E18" i="24"/>
  <c r="G18" i="24"/>
  <c r="F12" i="24"/>
  <c r="E12" i="24"/>
  <c r="D12" i="24"/>
  <c r="D19" i="24"/>
  <c r="G19" i="24"/>
  <c r="F19" i="24"/>
  <c r="E19" i="24"/>
  <c r="B36" i="30"/>
  <c r="D36" i="30" s="1"/>
  <c r="D35" i="30"/>
  <c r="H19" i="24" l="1"/>
  <c r="J18" i="24" s="1"/>
  <c r="H18" i="24"/>
  <c r="J19" i="24" s="1"/>
  <c r="D9" i="24" l="1"/>
  <c r="E9" i="24"/>
  <c r="F9" i="24"/>
  <c r="D10" i="24"/>
  <c r="E10" i="24"/>
  <c r="F10" i="24"/>
  <c r="G7" i="24"/>
  <c r="A4" i="14"/>
  <c r="A2" i="14"/>
  <c r="A1" i="14"/>
  <c r="G9" i="24" l="1"/>
  <c r="O15" i="28"/>
  <c r="O18" i="28" s="1"/>
  <c r="G12" i="24"/>
  <c r="H12" i="24" s="1"/>
  <c r="O20" i="26"/>
  <c r="O23" i="26" s="1"/>
  <c r="P17" i="25"/>
  <c r="P20" i="25" s="1"/>
  <c r="O19" i="27"/>
  <c r="O22" i="27" s="1"/>
  <c r="G11" i="24"/>
  <c r="H11" i="24" s="1"/>
  <c r="O16" i="3"/>
  <c r="N15" i="14" s="1"/>
  <c r="G10" i="24"/>
  <c r="H10" i="24" s="1"/>
  <c r="D27" i="25" l="1"/>
  <c r="P21" i="25"/>
  <c r="C29" i="27"/>
  <c r="O23" i="27"/>
  <c r="C30" i="26"/>
  <c r="O24" i="26"/>
  <c r="C25" i="28"/>
  <c r="O19" i="28"/>
  <c r="A2" i="19"/>
  <c r="A1" i="19"/>
  <c r="C30" i="27" l="1"/>
  <c r="D30" i="27" s="1"/>
  <c r="D29" i="27"/>
  <c r="C26" i="28"/>
  <c r="D26" i="28" s="1"/>
  <c r="J12" i="24" s="1"/>
  <c r="D25" i="28"/>
  <c r="D28" i="25"/>
  <c r="E28" i="25" s="1"/>
  <c r="E27" i="25"/>
  <c r="C31" i="26"/>
  <c r="D31" i="26" s="1"/>
  <c r="J10" i="24" s="1"/>
  <c r="D30" i="26"/>
  <c r="J11" i="24" l="1"/>
  <c r="E37" i="27"/>
  <c r="F37" i="27"/>
  <c r="G37" i="27"/>
  <c r="D37" i="27"/>
  <c r="C46" i="29"/>
  <c r="C61" i="30"/>
  <c r="C38" i="28"/>
  <c r="C31" i="28"/>
  <c r="D33" i="25"/>
  <c r="E34" i="25" s="1"/>
  <c r="C41" i="30"/>
  <c r="D42" i="30" s="1"/>
  <c r="D43" i="30" s="1"/>
  <c r="D56" i="30" s="1"/>
  <c r="C36" i="26"/>
  <c r="D37" i="26" s="1"/>
  <c r="C30" i="14"/>
  <c r="D31" i="14" s="1"/>
  <c r="D37" i="14" s="1"/>
  <c r="D64" i="30" l="1"/>
  <c r="F37" i="26"/>
  <c r="D38" i="26"/>
  <c r="D46" i="26" s="1"/>
  <c r="D45" i="26" s="1"/>
  <c r="G37" i="26"/>
  <c r="F34" i="25"/>
  <c r="C40" i="29"/>
  <c r="E41" i="25"/>
  <c r="E35" i="25"/>
  <c r="E42" i="30"/>
  <c r="E43" i="30" s="1"/>
  <c r="E56" i="30" s="1"/>
  <c r="F38" i="26"/>
  <c r="F46" i="26" s="1"/>
  <c r="F45" i="26" s="1"/>
  <c r="G34" i="25"/>
  <c r="E37" i="26"/>
  <c r="F42" i="30"/>
  <c r="F43" i="30" s="1"/>
  <c r="F56" i="30" s="1"/>
  <c r="E31" i="14"/>
  <c r="E37" i="14" s="1"/>
  <c r="F31" i="14"/>
  <c r="F37" i="14" s="1"/>
  <c r="G31" i="14"/>
  <c r="H37" i="14" s="1"/>
  <c r="B18" i="14"/>
  <c r="B19" i="14" s="1"/>
  <c r="C17" i="14" s="1"/>
  <c r="F64" i="30" l="1"/>
  <c r="E64" i="30"/>
  <c r="C56" i="30"/>
  <c r="D55" i="30" s="1"/>
  <c r="C37" i="14"/>
  <c r="C49" i="30"/>
  <c r="D33" i="28"/>
  <c r="D41" i="28" s="1"/>
  <c r="D40" i="28" s="1"/>
  <c r="D39" i="28"/>
  <c r="C37" i="26"/>
  <c r="G41" i="25"/>
  <c r="G35" i="25"/>
  <c r="G43" i="25" s="1"/>
  <c r="G42" i="25" s="1"/>
  <c r="E43" i="25"/>
  <c r="E42" i="25" s="1"/>
  <c r="D34" i="25"/>
  <c r="E38" i="26"/>
  <c r="E46" i="26" s="1"/>
  <c r="E45" i="26" s="1"/>
  <c r="C42" i="30"/>
  <c r="D47" i="29"/>
  <c r="D41" i="29"/>
  <c r="D49" i="29" s="1"/>
  <c r="D48" i="29" s="1"/>
  <c r="F41" i="25"/>
  <c r="D41" i="25" s="1"/>
  <c r="F35" i="25"/>
  <c r="F43" i="25" s="1"/>
  <c r="F42" i="25" s="1"/>
  <c r="E39" i="28"/>
  <c r="E33" i="28"/>
  <c r="E41" i="28" s="1"/>
  <c r="E40" i="28" s="1"/>
  <c r="F63" i="30"/>
  <c r="G38" i="26"/>
  <c r="H46" i="26" s="1"/>
  <c r="H45" i="26" s="1"/>
  <c r="C31" i="14"/>
  <c r="B12" i="14"/>
  <c r="C10" i="14" s="1"/>
  <c r="C12" i="14" s="1"/>
  <c r="D10" i="14" s="1"/>
  <c r="D12" i="14" s="1"/>
  <c r="E10" i="14" s="1"/>
  <c r="E12" i="14" s="1"/>
  <c r="F10" i="14" s="1"/>
  <c r="F12" i="14" s="1"/>
  <c r="G10" i="14" s="1"/>
  <c r="G12" i="14" s="1"/>
  <c r="H10" i="14" s="1"/>
  <c r="H12" i="14" s="1"/>
  <c r="I10" i="14" s="1"/>
  <c r="I12" i="14" s="1"/>
  <c r="J10" i="14" s="1"/>
  <c r="J12" i="14" s="1"/>
  <c r="K10" i="14" s="1"/>
  <c r="K12" i="14" s="1"/>
  <c r="L10" i="14" s="1"/>
  <c r="L12" i="14" s="1"/>
  <c r="M10" i="14" s="1"/>
  <c r="M12" i="14" s="1"/>
  <c r="D62" i="30" l="1"/>
  <c r="C62" i="30" s="1"/>
  <c r="E55" i="30"/>
  <c r="E62" i="30" s="1"/>
  <c r="F55" i="30"/>
  <c r="F62" i="30" s="1"/>
  <c r="E63" i="30"/>
  <c r="C45" i="26"/>
  <c r="C39" i="28"/>
  <c r="C47" i="29"/>
  <c r="D35" i="25"/>
  <c r="D63" i="30"/>
  <c r="D42" i="25"/>
  <c r="C41" i="29"/>
  <c r="C33" i="28"/>
  <c r="C48" i="29"/>
  <c r="C38" i="26"/>
  <c r="C18" i="14"/>
  <c r="C19" i="14" s="1"/>
  <c r="D17" i="14" s="1"/>
  <c r="C55" i="30" l="1"/>
  <c r="C63" i="30"/>
  <c r="D18" i="14"/>
  <c r="D19" i="14" s="1"/>
  <c r="E17" i="14" s="1"/>
  <c r="E18" i="14" l="1"/>
  <c r="E19" i="14" s="1"/>
  <c r="F17" i="14" s="1"/>
  <c r="F18" i="14" l="1"/>
  <c r="F19" i="14" s="1"/>
  <c r="G17" i="14" s="1"/>
  <c r="G18" i="14" l="1"/>
  <c r="G19" i="14" s="1"/>
  <c r="H17" i="14" s="1"/>
  <c r="H18" i="14" l="1"/>
  <c r="H19" i="14" s="1"/>
  <c r="I17" i="14" s="1"/>
  <c r="I18" i="14" l="1"/>
  <c r="I19" i="14" s="1"/>
  <c r="J17" i="14" s="1"/>
  <c r="J18" i="14" l="1"/>
  <c r="J19" i="14" s="1"/>
  <c r="K17" i="14" s="1"/>
  <c r="K18" i="14" l="1"/>
  <c r="K19" i="14" s="1"/>
  <c r="L17" i="14" s="1"/>
  <c r="L18" i="14" l="1"/>
  <c r="L19" i="14" s="1"/>
  <c r="M17" i="14" s="1"/>
  <c r="M18" i="14" l="1"/>
  <c r="M19" i="14" s="1"/>
  <c r="N17" i="14" l="1"/>
  <c r="B25" i="14"/>
  <c r="C13" i="24" s="1"/>
  <c r="B24" i="14"/>
  <c r="B13" i="24" s="1"/>
  <c r="N18" i="14"/>
  <c r="B19" i="3"/>
  <c r="B20" i="3" s="1"/>
  <c r="C18" i="3" s="1"/>
  <c r="B14" i="3"/>
  <c r="C12" i="3" s="1"/>
  <c r="D13" i="24" l="1"/>
  <c r="F13" i="24"/>
  <c r="E13" i="24"/>
  <c r="G13" i="24"/>
  <c r="H13" i="24" s="1"/>
  <c r="N19" i="14"/>
  <c r="C25" i="14"/>
  <c r="C19" i="3"/>
  <c r="C20" i="3" s="1"/>
  <c r="D18" i="3" s="1"/>
  <c r="C14" i="3"/>
  <c r="D12" i="3" s="1"/>
  <c r="D19" i="3" l="1"/>
  <c r="D20" i="3" s="1"/>
  <c r="E18" i="3" s="1"/>
  <c r="D14" i="3"/>
  <c r="E12" i="3" s="1"/>
  <c r="E14" i="3" l="1"/>
  <c r="F12" i="3" s="1"/>
  <c r="E19" i="3"/>
  <c r="E20" i="3" s="1"/>
  <c r="F18" i="3" s="1"/>
  <c r="F19" i="3" l="1"/>
  <c r="F20" i="3" s="1"/>
  <c r="G18" i="3" s="1"/>
  <c r="F14" i="3"/>
  <c r="G12" i="3" s="1"/>
  <c r="G19" i="3" l="1"/>
  <c r="G20" i="3" s="1"/>
  <c r="H18" i="3" s="1"/>
  <c r="G14" i="3"/>
  <c r="H12" i="3" s="1"/>
  <c r="H19" i="3" l="1"/>
  <c r="H20" i="3" s="1"/>
  <c r="I18" i="3" s="1"/>
  <c r="H14" i="3"/>
  <c r="I12" i="3" s="1"/>
  <c r="I19" i="3" l="1"/>
  <c r="I20" i="3" s="1"/>
  <c r="J18" i="3" s="1"/>
  <c r="I14" i="3"/>
  <c r="J12" i="3" s="1"/>
  <c r="J19" i="3" l="1"/>
  <c r="J20" i="3" s="1"/>
  <c r="K18" i="3" s="1"/>
  <c r="J14" i="3"/>
  <c r="K12" i="3" s="1"/>
  <c r="K19" i="3" l="1"/>
  <c r="K20" i="3" s="1"/>
  <c r="L18" i="3" s="1"/>
  <c r="K14" i="3"/>
  <c r="L12" i="3" s="1"/>
  <c r="L14" i="3" l="1"/>
  <c r="M12" i="3" s="1"/>
  <c r="L19" i="3"/>
  <c r="L20" i="3" s="1"/>
  <c r="M18" i="3" s="1"/>
  <c r="D24" i="14" l="1"/>
  <c r="M19" i="3"/>
  <c r="M20" i="3" s="1"/>
  <c r="M14" i="3"/>
  <c r="B26" i="14" l="1"/>
  <c r="O19" i="3"/>
  <c r="C26" i="3" s="1"/>
  <c r="C27" i="3" s="1"/>
  <c r="B25" i="3"/>
  <c r="B8" i="24" s="1"/>
  <c r="O18" i="3"/>
  <c r="B26" i="3"/>
  <c r="F8" i="24" l="1"/>
  <c r="G8" i="24"/>
  <c r="E8" i="24"/>
  <c r="C9" i="24"/>
  <c r="H9" i="24" s="1"/>
  <c r="J9" i="24" s="1"/>
  <c r="C8" i="24"/>
  <c r="D8" i="24"/>
  <c r="H8" i="24"/>
  <c r="O20" i="3"/>
  <c r="D26" i="3"/>
  <c r="B27" i="3"/>
  <c r="D27" i="3" s="1"/>
  <c r="J8" i="24" l="1"/>
  <c r="C26" i="14"/>
  <c r="D26" i="14" s="1"/>
  <c r="J13" i="24" s="1"/>
  <c r="D25" i="14"/>
  <c r="C32" i="3"/>
  <c r="D32" i="14" l="1"/>
  <c r="D39" i="14" s="1"/>
  <c r="D38" i="14" s="1"/>
  <c r="G32" i="14"/>
  <c r="H39" i="14" s="1"/>
  <c r="H38" i="14" s="1"/>
  <c r="F32" i="14"/>
  <c r="F39" i="14" s="1"/>
  <c r="F38" i="14" s="1"/>
  <c r="E32" i="14"/>
  <c r="E39" i="14" s="1"/>
  <c r="E38" i="14" s="1"/>
  <c r="F33" i="3"/>
  <c r="G33" i="3"/>
  <c r="E33" i="3"/>
  <c r="D33" i="3"/>
  <c r="C38" i="14" l="1"/>
  <c r="C32" i="14"/>
  <c r="E40" i="3"/>
  <c r="E34" i="3"/>
  <c r="F40" i="3"/>
  <c r="F34" i="3"/>
  <c r="D40" i="3"/>
  <c r="D34" i="3"/>
  <c r="H40" i="3"/>
  <c r="G34" i="3"/>
  <c r="H42" i="3" s="1"/>
  <c r="H41" i="3" s="1"/>
  <c r="C33" i="3"/>
  <c r="C40" i="3" l="1"/>
  <c r="D42" i="3"/>
  <c r="E42" i="3"/>
  <c r="F42" i="3"/>
  <c r="F41" i="3" l="1"/>
  <c r="E41" i="3"/>
  <c r="D41" i="3"/>
  <c r="C34" i="3"/>
  <c r="D25" i="3" l="1"/>
  <c r="C41" i="3"/>
  <c r="D43" i="27" l="1"/>
  <c r="D45" i="27" l="1"/>
  <c r="D44" i="27" s="1"/>
  <c r="H45" i="27"/>
  <c r="H44" i="27" s="1"/>
  <c r="C37" i="27"/>
  <c r="C43" i="27"/>
  <c r="E43" i="27"/>
  <c r="F45" i="27"/>
  <c r="F44" i="27" s="1"/>
  <c r="E45" i="27"/>
  <c r="E44" i="27" s="1"/>
  <c r="F43" i="27"/>
  <c r="C36" i="27"/>
  <c r="H43" i="27"/>
  <c r="C44" i="27" l="1"/>
  <c r="C40" i="28"/>
  <c r="E9" i="31"/>
  <c r="E35" i="31" s="1"/>
  <c r="D9" i="31"/>
  <c r="D35" i="31" s="1"/>
  <c r="F9" i="31"/>
  <c r="F35" i="31" s="1"/>
  <c r="D34" i="31" l="1"/>
  <c r="D50" i="31"/>
  <c r="D49" i="31" s="1"/>
  <c r="F34" i="31"/>
  <c r="F50" i="31"/>
  <c r="F49" i="31" s="1"/>
  <c r="E34" i="31"/>
  <c r="E50" i="31"/>
  <c r="E49" i="31" s="1"/>
  <c r="BO11" i="32"/>
  <c r="C49" i="31" l="1"/>
  <c r="C43" i="31" l="1"/>
  <c r="C48" i="31" s="1"/>
  <c r="C53" i="31" s="1"/>
  <c r="C44" i="31"/>
</calcChain>
</file>

<file path=xl/sharedStrings.xml><?xml version="1.0" encoding="utf-8"?>
<sst xmlns="http://schemas.openxmlformats.org/spreadsheetml/2006/main" count="759" uniqueCount="208">
  <si>
    <t>EPCOR Natural Gas Limited Partnership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</si>
  <si>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</si>
  <si>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</si>
  <si>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</si>
  <si>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</si>
  <si>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</si>
  <si>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</si>
  <si>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</si>
  <si>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</si>
  <si>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</si>
  <si>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</si>
  <si>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</si>
  <si>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</si>
  <si>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Interest Rate</t>
  </si>
  <si>
    <t>Opening Interest Balance</t>
  </si>
  <si>
    <t>Monthly Interest Calculation</t>
  </si>
  <si>
    <t>Closing Interest Balance</t>
  </si>
  <si>
    <t>Total</t>
  </si>
  <si>
    <t>Unit</t>
  </si>
  <si>
    <t>Row Sum</t>
  </si>
  <si>
    <t>%</t>
  </si>
  <si>
    <t>$</t>
  </si>
  <si>
    <t>Allocation</t>
  </si>
  <si>
    <t>Rate Rider</t>
  </si>
  <si>
    <t>Volume</t>
  </si>
  <si>
    <t>Rate 1</t>
  </si>
  <si>
    <t>JAN-DEC</t>
  </si>
  <si>
    <r>
      <t>000's m</t>
    </r>
    <r>
      <rPr>
        <vertAlign val="superscript"/>
        <sz val="11"/>
        <rFont val="Arial"/>
        <family val="2"/>
      </rPr>
      <t>3</t>
    </r>
  </si>
  <si>
    <r>
      <t>¢/m</t>
    </r>
    <r>
      <rPr>
        <b/>
        <vertAlign val="superscript"/>
        <sz val="11"/>
        <rFont val="Arial"/>
        <family val="2"/>
      </rPr>
      <t>3</t>
    </r>
  </si>
  <si>
    <t>Jan-Dec</t>
  </si>
  <si>
    <t>Opening UFG Balance</t>
  </si>
  <si>
    <t>Closing UFG Balance</t>
  </si>
  <si>
    <t>UFG Interest</t>
  </si>
  <si>
    <t>R1</t>
  </si>
  <si>
    <t>Principal</t>
  </si>
  <si>
    <t>Carrying Charges</t>
  </si>
  <si>
    <t>2024 Balance</t>
  </si>
  <si>
    <t>UFGVA Account Balance</t>
  </si>
  <si>
    <t>Billing &amp; Allocation Determinants</t>
  </si>
  <si>
    <t>Continuity Schedule</t>
  </si>
  <si>
    <r>
      <t xml:space="preserve">Unaccounted For Gas Variance Account  </t>
    </r>
    <r>
      <rPr>
        <b/>
        <i/>
        <sz val="11"/>
        <rFont val="Arial"/>
        <family val="2"/>
      </rPr>
      <t>(UFGVA)</t>
    </r>
  </si>
  <si>
    <t>Q1</t>
  </si>
  <si>
    <t>Q2</t>
  </si>
  <si>
    <t>Q3</t>
  </si>
  <si>
    <t>Q4</t>
  </si>
  <si>
    <t>2025 Carrying Charges</t>
  </si>
  <si>
    <t>UFGVA</t>
  </si>
  <si>
    <t>Check</t>
  </si>
  <si>
    <t>2025 Balance</t>
  </si>
  <si>
    <r>
      <t>Change in UFG Balance (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)</t>
    </r>
  </si>
  <si>
    <t>EB-2025-0178</t>
  </si>
  <si>
    <t>Deferral Account Summary</t>
  </si>
  <si>
    <t>CIACVA</t>
  </si>
  <si>
    <t>ECVA</t>
  </si>
  <si>
    <t>MTVA</t>
  </si>
  <si>
    <t>ORDA</t>
  </si>
  <si>
    <t>CVVA</t>
  </si>
  <si>
    <t>TVA</t>
  </si>
  <si>
    <t>S&amp;TVA</t>
  </si>
  <si>
    <t>Contribution In Aid of Construction Variance Account (CIACVA)</t>
  </si>
  <si>
    <t>Difference</t>
  </si>
  <si>
    <t>CIAC Revenue Requirement Based on Amount Paid</t>
  </si>
  <si>
    <t>CIAC Revenue Requirement per Filing</t>
  </si>
  <si>
    <t>Opening CIACVA Balance</t>
  </si>
  <si>
    <t>Change in CIACVA Balance</t>
  </si>
  <si>
    <t>Closing CIACVA Balance</t>
  </si>
  <si>
    <t>CIACVA Account Balance</t>
  </si>
  <si>
    <t>Energy Content Variance Account</t>
  </si>
  <si>
    <t>Opening ECVA Balance</t>
  </si>
  <si>
    <t>Change in ECVA Balance</t>
  </si>
  <si>
    <t>Closing ECVA Balance</t>
  </si>
  <si>
    <t>ECVA Account Balance</t>
  </si>
  <si>
    <t>Annual CIP Rev R1, 6, 11</t>
  </si>
  <si>
    <t>Actual Energy Content</t>
  </si>
  <si>
    <t>Benchmark Energy Content</t>
  </si>
  <si>
    <t>Municipal Tax Variance Account (MTVA)</t>
  </si>
  <si>
    <t>Opening MTVA Balance</t>
  </si>
  <si>
    <t>Change in MTVA Balance</t>
  </si>
  <si>
    <t>Closing MTVA Balance</t>
  </si>
  <si>
    <t>MTVA Account Balance</t>
  </si>
  <si>
    <t>Billed Distribution revenue</t>
  </si>
  <si>
    <t>Distribution Revenue per CIP</t>
  </si>
  <si>
    <t>Municipal taxes per CIP</t>
  </si>
  <si>
    <t>Ratio</t>
  </si>
  <si>
    <t>Property taxes collected through revenues</t>
  </si>
  <si>
    <t>Property taxes paid</t>
  </si>
  <si>
    <t>Other Revenue Deferral Account (ORDA)</t>
  </si>
  <si>
    <t>Opening ORDA Balance</t>
  </si>
  <si>
    <t>Change in ORDA Balance</t>
  </si>
  <si>
    <t>Closing ORDA Balance</t>
  </si>
  <si>
    <t>ORDA Account Balance</t>
  </si>
  <si>
    <t>Variance</t>
  </si>
  <si>
    <t xml:space="preserve">    4505 - Late Payment Charge</t>
  </si>
  <si>
    <t xml:space="preserve">    4506 - Penalty Fees</t>
  </si>
  <si>
    <t xml:space="preserve">    4511 - Collection &amp; NSF Fees</t>
  </si>
  <si>
    <t xml:space="preserve">    4515 - Connection Fees</t>
  </si>
  <si>
    <t xml:space="preserve">    4592 - Miscellaneous Revenue</t>
  </si>
  <si>
    <t>Customer Volume Variance Account (CVVA)</t>
  </si>
  <si>
    <t>Opening CVVA Balance</t>
  </si>
  <si>
    <t>Change in CVVA Balance</t>
  </si>
  <si>
    <t>Closing CVVA Balance</t>
  </si>
  <si>
    <t>CVVA Account Balance</t>
  </si>
  <si>
    <t>Monthly NACS/CIP Difference</t>
  </si>
  <si>
    <t>Unaccounted for Gas</t>
  </si>
  <si>
    <t>Transportation Variance Account - Rate 16 (TVA)</t>
  </si>
  <si>
    <t>Opening TVA Balance</t>
  </si>
  <si>
    <t>Change in TVA Balance</t>
  </si>
  <si>
    <t>Closing TVA Balance</t>
  </si>
  <si>
    <t>TVA Account Balance</t>
  </si>
  <si>
    <t>Storage</t>
  </si>
  <si>
    <t>Transportation</t>
  </si>
  <si>
    <t>ECNG</t>
  </si>
  <si>
    <t>Gas Supply</t>
  </si>
  <si>
    <t>CNG</t>
  </si>
  <si>
    <t>CIAC Revenue Requirement</t>
  </si>
  <si>
    <t>Total Cost</t>
  </si>
  <si>
    <t>Billed R16 Transportation</t>
  </si>
  <si>
    <t>R16 Upstream Recovery</t>
  </si>
  <si>
    <t>Billed R1/R6/R11 Transportation</t>
  </si>
  <si>
    <t>R1/R6/R11 Upstream Recovery</t>
  </si>
  <si>
    <t>Storage &amp; Transportation Variance Account - Rates 1/6/11 (S&amp;S&amp;TVA)</t>
  </si>
  <si>
    <t>Opening S&amp;TVA Balance</t>
  </si>
  <si>
    <t>Change in S&amp;TVA Balance</t>
  </si>
  <si>
    <t>Closing S&amp;TVA Balance</t>
  </si>
  <si>
    <t>S&amp;TVA Account Balance</t>
  </si>
  <si>
    <t>Rate 6</t>
  </si>
  <si>
    <t>Rate 11</t>
  </si>
  <si>
    <t>Rate 16</t>
  </si>
  <si>
    <t>CIACVA Account Balance Allocation (Source: EB-2018-0624, Exhibit 7, Tab 1, Schedule 2, Table 7-25)</t>
  </si>
  <si>
    <t>$000's</t>
  </si>
  <si>
    <t>CD</t>
  </si>
  <si>
    <t>¢/CD/month</t>
  </si>
  <si>
    <t>Forecast Volumes - 2026</t>
  </si>
  <si>
    <t>R6</t>
  </si>
  <si>
    <t>R11</t>
  </si>
  <si>
    <t>R16</t>
  </si>
  <si>
    <t>m3</t>
  </si>
  <si>
    <t>CD/month - m3</t>
  </si>
  <si>
    <t>Forecast Customer Count (Mid-Year) - 2026</t>
  </si>
  <si>
    <t>CIACVA Account Balance Recovery (Based on 2026 Forecast Volumes)</t>
  </si>
  <si>
    <t>ECVA Account Balance Allocation (EB-2018-0264, Exhibit 3, Tab 1, Schedule 2, pg. 2 of 3 - 2024 Volumes)</t>
  </si>
  <si>
    <t>ECVA Account Balance Recovery (Based on 2026 Forecast Volumes)</t>
  </si>
  <si>
    <t>MTVA Account Balance Allocation (Source: EB-2018-0624, Exhibit 7, Tab 1, Schedule 2, Table 7-27)</t>
  </si>
  <si>
    <t>Rate Base</t>
  </si>
  <si>
    <t>Property Taxes</t>
  </si>
  <si>
    <t>MTVA Account Balance Recovery (Based on 2026 Forecast Volumes)</t>
  </si>
  <si>
    <t>ORDA Account Balance Allocation (Source: EB-2018-0624, Exhibit 7, Tab 1, Schedule 2, Table 7-28)</t>
  </si>
  <si>
    <t>OM&amp;A</t>
  </si>
  <si>
    <t>ORDA Account Balance Recovery (Based on 2026 Forecast Volumes)</t>
  </si>
  <si>
    <t>UFGVA Account Balance Recovery (Based on 2026 Forecast Volumes)</t>
  </si>
  <si>
    <t>CVVA Account Balance Allocation (Based on 2024 CVVA calculation workbook)</t>
  </si>
  <si>
    <t>CVVA Account Balance Recovery (Based on 2026 Forecast mid-year customer count)</t>
  </si>
  <si>
    <t>2024 Actual</t>
  </si>
  <si>
    <t>50% Recovery</t>
  </si>
  <si>
    <t>CVVA Allocation</t>
  </si>
  <si>
    <t>Customer Count</t>
  </si>
  <si>
    <t>#</t>
  </si>
  <si>
    <t>$ per month</t>
  </si>
  <si>
    <t>Agreement Commence</t>
  </si>
  <si>
    <t>Agreement Conclude</t>
  </si>
  <si>
    <t>Rate Rider Commence</t>
  </si>
  <si>
    <t>Rate Rider Conclude</t>
  </si>
  <si>
    <t>Months</t>
  </si>
  <si>
    <t>TVA Account Balance Allocation</t>
  </si>
  <si>
    <t>TVA Account Balance Recovery (Based on 2024 Contract Demand Values)</t>
  </si>
  <si>
    <t>(15 years)</t>
  </si>
  <si>
    <t>(30 years)</t>
  </si>
  <si>
    <t>S&amp;TVA Account Balance Recovery (Based on 2024 Weather Normalized Volumes) using 12 of 299 months allocation</t>
  </si>
  <si>
    <t>S&amp;TVA Account Balance Allocation - Upstream Recovery Costs ( EB-2018-0624, Exhibit 7, Tab 1, Schedule 2, Table 7-24 - Enbridge CIAC Rate Base)</t>
  </si>
  <si>
    <t>S&amp;TVA Account Balance Allocation - (Combined)</t>
  </si>
  <si>
    <t>S&amp;TVA Account Balance Allocation - Transportation &amp; Storage Costs ( Source: EB-2018-0624, Exhibit 3, Tab 1, Schedule 2, Table 3-9 - Throughput Volumes by Rate Class)</t>
  </si>
  <si>
    <t>UFGVA Account Balance Allocation (Based Common Infrastructure Plan (CIP) volumes (2020-2024), as per EB-2018-0264, Exhibit 3, Tab 1, Schedule 2, pg. 3</t>
  </si>
  <si>
    <t>(CIP) volumes (2020-2024), as per EB-2018-0264, Exhibit 3, Tab 1, Schedule 2, pg. 3</t>
  </si>
  <si>
    <t>Volumes</t>
  </si>
  <si>
    <t>2019-2028 CIP Volumes</t>
  </si>
  <si>
    <t>Actual Historical Volumes</t>
  </si>
  <si>
    <t>Staff 4i)</t>
  </si>
  <si>
    <t>2019-2024 CIP Volumes</t>
  </si>
  <si>
    <t>Scenario 1:</t>
  </si>
  <si>
    <t>Scenario 2:</t>
  </si>
  <si>
    <t>Scenario 3:</t>
  </si>
  <si>
    <t>S&amp;TVA Allocation</t>
  </si>
  <si>
    <t>ECNG/Nomination</t>
  </si>
  <si>
    <t>Fuel</t>
  </si>
  <si>
    <t>Table 27</t>
  </si>
  <si>
    <t>Table 28</t>
  </si>
  <si>
    <t>Table 29</t>
  </si>
  <si>
    <t>CIAC Rate Base</t>
  </si>
  <si>
    <t>Grand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</si>
  <si>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</si>
  <si>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</si>
  <si>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</si>
  <si>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</si>
  <si>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</si>
  <si>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</si>
  <si>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</si>
  <si>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</si>
  <si>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</si>
  <si>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</si>
  <si>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</si>
  <si>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</si>
  <si>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Limited Balance Agreement - Total Measured (m3)</t>
  </si>
  <si>
    <t>SB Volume Consumption (m3)</t>
  </si>
  <si>
    <t>ENGLP Heat Value</t>
  </si>
  <si>
    <t>Enbridge Heat Value</t>
  </si>
  <si>
    <t>SB Volume Consumption (m3) - Coverted</t>
  </si>
  <si>
    <t>Table 30</t>
  </si>
  <si>
    <t>Staff 15 - UFG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</si>
</sst>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* #,##0_-;\-* #,##0_-;_-* &quot;-&quot;??_-;_-@_-"/>
    <numFmt numFmtId="168" formatCode="_-&quot;$&quot;* #,##0.000000_-;\-&quot;$&quot;* #,##0.000000_-;_-&quot;$&quot;* &quot;-&quot;??_-;_-@_-"/>
    <numFmt numFmtId="169" formatCode="#,##0.0000_);\(#,##0.0000\)"/>
    <numFmt numFmtId="170" formatCode="0.0%"/>
    <numFmt numFmtId="171" formatCode="&quot;$&quot;#,##0"/>
    <numFmt numFmtId="172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11"/>
      <color rgb="FF001D35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u val="singleAccounting"/>
      <sz val="11"/>
      <color theme="1"/>
      <name val="Arial"/>
      <family val="2"/>
    </font>
    <font>
      <b/>
      <sz val="12"/>
      <color theme="3"/>
      <name val="Arial"/>
      <family val="2"/>
    </font>
    <font>
      <sz val="11"/>
      <color rgb="FF33CC33"/>
      <name val="Arial"/>
      <family val="2"/>
    </font>
    <font>
      <i/>
      <sz val="10"/>
      <color theme="0" tint="-0.34998626667073579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>
        <fgColor theme="0" tint="-0.34998626667073579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4" fontId="6" fillId="0" borderId="0" applyFont="0" applyFill="0" applyBorder="0" applyAlignment="0" applyProtection="0"/>
    <xf numFmtId="0" fontId="23" fillId="0" borderId="0" applyNumberFormat="0" applyBorder="0"/>
    <xf numFmtId="0" fontId="24" fillId="0" borderId="0" applyNumberFormat="0" applyAlignment="0"/>
    <xf numFmtId="0" fontId="25" fillId="0" borderId="0" applyNumberFormat="0">
      <alignment horizontal="center"/>
    </xf>
    <xf numFmtId="3" fontId="10" fillId="3" borderId="4"/>
    <xf numFmtId="0" fontId="1" fillId="4" borderId="10" applyNumberFormat="0" applyFont="0" applyAlignment="0"/>
    <xf numFmtId="3" fontId="1" fillId="0" borderId="11"/>
  </cellStyleXfs>
  <cellXfs count="186">
    <xf numFmtId="0" fontId="0" fillId="0" borderId="0" xfId="0"/>
    <xf numFmtId="0" fontId="0" fillId="0" borderId="2" xfId="0" applyBorder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168" fontId="5" fillId="0" borderId="2" xfId="3" applyNumberFormat="1" applyFont="1" applyBorder="1"/>
    <xf numFmtId="5" fontId="5" fillId="0" borderId="2" xfId="4" applyNumberFormat="1" applyFont="1" applyBorder="1"/>
    <xf numFmtId="5" fontId="9" fillId="0" borderId="2" xfId="4" applyNumberFormat="1" applyFont="1" applyBorder="1"/>
    <xf numFmtId="5" fontId="9" fillId="0" borderId="3" xfId="4" applyNumberFormat="1" applyFont="1" applyBorder="1"/>
    <xf numFmtId="0" fontId="9" fillId="0" borderId="0" xfId="8" applyFont="1"/>
    <xf numFmtId="0" fontId="5" fillId="0" borderId="0" xfId="8" applyFont="1"/>
    <xf numFmtId="0" fontId="8" fillId="0" borderId="4" xfId="8" applyFont="1" applyBorder="1" applyAlignment="1">
      <alignment horizontal="center" vertical="center" wrapText="1"/>
    </xf>
    <xf numFmtId="10" fontId="5" fillId="0" borderId="0" xfId="8" applyNumberFormat="1" applyFont="1"/>
    <xf numFmtId="0" fontId="10" fillId="0" borderId="2" xfId="8" applyFont="1" applyBorder="1" applyAlignment="1">
      <alignment horizontal="left" vertical="center" wrapText="1"/>
    </xf>
    <xf numFmtId="0" fontId="10" fillId="0" borderId="2" xfId="8" applyFont="1" applyBorder="1" applyAlignment="1">
      <alignment horizontal="center" vertical="center" wrapText="1"/>
    </xf>
    <xf numFmtId="37" fontId="10" fillId="0" borderId="2" xfId="4" applyNumberFormat="1" applyFont="1" applyBorder="1" applyAlignment="1">
      <alignment horizontal="center" vertical="center" wrapText="1"/>
    </xf>
    <xf numFmtId="164" fontId="10" fillId="0" borderId="2" xfId="4" applyNumberFormat="1" applyFont="1" applyBorder="1" applyAlignment="1">
      <alignment horizontal="center" vertical="center" wrapText="1"/>
    </xf>
    <xf numFmtId="9" fontId="10" fillId="0" borderId="2" xfId="2" applyFont="1" applyBorder="1" applyAlignment="1">
      <alignment horizontal="center" vertical="center" wrapText="1"/>
    </xf>
    <xf numFmtId="165" fontId="5" fillId="0" borderId="0" xfId="4" applyFont="1"/>
    <xf numFmtId="0" fontId="8" fillId="0" borderId="3" xfId="8" applyFont="1" applyBorder="1" applyAlignment="1">
      <alignment horizontal="left"/>
    </xf>
    <xf numFmtId="0" fontId="8" fillId="0" borderId="3" xfId="8" applyFont="1" applyBorder="1" applyAlignment="1">
      <alignment horizontal="center" vertical="center"/>
    </xf>
    <xf numFmtId="5" fontId="8" fillId="0" borderId="3" xfId="4" applyNumberFormat="1" applyFont="1" applyBorder="1" applyAlignment="1">
      <alignment horizontal="center" vertical="center" wrapText="1"/>
    </xf>
    <xf numFmtId="9" fontId="10" fillId="0" borderId="2" xfId="9" applyFont="1" applyBorder="1" applyAlignment="1">
      <alignment horizontal="center" vertical="center" wrapText="1"/>
    </xf>
    <xf numFmtId="0" fontId="8" fillId="0" borderId="2" xfId="8" applyFont="1" applyBorder="1" applyAlignment="1">
      <alignment horizontal="left"/>
    </xf>
    <xf numFmtId="0" fontId="8" fillId="0" borderId="2" xfId="8" applyFont="1" applyBorder="1" applyAlignment="1">
      <alignment horizontal="center" vertical="center"/>
    </xf>
    <xf numFmtId="5" fontId="8" fillId="0" borderId="2" xfId="4" applyNumberFormat="1" applyFont="1" applyBorder="1" applyAlignment="1">
      <alignment horizontal="center" vertical="center" wrapText="1"/>
    </xf>
    <xf numFmtId="169" fontId="8" fillId="0" borderId="3" xfId="8" applyNumberFormat="1" applyFont="1" applyBorder="1" applyAlignment="1">
      <alignment horizontal="center"/>
    </xf>
    <xf numFmtId="5" fontId="9" fillId="0" borderId="0" xfId="4" applyNumberFormat="1" applyFont="1" applyBorder="1"/>
    <xf numFmtId="5" fontId="13" fillId="0" borderId="2" xfId="4" applyNumberFormat="1" applyFont="1" applyBorder="1"/>
    <xf numFmtId="5" fontId="4" fillId="0" borderId="2" xfId="4" applyNumberFormat="1" applyFont="1" applyBorder="1"/>
    <xf numFmtId="0" fontId="10" fillId="0" borderId="3" xfId="0" applyFont="1" applyBorder="1" applyAlignment="1">
      <alignment horizontal="left"/>
    </xf>
    <xf numFmtId="10" fontId="4" fillId="0" borderId="2" xfId="2" applyNumberFormat="1" applyFont="1" applyBorder="1"/>
    <xf numFmtId="41" fontId="5" fillId="0" borderId="2" xfId="0" applyNumberFormat="1" applyFont="1" applyBorder="1"/>
    <xf numFmtId="167" fontId="5" fillId="0" borderId="2" xfId="4" applyNumberFormat="1" applyFont="1" applyFill="1" applyBorder="1"/>
    <xf numFmtId="41" fontId="10" fillId="0" borderId="2" xfId="0" applyNumberFormat="1" applyFont="1" applyBorder="1"/>
    <xf numFmtId="0" fontId="3" fillId="0" borderId="0" xfId="0" applyFont="1"/>
    <xf numFmtId="43" fontId="3" fillId="0" borderId="0" xfId="1" applyFont="1"/>
    <xf numFmtId="0" fontId="3" fillId="0" borderId="1" xfId="0" applyFont="1" applyBorder="1"/>
    <xf numFmtId="0" fontId="3" fillId="0" borderId="2" xfId="0" applyFont="1" applyBorder="1"/>
    <xf numFmtId="0" fontId="8" fillId="0" borderId="2" xfId="0" applyFont="1" applyBorder="1" applyAlignment="1">
      <alignment horizontal="left"/>
    </xf>
    <xf numFmtId="164" fontId="3" fillId="0" borderId="2" xfId="1" applyNumberFormat="1" applyFont="1" applyFill="1" applyBorder="1"/>
    <xf numFmtId="0" fontId="9" fillId="0" borderId="2" xfId="0" applyFont="1" applyBorder="1" applyAlignment="1">
      <alignment horizontal="left"/>
    </xf>
    <xf numFmtId="165" fontId="10" fillId="0" borderId="2" xfId="4" applyFont="1" applyFill="1" applyBorder="1" applyProtection="1">
      <protection locked="0"/>
    </xf>
    <xf numFmtId="0" fontId="2" fillId="0" borderId="0" xfId="0" applyFont="1"/>
    <xf numFmtId="0" fontId="9" fillId="0" borderId="4" xfId="0" applyFont="1" applyBorder="1" applyAlignment="1">
      <alignment horizontal="center"/>
    </xf>
    <xf numFmtId="0" fontId="9" fillId="0" borderId="0" xfId="0" applyFont="1"/>
    <xf numFmtId="0" fontId="8" fillId="0" borderId="0" xfId="8" applyFont="1"/>
    <xf numFmtId="0" fontId="10" fillId="0" borderId="0" xfId="8" applyFont="1"/>
    <xf numFmtId="0" fontId="10" fillId="0" borderId="1" xfId="8" applyFont="1" applyBorder="1" applyAlignment="1">
      <alignment horizontal="left" vertical="center" wrapText="1"/>
    </xf>
    <xf numFmtId="5" fontId="10" fillId="0" borderId="1" xfId="8" applyNumberFormat="1" applyFont="1" applyBorder="1" applyAlignment="1">
      <alignment horizontal="center" vertical="center" wrapText="1"/>
    </xf>
    <xf numFmtId="5" fontId="10" fillId="0" borderId="3" xfId="8" applyNumberFormat="1" applyFont="1" applyBorder="1" applyAlignment="1">
      <alignment horizontal="center" vertical="center" wrapText="1"/>
    </xf>
    <xf numFmtId="0" fontId="8" fillId="0" borderId="0" xfId="8" applyFont="1" applyAlignment="1">
      <alignment horizontal="left"/>
    </xf>
    <xf numFmtId="5" fontId="10" fillId="0" borderId="0" xfId="8" applyNumberFormat="1" applyFont="1" applyAlignment="1">
      <alignment horizontal="center" vertical="center" wrapText="1"/>
    </xf>
    <xf numFmtId="5" fontId="14" fillId="0" borderId="2" xfId="8" applyNumberFormat="1" applyFont="1" applyBorder="1" applyAlignment="1">
      <alignment horizontal="center" vertical="center" wrapText="1"/>
    </xf>
    <xf numFmtId="5" fontId="8" fillId="0" borderId="2" xfId="5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0" fontId="1" fillId="0" borderId="3" xfId="0" applyNumberFormat="1" applyFont="1" applyBorder="1" applyAlignment="1">
      <alignment horizontal="center" vertical="center"/>
    </xf>
    <xf numFmtId="5" fontId="1" fillId="0" borderId="2" xfId="0" applyNumberFormat="1" applyFont="1" applyBorder="1" applyAlignment="1">
      <alignment horizontal="center"/>
    </xf>
    <xf numFmtId="0" fontId="16" fillId="0" borderId="2" xfId="0" applyFont="1" applyBorder="1"/>
    <xf numFmtId="0" fontId="1" fillId="0" borderId="2" xfId="0" applyFont="1" applyBorder="1"/>
    <xf numFmtId="5" fontId="9" fillId="0" borderId="4" xfId="0" applyNumberFormat="1" applyFont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5" fontId="18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9" fillId="0" borderId="4" xfId="0" applyFont="1" applyBorder="1"/>
    <xf numFmtId="5" fontId="3" fillId="0" borderId="2" xfId="1" applyNumberFormat="1" applyFont="1" applyFill="1" applyBorder="1"/>
    <xf numFmtId="10" fontId="3" fillId="0" borderId="2" xfId="2" applyNumberFormat="1" applyFont="1" applyFill="1" applyBorder="1" applyAlignment="1">
      <alignment horizontal="center"/>
    </xf>
    <xf numFmtId="5" fontId="3" fillId="0" borderId="3" xfId="1" applyNumberFormat="1" applyFont="1" applyFill="1" applyBorder="1"/>
    <xf numFmtId="5" fontId="9" fillId="0" borderId="3" xfId="1" applyNumberFormat="1" applyFont="1" applyFill="1" applyBorder="1"/>
    <xf numFmtId="5" fontId="13" fillId="0" borderId="2" xfId="1" applyNumberFormat="1" applyFont="1" applyFill="1" applyBorder="1"/>
    <xf numFmtId="0" fontId="9" fillId="0" borderId="2" xfId="0" applyFont="1" applyBorder="1"/>
    <xf numFmtId="0" fontId="19" fillId="0" borderId="0" xfId="0" applyFont="1"/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 applyProtection="1">
      <alignment horizontal="left" indent="2"/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170" fontId="2" fillId="0" borderId="4" xfId="2" applyNumberFormat="1" applyFont="1" applyFill="1" applyBorder="1" applyAlignment="1">
      <alignment horizontal="center"/>
    </xf>
    <xf numFmtId="5" fontId="1" fillId="0" borderId="2" xfId="4" applyNumberFormat="1" applyFont="1" applyBorder="1"/>
    <xf numFmtId="168" fontId="9" fillId="0" borderId="2" xfId="3" applyNumberFormat="1" applyFont="1" applyBorder="1"/>
    <xf numFmtId="0" fontId="19" fillId="0" borderId="2" xfId="0" applyFont="1" applyBorder="1"/>
    <xf numFmtId="0" fontId="1" fillId="0" borderId="0" xfId="8" applyFont="1"/>
    <xf numFmtId="0" fontId="10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6" xfId="0" applyBorder="1"/>
    <xf numFmtId="5" fontId="13" fillId="0" borderId="6" xfId="4" applyNumberFormat="1" applyFont="1" applyBorder="1"/>
    <xf numFmtId="0" fontId="19" fillId="0" borderId="6" xfId="0" applyFont="1" applyBorder="1"/>
    <xf numFmtId="167" fontId="5" fillId="0" borderId="1" xfId="4" applyNumberFormat="1" applyFont="1" applyFill="1" applyBorder="1"/>
    <xf numFmtId="171" fontId="1" fillId="0" borderId="0" xfId="0" applyNumberFormat="1" applyFont="1"/>
    <xf numFmtId="164" fontId="13" fillId="0" borderId="2" xfId="4" applyNumberFormat="1" applyFont="1" applyBorder="1"/>
    <xf numFmtId="0" fontId="1" fillId="0" borderId="3" xfId="0" applyFont="1" applyBorder="1" applyAlignment="1">
      <alignment horizontal="left" indent="1"/>
    </xf>
    <xf numFmtId="5" fontId="9" fillId="0" borderId="2" xfId="1" applyNumberFormat="1" applyFont="1" applyFill="1" applyBorder="1"/>
    <xf numFmtId="5" fontId="0" fillId="0" borderId="0" xfId="0" applyNumberFormat="1"/>
    <xf numFmtId="0" fontId="9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5" fontId="1" fillId="0" borderId="9" xfId="0" applyNumberFormat="1" applyFont="1" applyBorder="1" applyAlignment="1">
      <alignment horizontal="center"/>
    </xf>
    <xf numFmtId="5" fontId="1" fillId="0" borderId="8" xfId="0" applyNumberFormat="1" applyFont="1" applyBorder="1" applyAlignment="1">
      <alignment horizontal="center"/>
    </xf>
    <xf numFmtId="0" fontId="1" fillId="0" borderId="1" xfId="0" applyFont="1" applyBorder="1"/>
    <xf numFmtId="5" fontId="1" fillId="0" borderId="1" xfId="0" applyNumberFormat="1" applyFont="1" applyBorder="1" applyAlignment="1">
      <alignment horizontal="center"/>
    </xf>
    <xf numFmtId="5" fontId="1" fillId="0" borderId="3" xfId="0" applyNumberFormat="1" applyFont="1" applyBorder="1" applyAlignment="1">
      <alignment horizontal="center"/>
    </xf>
    <xf numFmtId="0" fontId="21" fillId="0" borderId="0" xfId="0" applyFont="1"/>
    <xf numFmtId="9" fontId="2" fillId="0" borderId="0" xfId="2" applyFont="1" applyFill="1" applyBorder="1" applyAlignment="1">
      <alignment horizontal="center"/>
    </xf>
    <xf numFmtId="37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37" fontId="10" fillId="0" borderId="2" xfId="4" applyNumberFormat="1" applyFont="1" applyFill="1" applyBorder="1" applyAlignment="1">
      <alignment horizontal="center" vertical="center" wrapText="1"/>
    </xf>
    <xf numFmtId="164" fontId="10" fillId="0" borderId="2" xfId="4" applyNumberFormat="1" applyFont="1" applyFill="1" applyBorder="1" applyAlignment="1">
      <alignment horizontal="center" vertical="center" wrapText="1"/>
    </xf>
    <xf numFmtId="9" fontId="10" fillId="0" borderId="2" xfId="2" applyFont="1" applyFill="1" applyBorder="1" applyAlignment="1">
      <alignment horizontal="center" vertical="center" wrapText="1"/>
    </xf>
    <xf numFmtId="9" fontId="10" fillId="0" borderId="2" xfId="9" applyFont="1" applyFill="1" applyBorder="1" applyAlignment="1">
      <alignment horizontal="center" vertical="center" wrapText="1"/>
    </xf>
    <xf numFmtId="5" fontId="8" fillId="0" borderId="2" xfId="5" applyNumberFormat="1" applyFont="1" applyFill="1" applyBorder="1" applyAlignment="1">
      <alignment horizontal="center" vertical="center" wrapText="1"/>
    </xf>
    <xf numFmtId="5" fontId="8" fillId="0" borderId="2" xfId="4" applyNumberFormat="1" applyFont="1" applyFill="1" applyBorder="1" applyAlignment="1">
      <alignment horizontal="center" vertical="center" wrapText="1"/>
    </xf>
    <xf numFmtId="5" fontId="10" fillId="0" borderId="2" xfId="4" applyNumberFormat="1" applyFont="1" applyBorder="1" applyAlignment="1">
      <alignment horizontal="center" vertical="center" wrapText="1"/>
    </xf>
    <xf numFmtId="7" fontId="10" fillId="0" borderId="2" xfId="4" applyNumberFormat="1" applyFont="1" applyBorder="1" applyAlignment="1">
      <alignment horizontal="center" vertical="center" wrapText="1"/>
    </xf>
    <xf numFmtId="0" fontId="18" fillId="0" borderId="0" xfId="0" applyFont="1"/>
    <xf numFmtId="0" fontId="1" fillId="0" borderId="1" xfId="0" applyFont="1" applyBorder="1" applyAlignment="1">
      <alignment horizontal="left"/>
    </xf>
    <xf numFmtId="172" fontId="1" fillId="0" borderId="1" xfId="0" applyNumberFormat="1" applyFont="1" applyBorder="1"/>
    <xf numFmtId="0" fontId="1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72" fontId="9" fillId="0" borderId="3" xfId="0" applyNumberFormat="1" applyFont="1" applyBorder="1"/>
    <xf numFmtId="172" fontId="22" fillId="0" borderId="2" xfId="0" applyNumberFormat="1" applyFont="1" applyBorder="1"/>
    <xf numFmtId="9" fontId="1" fillId="0" borderId="1" xfId="2" applyFont="1" applyFill="1" applyBorder="1" applyAlignment="1">
      <alignment horizontal="center"/>
    </xf>
    <xf numFmtId="9" fontId="1" fillId="0" borderId="3" xfId="2" applyFont="1" applyFill="1" applyBorder="1" applyAlignment="1">
      <alignment horizontal="center"/>
    </xf>
    <xf numFmtId="9" fontId="13" fillId="0" borderId="2" xfId="2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7" fontId="8" fillId="0" borderId="3" xfId="11" applyNumberFormat="1" applyFont="1" applyBorder="1" applyAlignment="1">
      <alignment horizontal="center"/>
    </xf>
    <xf numFmtId="41" fontId="1" fillId="0" borderId="2" xfId="0" applyNumberFormat="1" applyFont="1" applyBorder="1"/>
    <xf numFmtId="167" fontId="1" fillId="0" borderId="2" xfId="4" applyNumberFormat="1" applyFont="1" applyFill="1" applyBorder="1"/>
    <xf numFmtId="168" fontId="1" fillId="0" borderId="2" xfId="3" applyNumberFormat="1" applyFont="1" applyBorder="1"/>
    <xf numFmtId="10" fontId="1" fillId="0" borderId="2" xfId="2" applyNumberFormat="1" applyFont="1" applyFill="1" applyBorder="1" applyAlignment="1">
      <alignment horizontal="center"/>
    </xf>
    <xf numFmtId="10" fontId="1" fillId="0" borderId="2" xfId="2" applyNumberFormat="1" applyFont="1" applyBorder="1"/>
    <xf numFmtId="10" fontId="1" fillId="0" borderId="0" xfId="8" applyNumberFormat="1" applyFont="1"/>
    <xf numFmtId="165" fontId="1" fillId="0" borderId="0" xfId="4" applyFont="1"/>
    <xf numFmtId="15" fontId="1" fillId="0" borderId="0" xfId="0" applyNumberFormat="1" applyFont="1"/>
    <xf numFmtId="164" fontId="1" fillId="0" borderId="0" xfId="1" applyNumberFormat="1" applyFont="1" applyAlignment="1">
      <alignment horizontal="right"/>
    </xf>
    <xf numFmtId="164" fontId="0" fillId="0" borderId="0" xfId="0" applyNumberFormat="1"/>
    <xf numFmtId="43" fontId="0" fillId="0" borderId="0" xfId="0" applyNumberFormat="1"/>
    <xf numFmtId="9" fontId="0" fillId="0" borderId="0" xfId="2" applyFont="1"/>
    <xf numFmtId="7" fontId="0" fillId="0" borderId="0" xfId="0" applyNumberFormat="1"/>
    <xf numFmtId="0" fontId="8" fillId="0" borderId="0" xfId="8" applyFont="1" applyAlignment="1">
      <alignment horizontal="center" vertical="center"/>
    </xf>
    <xf numFmtId="5" fontId="8" fillId="0" borderId="0" xfId="4" applyNumberFormat="1" applyFont="1" applyBorder="1" applyAlignment="1">
      <alignment horizontal="center" vertical="center" wrapText="1"/>
    </xf>
    <xf numFmtId="37" fontId="2" fillId="0" borderId="8" xfId="0" applyNumberFormat="1" applyFont="1" applyBorder="1" applyAlignment="1">
      <alignment horizontal="center"/>
    </xf>
    <xf numFmtId="0" fontId="8" fillId="0" borderId="4" xfId="8" applyFont="1" applyBorder="1"/>
    <xf numFmtId="0" fontId="8" fillId="0" borderId="2" xfId="8" applyFont="1" applyBorder="1" applyAlignment="1">
      <alignment horizontal="left" vertical="center" wrapText="1"/>
    </xf>
    <xf numFmtId="164" fontId="8" fillId="0" borderId="2" xfId="4" applyNumberFormat="1" applyFont="1" applyBorder="1" applyAlignment="1">
      <alignment horizontal="center" vertical="center" wrapText="1"/>
    </xf>
    <xf numFmtId="5" fontId="8" fillId="0" borderId="2" xfId="2" applyNumberFormat="1" applyFont="1" applyBorder="1" applyAlignment="1">
      <alignment horizontal="center" vertical="center" wrapText="1"/>
    </xf>
    <xf numFmtId="5" fontId="8" fillId="0" borderId="2" xfId="1" applyNumberFormat="1" applyFont="1" applyBorder="1" applyAlignment="1">
      <alignment horizontal="center" vertical="center" wrapText="1"/>
    </xf>
    <xf numFmtId="0" fontId="8" fillId="0" borderId="3" xfId="8" applyFont="1" applyBorder="1" applyAlignment="1">
      <alignment horizontal="left" vertical="center" wrapText="1"/>
    </xf>
    <xf numFmtId="164" fontId="8" fillId="0" borderId="3" xfId="4" applyNumberFormat="1" applyFont="1" applyBorder="1" applyAlignment="1">
      <alignment horizontal="center" vertical="center" wrapText="1"/>
    </xf>
    <xf numFmtId="5" fontId="8" fillId="0" borderId="3" xfId="2" applyNumberFormat="1" applyFont="1" applyBorder="1" applyAlignment="1">
      <alignment horizontal="center" vertical="center" wrapText="1"/>
    </xf>
    <xf numFmtId="5" fontId="8" fillId="0" borderId="3" xfId="1" applyNumberFormat="1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9" fontId="10" fillId="0" borderId="1" xfId="2" applyFont="1" applyBorder="1" applyAlignment="1">
      <alignment horizontal="center" vertical="center" wrapText="1"/>
    </xf>
    <xf numFmtId="37" fontId="10" fillId="0" borderId="1" xfId="4" applyNumberFormat="1" applyFont="1" applyBorder="1" applyAlignment="1">
      <alignment horizontal="center" vertical="center" wrapText="1"/>
    </xf>
    <xf numFmtId="169" fontId="8" fillId="0" borderId="2" xfId="8" applyNumberFormat="1" applyFont="1" applyBorder="1" applyAlignment="1">
      <alignment horizontal="center"/>
    </xf>
    <xf numFmtId="0" fontId="26" fillId="0" borderId="0" xfId="0" applyFont="1"/>
    <xf numFmtId="0" fontId="1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43" fontId="1" fillId="0" borderId="0" xfId="1" applyFont="1" applyFill="1"/>
    <xf numFmtId="9" fontId="1" fillId="0" borderId="0" xfId="2" applyFont="1" applyFill="1"/>
    <xf numFmtId="165" fontId="1" fillId="0" borderId="0" xfId="4" applyFont="1" applyFill="1"/>
    <xf numFmtId="164" fontId="1" fillId="0" borderId="0" xfId="1" applyNumberFormat="1" applyFont="1" applyFill="1"/>
    <xf numFmtId="3" fontId="1" fillId="0" borderId="0" xfId="0" applyNumberFormat="1" applyFont="1" applyAlignment="1">
      <alignment vertical="center" readingOrder="1"/>
    </xf>
    <xf numFmtId="43" fontId="1" fillId="0" borderId="0" xfId="0" applyNumberFormat="1" applyFont="1"/>
    <xf numFmtId="2" fontId="1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18">
    <cellStyle name="Comma" xfId="1" builtinId="3"/>
    <cellStyle name="Comma 2" xfId="4" xr:uid="{00000000-0005-0000-0000-000001000000}"/>
    <cellStyle name="Comma 2 2" xfId="5" xr:uid="{00000000-0005-0000-0000-000002000000}"/>
    <cellStyle name="Comma 3" xfId="6" xr:uid="{00000000-0005-0000-0000-000003000000}"/>
    <cellStyle name="Currency" xfId="11" builtinId="4"/>
    <cellStyle name="Currency 2" xfId="3" xr:uid="{00000000-0005-0000-0000-000004000000}"/>
    <cellStyle name="Empty_Cell" xfId="16" xr:uid="{0632EA69-47BA-4322-B7C1-D6BD770AF9D0}"/>
    <cellStyle name="Header2" xfId="12" xr:uid="{E7178701-C0D0-4A8B-BAA6-CBD3A0D77CDF}"/>
    <cellStyle name="Line Summary" xfId="15" xr:uid="{00974946-1FDA-4235-BF62-E27D7D933658}"/>
    <cellStyle name="Normal" xfId="0" builtinId="0"/>
    <cellStyle name="Normal 2" xfId="8" xr:uid="{00000000-0005-0000-0000-000006000000}"/>
    <cellStyle name="Normal 2 2 2 2 2" xfId="10" xr:uid="{00000000-0005-0000-0000-000007000000}"/>
    <cellStyle name="Offsheet" xfId="13" xr:uid="{A99AB5A5-12AA-4751-A1B4-2A587DAC6227}"/>
    <cellStyle name="Percent" xfId="2" builtinId="5"/>
    <cellStyle name="Percent 2" xfId="9" xr:uid="{00000000-0005-0000-0000-000009000000}"/>
    <cellStyle name="Percent 3" xfId="7" xr:uid="{00000000-0005-0000-0000-00000A000000}"/>
    <cellStyle name="SubBalance" xfId="17" xr:uid="{81A262A2-A8D5-4999-AC43-62DC809A7D0E}"/>
    <cellStyle name="Unit" xfId="14" xr:uid="{9EED28B8-BD76-4121-81C4-34CDAFE38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0</xdr:colOff>
      <xdr:row>19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607D8C-942A-15C6-2880-3EA78090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4181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C0B8-238C-447E-A13D-72E209DF4A5C}">
  <dimension ref="A1:J21"/>
  <sheetViews>
    <sheetView showGridLines="0" tabSelected="1" workbookViewId="0">
      <selection activeCell="R22" sqref="R22"/>
    </sheetView>
  </sheetViews>
  <sheetFormatPr defaultColWidth="11.7109375" defaultRowHeight="14.25" x14ac:dyDescent="0.2"/>
  <cols>
    <col min="1" max="1" width="11.7109375" style="58"/>
    <col min="2" max="2" width="12" style="59" bestFit="1" customWidth="1"/>
    <col min="3" max="8" width="11.7109375" style="59"/>
    <col min="9" max="16384" width="11.7109375" style="58"/>
  </cols>
  <sheetData>
    <row r="1" spans="1:10" ht="15" x14ac:dyDescent="0.25">
      <c r="A1" s="2" t="s">
        <v>0</v>
      </c>
    </row>
    <row r="2" spans="1:10" ht="15" x14ac:dyDescent="0.25">
      <c r="A2" s="2" t="s">
        <v>50</v>
      </c>
    </row>
    <row r="3" spans="1:10" ht="15" x14ac:dyDescent="0.25">
      <c r="A3" s="48" t="s">
        <v>51</v>
      </c>
    </row>
    <row r="4" spans="1:10" ht="15" x14ac:dyDescent="0.25">
      <c r="A4" s="48"/>
    </row>
    <row r="5" spans="1:10" ht="15" x14ac:dyDescent="0.25">
      <c r="A5" s="102"/>
      <c r="B5" s="183">
        <v>2024</v>
      </c>
      <c r="C5" s="184"/>
      <c r="D5" s="183" t="s">
        <v>45</v>
      </c>
      <c r="E5" s="185"/>
      <c r="F5" s="185"/>
      <c r="G5" s="184"/>
      <c r="H5" s="178" t="s">
        <v>17</v>
      </c>
    </row>
    <row r="6" spans="1:10" s="61" customFormat="1" ht="15" x14ac:dyDescent="0.2">
      <c r="A6" s="65"/>
      <c r="B6" s="179" t="s">
        <v>34</v>
      </c>
      <c r="C6" s="181" t="s">
        <v>35</v>
      </c>
      <c r="D6" s="100" t="s">
        <v>41</v>
      </c>
      <c r="E6" s="100" t="s">
        <v>42</v>
      </c>
      <c r="F6" s="100" t="s">
        <v>43</v>
      </c>
      <c r="G6" s="100" t="s">
        <v>44</v>
      </c>
      <c r="H6" s="179"/>
      <c r="J6" s="67" t="s">
        <v>47</v>
      </c>
    </row>
    <row r="7" spans="1:10" s="60" customFormat="1" x14ac:dyDescent="0.2">
      <c r="A7" s="101"/>
      <c r="B7" s="180"/>
      <c r="C7" s="182"/>
      <c r="D7" s="62">
        <v>3.6400000000000002E-2</v>
      </c>
      <c r="E7" s="62">
        <v>3.1600000000000003E-2</v>
      </c>
      <c r="F7" s="62">
        <v>2.9100000000000001E-2</v>
      </c>
      <c r="G7" s="62">
        <f>F7</f>
        <v>2.9100000000000001E-2</v>
      </c>
      <c r="H7" s="180"/>
      <c r="J7" s="68"/>
    </row>
    <row r="8" spans="1:10" x14ac:dyDescent="0.2">
      <c r="A8" s="64" t="s">
        <v>52</v>
      </c>
      <c r="B8" s="63">
        <f>CIACVA!B25</f>
        <v>300025</v>
      </c>
      <c r="C8" s="63">
        <f>CIACVA!B26</f>
        <v>0</v>
      </c>
      <c r="D8" s="63">
        <f>$B8*D$7/4</f>
        <v>2730.2275</v>
      </c>
      <c r="E8" s="63">
        <f t="shared" ref="E8:G13" si="0">$B8*E$7/4</f>
        <v>2370.1975000000002</v>
      </c>
      <c r="F8" s="63">
        <f t="shared" si="0"/>
        <v>2182.6818750000002</v>
      </c>
      <c r="G8" s="63">
        <f t="shared" si="0"/>
        <v>2182.6818750000002</v>
      </c>
      <c r="H8" s="63">
        <f>SUM(B8:G8)</f>
        <v>309490.78875000001</v>
      </c>
      <c r="J8" s="69">
        <f>H8-CIACVA!D27</f>
        <v>0</v>
      </c>
    </row>
    <row r="9" spans="1:10" x14ac:dyDescent="0.2">
      <c r="A9" s="65" t="s">
        <v>53</v>
      </c>
      <c r="B9" s="63">
        <f>ECVA!C26</f>
        <v>21912.547967113249</v>
      </c>
      <c r="C9" s="63">
        <f>CIACVA!B26</f>
        <v>0</v>
      </c>
      <c r="D9" s="63">
        <f t="shared" ref="D9:D13" si="1">$B9*D$7/4</f>
        <v>199.40418650073059</v>
      </c>
      <c r="E9" s="63">
        <f t="shared" si="0"/>
        <v>173.10912894019469</v>
      </c>
      <c r="F9" s="63">
        <f t="shared" si="0"/>
        <v>159.4137864607489</v>
      </c>
      <c r="G9" s="63">
        <f t="shared" si="0"/>
        <v>159.4137864607489</v>
      </c>
      <c r="H9" s="63">
        <f t="shared" ref="H9:H10" si="2">SUM(B9:G9)</f>
        <v>22603.88885547567</v>
      </c>
      <c r="J9" s="69">
        <f>H9-ECVA!E28</f>
        <v>0</v>
      </c>
    </row>
    <row r="10" spans="1:10" x14ac:dyDescent="0.2">
      <c r="A10" s="65" t="s">
        <v>54</v>
      </c>
      <c r="B10" s="63">
        <f>MTVA!B29</f>
        <v>-78984.209396276856</v>
      </c>
      <c r="C10" s="63">
        <f>MTVA!B30</f>
        <v>13239.230144916666</v>
      </c>
      <c r="D10" s="63">
        <f t="shared" si="1"/>
        <v>-718.75630550611947</v>
      </c>
      <c r="E10" s="63">
        <f t="shared" si="0"/>
        <v>-623.97525423058721</v>
      </c>
      <c r="F10" s="63">
        <f t="shared" si="0"/>
        <v>-574.61012335791418</v>
      </c>
      <c r="G10" s="63">
        <f t="shared" si="0"/>
        <v>-574.61012335791418</v>
      </c>
      <c r="H10" s="63">
        <f t="shared" si="2"/>
        <v>-68236.931057812719</v>
      </c>
      <c r="J10" s="69">
        <f>H10-MTVA!D31</f>
        <v>0</v>
      </c>
    </row>
    <row r="11" spans="1:10" x14ac:dyDescent="0.2">
      <c r="A11" s="65" t="s">
        <v>55</v>
      </c>
      <c r="B11" s="63">
        <f>ORDA!B28</f>
        <v>-28358</v>
      </c>
      <c r="C11" s="63">
        <f>ORDA!B29</f>
        <v>-615.37366666666662</v>
      </c>
      <c r="D11" s="63">
        <f t="shared" si="1"/>
        <v>-258.05779999999999</v>
      </c>
      <c r="E11" s="63">
        <f t="shared" si="0"/>
        <v>-224.02820000000003</v>
      </c>
      <c r="F11" s="63">
        <f t="shared" si="0"/>
        <v>-206.30445</v>
      </c>
      <c r="G11" s="63">
        <f t="shared" si="0"/>
        <v>-206.30445</v>
      </c>
      <c r="H11" s="63">
        <f t="shared" ref="H11" si="3">SUM(B11:G11)</f>
        <v>-29868.068566666665</v>
      </c>
      <c r="J11" s="69">
        <f>H11-ORDA!D30</f>
        <v>0</v>
      </c>
    </row>
    <row r="12" spans="1:10" x14ac:dyDescent="0.2">
      <c r="A12" s="65" t="s">
        <v>56</v>
      </c>
      <c r="B12" s="63">
        <f>CVVA!B24</f>
        <v>552604.12701191567</v>
      </c>
      <c r="C12" s="63">
        <f>CVVA!B25</f>
        <v>15718.505361194915</v>
      </c>
      <c r="D12" s="63">
        <f t="shared" si="1"/>
        <v>5028.6975558084332</v>
      </c>
      <c r="E12" s="63">
        <f t="shared" si="0"/>
        <v>4365.5726033941346</v>
      </c>
      <c r="F12" s="63">
        <f t="shared" si="0"/>
        <v>4020.1950240116867</v>
      </c>
      <c r="G12" s="63">
        <f t="shared" si="0"/>
        <v>4020.1950240116867</v>
      </c>
      <c r="H12" s="63">
        <f t="shared" ref="H12" si="4">SUM(B12:G12)</f>
        <v>585757.29258033657</v>
      </c>
      <c r="J12" s="69">
        <f>H12-CVVA!D26</f>
        <v>0</v>
      </c>
    </row>
    <row r="13" spans="1:10" x14ac:dyDescent="0.2">
      <c r="A13" s="65" t="s">
        <v>46</v>
      </c>
      <c r="B13" s="63">
        <f>UFGVA!B24</f>
        <v>-79912.957491246285</v>
      </c>
      <c r="C13" s="63">
        <f>UFGVA!B25</f>
        <v>-8908.2932940976352</v>
      </c>
      <c r="D13" s="63">
        <f t="shared" si="1"/>
        <v>-727.20791317034127</v>
      </c>
      <c r="E13" s="63">
        <f t="shared" si="0"/>
        <v>-631.31236418084575</v>
      </c>
      <c r="F13" s="63">
        <f t="shared" si="0"/>
        <v>-581.36676574881676</v>
      </c>
      <c r="G13" s="63">
        <f t="shared" si="0"/>
        <v>-581.36676574881676</v>
      </c>
      <c r="H13" s="63">
        <f t="shared" ref="H13" si="5">SUM(B13:G13)</f>
        <v>-91342.504594192724</v>
      </c>
      <c r="J13" s="69">
        <f>H13-UFGVA!D26</f>
        <v>0</v>
      </c>
    </row>
    <row r="14" spans="1:10" x14ac:dyDescent="0.2">
      <c r="A14" s="103"/>
      <c r="B14" s="104"/>
      <c r="C14" s="104"/>
      <c r="D14" s="104"/>
      <c r="E14" s="104"/>
      <c r="F14" s="104"/>
      <c r="G14" s="104"/>
      <c r="H14" s="105"/>
      <c r="J14" s="69"/>
    </row>
    <row r="15" spans="1:10" ht="15" x14ac:dyDescent="0.25">
      <c r="A15" s="102"/>
      <c r="B15" s="183">
        <v>2024</v>
      </c>
      <c r="C15" s="184"/>
      <c r="D15" s="183" t="s">
        <v>45</v>
      </c>
      <c r="E15" s="185"/>
      <c r="F15" s="185"/>
      <c r="G15" s="184"/>
      <c r="H15" s="178" t="s">
        <v>17</v>
      </c>
      <c r="J15" s="69"/>
    </row>
    <row r="16" spans="1:10" ht="15" x14ac:dyDescent="0.2">
      <c r="A16" s="65"/>
      <c r="B16" s="179" t="s">
        <v>34</v>
      </c>
      <c r="C16" s="181" t="s">
        <v>35</v>
      </c>
      <c r="D16" s="100" t="s">
        <v>41</v>
      </c>
      <c r="E16" s="100" t="s">
        <v>42</v>
      </c>
      <c r="F16" s="100" t="s">
        <v>43</v>
      </c>
      <c r="G16" s="100" t="s">
        <v>44</v>
      </c>
      <c r="H16" s="179"/>
      <c r="J16" s="69"/>
    </row>
    <row r="17" spans="1:10" ht="14.25" customHeight="1" x14ac:dyDescent="0.2">
      <c r="A17" s="101"/>
      <c r="B17" s="180"/>
      <c r="C17" s="182"/>
      <c r="D17" s="62">
        <f>TVA!B24</f>
        <v>3.7199999999999997E-2</v>
      </c>
      <c r="E17" s="62">
        <f>TVA!C24</f>
        <v>3.7199999999999997E-2</v>
      </c>
      <c r="F17" s="62">
        <f>TVA!D24</f>
        <v>3.7199999999999997E-2</v>
      </c>
      <c r="G17" s="62">
        <f>TVA!E24</f>
        <v>3.7199999999999997E-2</v>
      </c>
      <c r="H17" s="180"/>
      <c r="J17" s="69"/>
    </row>
    <row r="18" spans="1:10" x14ac:dyDescent="0.2">
      <c r="A18" s="106" t="s">
        <v>58</v>
      </c>
      <c r="B18" s="107">
        <f>'S&amp;TVA'!B34</f>
        <v>3304513.9275926114</v>
      </c>
      <c r="C18" s="107">
        <f>'S&amp;TVA'!B35</f>
        <v>310285.01857938722</v>
      </c>
      <c r="D18" s="107">
        <f t="shared" ref="D18:G19" si="6">$B18*D$17/4</f>
        <v>30731.979526611285</v>
      </c>
      <c r="E18" s="107">
        <f t="shared" si="6"/>
        <v>30731.979526611285</v>
      </c>
      <c r="F18" s="107">
        <f t="shared" si="6"/>
        <v>30731.979526611285</v>
      </c>
      <c r="G18" s="107">
        <f t="shared" si="6"/>
        <v>30731.979526611285</v>
      </c>
      <c r="H18" s="107">
        <f>SUM(B18:G18)</f>
        <v>3737726.8642784446</v>
      </c>
      <c r="J18" s="69">
        <f>H19-TVA!D35</f>
        <v>0</v>
      </c>
    </row>
    <row r="19" spans="1:10" x14ac:dyDescent="0.2">
      <c r="A19" s="101" t="s">
        <v>57</v>
      </c>
      <c r="B19" s="108">
        <f>TVA!B33</f>
        <v>405385.37050276779</v>
      </c>
      <c r="C19" s="108">
        <f>TVA!B34</f>
        <v>49863.937577789882</v>
      </c>
      <c r="D19" s="108">
        <f t="shared" si="6"/>
        <v>3770.0839456757403</v>
      </c>
      <c r="E19" s="108">
        <f t="shared" si="6"/>
        <v>3770.0839456757403</v>
      </c>
      <c r="F19" s="108">
        <f t="shared" si="6"/>
        <v>3770.0839456757403</v>
      </c>
      <c r="G19" s="108">
        <f t="shared" si="6"/>
        <v>3770.0839456757403</v>
      </c>
      <c r="H19" s="108">
        <f>SUM(B19:G19)</f>
        <v>470329.64386326069</v>
      </c>
      <c r="J19" s="69">
        <f>H18-'S&amp;TVA'!D36</f>
        <v>0</v>
      </c>
    </row>
    <row r="20" spans="1:10" customFormat="1" ht="15" x14ac:dyDescent="0.25">
      <c r="A20" s="58"/>
      <c r="B20" s="59"/>
      <c r="C20" s="59"/>
      <c r="D20" s="59"/>
      <c r="E20" s="59"/>
      <c r="F20" s="59"/>
      <c r="G20" s="59"/>
      <c r="H20" s="59"/>
    </row>
    <row r="21" spans="1:10" s="48" customFormat="1" ht="15" x14ac:dyDescent="0.25">
      <c r="A21" s="71" t="s">
        <v>17</v>
      </c>
      <c r="B21" s="66">
        <f>SUM(B8:B13,B18:B19)</f>
        <v>4397185.8061868856</v>
      </c>
      <c r="C21" s="66">
        <f t="shared" ref="C21:H21" si="7">SUM(C8:C13,C18:C19)</f>
        <v>379583.02470252436</v>
      </c>
      <c r="D21" s="66">
        <f t="shared" si="7"/>
        <v>40756.37069591973</v>
      </c>
      <c r="E21" s="66">
        <f t="shared" si="7"/>
        <v>39931.626886209917</v>
      </c>
      <c r="F21" s="66">
        <f t="shared" si="7"/>
        <v>39502.072818652727</v>
      </c>
      <c r="G21" s="66">
        <f t="shared" si="7"/>
        <v>39502.072818652727</v>
      </c>
      <c r="H21" s="66">
        <f t="shared" si="7"/>
        <v>4936460.974108845</v>
      </c>
      <c r="J21" s="70"/>
    </row>
  </sheetData>
  <sheetProtection sheet="1" objects="1" scenarios="1"/>
  <mergeCells count="10">
    <mergeCell ref="H5:H7"/>
    <mergeCell ref="H15:H17"/>
    <mergeCell ref="B16:B17"/>
    <mergeCell ref="C16:C17"/>
    <mergeCell ref="B15:C15"/>
    <mergeCell ref="D15:G15"/>
    <mergeCell ref="B5:C5"/>
    <mergeCell ref="D5:G5"/>
    <mergeCell ref="B6:B7"/>
    <mergeCell ref="C6:C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2"/>
  <sheetViews>
    <sheetView showGridLines="0" workbookViewId="0">
      <selection activeCell="A27" sqref="A27"/>
    </sheetView>
  </sheetViews>
  <sheetFormatPr defaultColWidth="9.140625" defaultRowHeight="14.25" x14ac:dyDescent="0.2"/>
  <cols>
    <col min="1" max="1" width="16.7109375" style="46" customWidth="1"/>
    <col min="2" max="2" width="15.28515625" style="46" customWidth="1"/>
    <col min="3" max="3" width="12.7109375" style="46" bestFit="1" customWidth="1"/>
    <col min="4" max="4" width="17" style="46" bestFit="1" customWidth="1"/>
    <col min="5" max="5" width="12" style="46" bestFit="1" customWidth="1"/>
    <col min="6" max="6" width="12.7109375" style="46" bestFit="1" customWidth="1"/>
    <col min="7" max="7" width="13.28515625" style="46" bestFit="1" customWidth="1"/>
    <col min="8" max="8" width="9.140625" style="46"/>
    <col min="9" max="9" width="12.7109375" style="46" bestFit="1" customWidth="1"/>
    <col min="10" max="11" width="14.5703125" style="46" bestFit="1" customWidth="1"/>
    <col min="12" max="16384" width="9.140625" style="46"/>
  </cols>
  <sheetData>
    <row r="1" spans="1:7" ht="15" x14ac:dyDescent="0.25">
      <c r="A1" s="48" t="str">
        <f>CIACVA!A1</f>
        <v>EPCOR Natural Gas Limited Partnership</v>
      </c>
    </row>
    <row r="2" spans="1:7" ht="15" x14ac:dyDescent="0.25">
      <c r="A2" s="48" t="str">
        <f>CIACVA!A2</f>
        <v>EB-2025-0178</v>
      </c>
    </row>
    <row r="3" spans="1:7" ht="15" x14ac:dyDescent="0.25">
      <c r="A3" s="48" t="s">
        <v>38</v>
      </c>
    </row>
    <row r="4" spans="1:7" ht="15" x14ac:dyDescent="0.25">
      <c r="A4" s="48"/>
    </row>
    <row r="5" spans="1:7" ht="15" x14ac:dyDescent="0.25">
      <c r="A5" s="49" t="s">
        <v>132</v>
      </c>
    </row>
    <row r="6" spans="1:7" ht="15" x14ac:dyDescent="0.25">
      <c r="A6" s="47" t="s">
        <v>33</v>
      </c>
      <c r="B6" s="47" t="s">
        <v>133</v>
      </c>
      <c r="C6" s="47" t="s">
        <v>134</v>
      </c>
      <c r="D6" s="47" t="s">
        <v>135</v>
      </c>
      <c r="F6" s="47" t="s">
        <v>135</v>
      </c>
    </row>
    <row r="7" spans="1:7" x14ac:dyDescent="0.2">
      <c r="A7" s="111">
        <f>8867706.87518971/1000</f>
        <v>8867.7068751897095</v>
      </c>
      <c r="B7" s="111">
        <f>2468200.98836847/1000</f>
        <v>2468.20098836847</v>
      </c>
      <c r="C7" s="111">
        <f>1826281.4655765/1000</f>
        <v>1826.2814655764998</v>
      </c>
      <c r="D7" s="111">
        <v>95824</v>
      </c>
      <c r="F7" s="111">
        <f>805781/1000</f>
        <v>805.78099999999995</v>
      </c>
      <c r="G7" s="121"/>
    </row>
    <row r="8" spans="1:7" x14ac:dyDescent="0.2">
      <c r="A8" s="112" t="s">
        <v>136</v>
      </c>
      <c r="B8" s="112" t="s">
        <v>136</v>
      </c>
      <c r="C8" s="112" t="s">
        <v>136</v>
      </c>
      <c r="D8" s="112" t="s">
        <v>137</v>
      </c>
      <c r="F8" s="112" t="s">
        <v>136</v>
      </c>
    </row>
    <row r="9" spans="1:7" x14ac:dyDescent="0.2">
      <c r="A9" s="110"/>
      <c r="B9" s="110"/>
      <c r="C9" s="110"/>
      <c r="D9" s="110"/>
    </row>
    <row r="10" spans="1:7" ht="15" x14ac:dyDescent="0.25">
      <c r="A10" s="49" t="s">
        <v>138</v>
      </c>
    </row>
    <row r="11" spans="1:7" ht="15" x14ac:dyDescent="0.25">
      <c r="A11" s="47" t="s">
        <v>33</v>
      </c>
      <c r="B11" s="47" t="s">
        <v>133</v>
      </c>
      <c r="C11" s="47" t="s">
        <v>134</v>
      </c>
      <c r="D11" s="47" t="s">
        <v>135</v>
      </c>
    </row>
    <row r="12" spans="1:7" x14ac:dyDescent="0.2">
      <c r="A12" s="111">
        <v>5503</v>
      </c>
      <c r="B12" s="111">
        <v>71</v>
      </c>
      <c r="C12" s="111">
        <v>10</v>
      </c>
      <c r="D12" s="111">
        <v>3</v>
      </c>
      <c r="G12" s="50"/>
    </row>
    <row r="13" spans="1:7" x14ac:dyDescent="0.2">
      <c r="A13" s="82">
        <f>A12/SUM($A$12:$D$12)</f>
        <v>0.98496509754787898</v>
      </c>
      <c r="B13" s="82">
        <f t="shared" ref="B13:D13" si="0">B12/SUM($A$12:$D$12)</f>
        <v>1.2708072310721318E-2</v>
      </c>
      <c r="C13" s="82">
        <f t="shared" si="0"/>
        <v>1.7898693395382137E-3</v>
      </c>
      <c r="D13" s="82">
        <f t="shared" si="0"/>
        <v>5.3696080186146412E-4</v>
      </c>
      <c r="G13" s="50"/>
    </row>
    <row r="14" spans="1:7" x14ac:dyDescent="0.2">
      <c r="A14" s="109"/>
      <c r="B14" s="50"/>
      <c r="G14" s="50"/>
    </row>
    <row r="15" spans="1:7" x14ac:dyDescent="0.2">
      <c r="B15" s="50"/>
      <c r="G15" s="50"/>
    </row>
    <row r="16" spans="1:7" ht="15" x14ac:dyDescent="0.25">
      <c r="A16" s="149" t="s">
        <v>173</v>
      </c>
      <c r="B16" s="47">
        <v>2020</v>
      </c>
      <c r="C16" s="47">
        <v>2021</v>
      </c>
      <c r="D16" s="47">
        <v>2022</v>
      </c>
      <c r="E16" s="47">
        <v>2023</v>
      </c>
      <c r="F16" s="47">
        <v>2024</v>
      </c>
      <c r="G16" s="47" t="s">
        <v>17</v>
      </c>
    </row>
    <row r="17" spans="1:7" x14ac:dyDescent="0.2">
      <c r="A17" s="102" t="s">
        <v>33</v>
      </c>
      <c r="B17" s="148">
        <v>4014141.5</v>
      </c>
      <c r="C17" s="111">
        <v>7059322.5</v>
      </c>
      <c r="D17" s="111">
        <v>9067927</v>
      </c>
      <c r="E17" s="111">
        <v>10497650.499999998</v>
      </c>
      <c r="F17" s="111">
        <v>11435562.499999998</v>
      </c>
      <c r="G17" s="111">
        <f>SUM(B17:F17)</f>
        <v>42074604</v>
      </c>
    </row>
    <row r="18" spans="1:7" x14ac:dyDescent="0.2">
      <c r="A18" s="102" t="s">
        <v>133</v>
      </c>
      <c r="B18" s="148">
        <v>887258.36309749354</v>
      </c>
      <c r="C18" s="111">
        <v>1757528.872679045</v>
      </c>
      <c r="D18" s="111">
        <v>2650500.4239430516</v>
      </c>
      <c r="E18" s="111">
        <v>3209649.3287230013</v>
      </c>
      <c r="F18" s="111">
        <v>3457841.8287230008</v>
      </c>
      <c r="G18" s="111">
        <f t="shared" ref="G18:G21" si="1">SUM(B18:F18)</f>
        <v>11962778.817165593</v>
      </c>
    </row>
    <row r="19" spans="1:7" x14ac:dyDescent="0.2">
      <c r="A19" s="102" t="s">
        <v>134</v>
      </c>
      <c r="B19" s="148">
        <v>338331.61911979644</v>
      </c>
      <c r="C19" s="111">
        <v>744329.56206355221</v>
      </c>
      <c r="D19" s="111">
        <v>1251826.9907432469</v>
      </c>
      <c r="E19" s="111">
        <v>1353326.4764791857</v>
      </c>
      <c r="F19" s="111">
        <v>1353326.4764791857</v>
      </c>
      <c r="G19" s="111">
        <f t="shared" si="1"/>
        <v>5041141.1248849668</v>
      </c>
    </row>
    <row r="20" spans="1:7" x14ac:dyDescent="0.2">
      <c r="A20" s="102" t="s">
        <v>135</v>
      </c>
      <c r="B20" s="148">
        <v>23411347</v>
      </c>
      <c r="C20" s="111">
        <v>23385129</v>
      </c>
      <c r="D20" s="111">
        <v>23367679</v>
      </c>
      <c r="E20" s="111">
        <v>23367679</v>
      </c>
      <c r="F20" s="111">
        <v>23367679</v>
      </c>
      <c r="G20" s="111">
        <f t="shared" si="1"/>
        <v>116899513</v>
      </c>
    </row>
    <row r="21" spans="1:7" x14ac:dyDescent="0.2">
      <c r="A21" s="102" t="s">
        <v>17</v>
      </c>
      <c r="B21" s="148">
        <f>SUM(B17:B20)</f>
        <v>28651078.48221729</v>
      </c>
      <c r="C21" s="148">
        <f t="shared" ref="C21:F21" si="2">SUM(C17:C20)</f>
        <v>32946309.9347426</v>
      </c>
      <c r="D21" s="148">
        <f t="shared" si="2"/>
        <v>36337933.4146863</v>
      </c>
      <c r="E21" s="148">
        <f t="shared" si="2"/>
        <v>38428305.305202186</v>
      </c>
      <c r="F21" s="148">
        <f t="shared" si="2"/>
        <v>39614409.805202186</v>
      </c>
      <c r="G21" s="111">
        <f t="shared" si="1"/>
        <v>175978036.94205058</v>
      </c>
    </row>
    <row r="22" spans="1:7" x14ac:dyDescent="0.2">
      <c r="A22" s="121" t="s">
        <v>172</v>
      </c>
    </row>
  </sheetData>
  <sheetProtection sheet="1" objects="1" scenarios="1"/>
  <phoneticPr fontId="20" type="noConversion"/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E60C4-CC1C-458F-9671-4C19548671A7}">
  <sheetPr>
    <tabColor rgb="FF00B050"/>
  </sheetPr>
  <dimension ref="A1:G55"/>
  <sheetViews>
    <sheetView showGridLines="0" workbookViewId="0">
      <selection activeCell="I14" sqref="I14"/>
    </sheetView>
  </sheetViews>
  <sheetFormatPr defaultRowHeight="15" x14ac:dyDescent="0.25"/>
  <cols>
    <col min="1" max="1" width="25.28515625" style="58" bestFit="1" customWidth="1"/>
    <col min="2" max="2" width="13.28515625" bestFit="1" customWidth="1"/>
    <col min="3" max="3" width="13" customWidth="1"/>
    <col min="4" max="4" width="14.28515625" bestFit="1" customWidth="1"/>
    <col min="5" max="6" width="14.42578125" bestFit="1" customWidth="1"/>
    <col min="7" max="7" width="14.28515625" bestFit="1" customWidth="1"/>
  </cols>
  <sheetData>
    <row r="1" spans="1:6" x14ac:dyDescent="0.25">
      <c r="A1" s="48" t="s">
        <v>176</v>
      </c>
      <c r="B1" s="13"/>
      <c r="C1" s="13"/>
      <c r="D1" s="13"/>
      <c r="E1" s="13"/>
      <c r="F1" s="13"/>
    </row>
    <row r="2" spans="1:6" x14ac:dyDescent="0.25">
      <c r="A2" s="14" t="s">
        <v>184</v>
      </c>
      <c r="B2" s="14" t="s">
        <v>18</v>
      </c>
      <c r="C2" s="14" t="s">
        <v>19</v>
      </c>
      <c r="D2" s="14" t="s">
        <v>25</v>
      </c>
      <c r="E2" s="14" t="s">
        <v>125</v>
      </c>
      <c r="F2" s="14" t="s">
        <v>126</v>
      </c>
    </row>
    <row r="3" spans="1:6" ht="16.5" x14ac:dyDescent="0.25">
      <c r="A3" s="16" t="s">
        <v>178</v>
      </c>
      <c r="B3" s="17" t="s">
        <v>27</v>
      </c>
      <c r="C3" s="18">
        <f>SUM(D3:F3)</f>
        <v>127860.781</v>
      </c>
      <c r="D3" s="18">
        <f>90784357/1000</f>
        <v>90784.357000000004</v>
      </c>
      <c r="E3" s="18">
        <f>26452811/1000</f>
        <v>26452.811000000002</v>
      </c>
      <c r="F3" s="18">
        <f>10623613/1000</f>
        <v>10623.612999999999</v>
      </c>
    </row>
    <row r="4" spans="1:6" x14ac:dyDescent="0.25">
      <c r="A4" s="16" t="s">
        <v>174</v>
      </c>
      <c r="B4" s="19" t="s">
        <v>20</v>
      </c>
      <c r="C4" s="20">
        <f>SUM(D4:F4)</f>
        <v>0.99999999999999989</v>
      </c>
      <c r="D4" s="20">
        <f>D3/$C$3</f>
        <v>0.71002504669512378</v>
      </c>
      <c r="E4" s="20">
        <f t="shared" ref="E4:F4" si="0">E3/$C$3</f>
        <v>0.20688760691990454</v>
      </c>
      <c r="F4" s="20">
        <f t="shared" si="0"/>
        <v>8.308734638497163E-2</v>
      </c>
    </row>
    <row r="5" spans="1:6" x14ac:dyDescent="0.25">
      <c r="A5" s="150" t="s">
        <v>181</v>
      </c>
      <c r="B5" s="151" t="s">
        <v>21</v>
      </c>
      <c r="C5" s="152">
        <f>'S&amp;TVA'!C43</f>
        <v>2628545.7117429692</v>
      </c>
      <c r="D5" s="153">
        <f>D4*$C5</f>
        <v>1866333.2917205691</v>
      </c>
      <c r="E5" s="153">
        <f t="shared" ref="E5:F5" si="1">E4*$C5</f>
        <v>543813.53198208008</v>
      </c>
      <c r="F5" s="153">
        <f t="shared" si="1"/>
        <v>218398.88804031987</v>
      </c>
    </row>
    <row r="6" spans="1:6" x14ac:dyDescent="0.25">
      <c r="A6" s="1"/>
      <c r="B6" s="1"/>
      <c r="C6" s="1"/>
      <c r="D6" s="1"/>
      <c r="E6" s="1"/>
      <c r="F6" s="1"/>
    </row>
    <row r="7" spans="1:6" ht="16.5" x14ac:dyDescent="0.25">
      <c r="A7" s="16" t="s">
        <v>179</v>
      </c>
      <c r="B7" s="17" t="s">
        <v>27</v>
      </c>
      <c r="C7" s="18">
        <f>SUM(D7:F7)</f>
        <v>26880.93426223001</v>
      </c>
      <c r="D7" s="18">
        <v>17703.625338203277</v>
      </c>
      <c r="E7" s="18">
        <v>4763.7691727657348</v>
      </c>
      <c r="F7" s="18">
        <v>4413.5397512609998</v>
      </c>
    </row>
    <row r="8" spans="1:6" x14ac:dyDescent="0.25">
      <c r="A8" s="16" t="s">
        <v>175</v>
      </c>
      <c r="B8" s="19" t="s">
        <v>20</v>
      </c>
      <c r="C8" s="20">
        <f>SUM(D8:F8)</f>
        <v>1</v>
      </c>
      <c r="D8" s="20">
        <f>D7/$C$7</f>
        <v>0.6585941234594056</v>
      </c>
      <c r="E8" s="20">
        <f t="shared" ref="E8:F8" si="2">E7/$C$7</f>
        <v>0.17721739602850167</v>
      </c>
      <c r="F8" s="20">
        <f t="shared" si="2"/>
        <v>0.16418848051209281</v>
      </c>
    </row>
    <row r="9" spans="1:6" x14ac:dyDescent="0.25">
      <c r="A9" s="150" t="s">
        <v>181</v>
      </c>
      <c r="B9" s="151" t="s">
        <v>21</v>
      </c>
      <c r="C9" s="152">
        <f>C5</f>
        <v>2628545.7117429692</v>
      </c>
      <c r="D9" s="153">
        <f>D8*$C9</f>
        <v>1731144.7589983402</v>
      </c>
      <c r="E9" s="153">
        <f t="shared" ref="E9" si="3">E8*$C9</f>
        <v>465824.0263769736</v>
      </c>
      <c r="F9" s="153">
        <f t="shared" ref="F9" si="4">F8*$C9</f>
        <v>431576.92636765563</v>
      </c>
    </row>
    <row r="10" spans="1:6" x14ac:dyDescent="0.25">
      <c r="A10" s="1"/>
      <c r="B10" s="1"/>
      <c r="C10" s="1"/>
      <c r="D10" s="1"/>
      <c r="E10" s="1"/>
      <c r="F10" s="1"/>
    </row>
    <row r="11" spans="1:6" ht="16.5" x14ac:dyDescent="0.25">
      <c r="A11" s="16" t="s">
        <v>180</v>
      </c>
      <c r="B11" s="17" t="s">
        <v>27</v>
      </c>
      <c r="C11" s="18">
        <f>SUM(D11:F11)</f>
        <v>60597.602251610464</v>
      </c>
      <c r="D11" s="18">
        <v>43176.324000000001</v>
      </c>
      <c r="E11" s="18">
        <v>12210.971317165593</v>
      </c>
      <c r="F11" s="18">
        <v>5210.306934444865</v>
      </c>
    </row>
    <row r="12" spans="1:6" x14ac:dyDescent="0.25">
      <c r="A12" s="16" t="s">
        <v>177</v>
      </c>
      <c r="B12" s="19" t="s">
        <v>20</v>
      </c>
      <c r="C12" s="20">
        <f>SUM(D12:F12)</f>
        <v>0.99999999999999989</v>
      </c>
      <c r="D12" s="20">
        <f>D11/$C$11</f>
        <v>0.71250878575566956</v>
      </c>
      <c r="E12" s="20">
        <f t="shared" ref="E12:F12" si="5">E11/$C$11</f>
        <v>0.20150914992417987</v>
      </c>
      <c r="F12" s="20">
        <f t="shared" si="5"/>
        <v>8.5982064320150459E-2</v>
      </c>
    </row>
    <row r="13" spans="1:6" x14ac:dyDescent="0.25">
      <c r="A13" s="154" t="s">
        <v>181</v>
      </c>
      <c r="B13" s="155" t="s">
        <v>21</v>
      </c>
      <c r="C13" s="156">
        <f>C9</f>
        <v>2628545.7117429692</v>
      </c>
      <c r="D13" s="157">
        <f>D12*$C13</f>
        <v>1872861.9133772552</v>
      </c>
      <c r="E13" s="157">
        <f t="shared" ref="E13" si="6">E12*$C13</f>
        <v>529676.01191017404</v>
      </c>
      <c r="F13" s="157">
        <f t="shared" ref="F13" si="7">F12*$C13</f>
        <v>226007.78645553964</v>
      </c>
    </row>
    <row r="16" spans="1:6" hidden="1" x14ac:dyDescent="0.25">
      <c r="A16" s="14" t="s">
        <v>185</v>
      </c>
      <c r="B16" s="14" t="s">
        <v>18</v>
      </c>
      <c r="C16" s="14" t="s">
        <v>19</v>
      </c>
      <c r="D16" s="14" t="s">
        <v>25</v>
      </c>
      <c r="E16" s="14" t="s">
        <v>125</v>
      </c>
      <c r="F16" s="14" t="s">
        <v>126</v>
      </c>
    </row>
    <row r="17" spans="1:7" hidden="1" x14ac:dyDescent="0.25">
      <c r="A17" s="16" t="s">
        <v>178</v>
      </c>
      <c r="B17" s="18" t="str">
        <f>'S&amp;TVA'!B48</f>
        <v>$000's</v>
      </c>
      <c r="C17" s="18">
        <f>'S&amp;TVA'!C48</f>
        <v>2538.0602369971775</v>
      </c>
      <c r="D17" s="18">
        <f>'S&amp;TVA'!D48</f>
        <v>1578.7796557271608</v>
      </c>
      <c r="E17" s="18">
        <f>'S&amp;TVA'!E48</f>
        <v>959.28058127001668</v>
      </c>
      <c r="F17" s="18">
        <f>'S&amp;TVA'!F48</f>
        <v>0</v>
      </c>
    </row>
    <row r="18" spans="1:7" hidden="1" x14ac:dyDescent="0.25">
      <c r="A18" s="16" t="s">
        <v>187</v>
      </c>
      <c r="B18" s="19" t="s">
        <v>20</v>
      </c>
      <c r="C18" s="20">
        <f>SUM(D18:F18)</f>
        <v>1</v>
      </c>
      <c r="D18" s="20">
        <f>D17/$C$17</f>
        <v>0.6220418383745856</v>
      </c>
      <c r="E18" s="20">
        <f t="shared" ref="E18:F18" si="8">E17/$C$17</f>
        <v>0.37795816162541435</v>
      </c>
      <c r="F18" s="20">
        <f t="shared" si="8"/>
        <v>0</v>
      </c>
      <c r="G18" s="143"/>
    </row>
    <row r="19" spans="1:7" hidden="1" x14ac:dyDescent="0.25">
      <c r="A19" s="150" t="s">
        <v>181</v>
      </c>
      <c r="B19" s="151" t="s">
        <v>21</v>
      </c>
      <c r="C19" s="152">
        <f>'S&amp;TVA'!C50</f>
        <v>1109180.85851961</v>
      </c>
      <c r="D19" s="153">
        <f>D18*$C19</f>
        <v>689956.90032343939</v>
      </c>
      <c r="E19" s="153">
        <f t="shared" ref="E19:F19" si="9">E18*$C19</f>
        <v>419223.95819617063</v>
      </c>
      <c r="F19" s="153">
        <f t="shared" si="9"/>
        <v>0</v>
      </c>
      <c r="G19" s="143"/>
    </row>
    <row r="20" spans="1:7" hidden="1" x14ac:dyDescent="0.25">
      <c r="A20" s="1"/>
      <c r="B20" s="1"/>
      <c r="C20" s="1"/>
      <c r="D20" s="1"/>
      <c r="E20" s="1"/>
      <c r="F20" s="1"/>
      <c r="G20" s="143"/>
    </row>
    <row r="21" spans="1:7" ht="16.5" hidden="1" x14ac:dyDescent="0.25">
      <c r="A21" s="16" t="s">
        <v>179</v>
      </c>
      <c r="B21" s="17" t="s">
        <v>27</v>
      </c>
      <c r="C21" s="18">
        <f>C17</f>
        <v>2538.0602369971775</v>
      </c>
      <c r="D21" s="18">
        <f t="shared" ref="D21:F21" si="10">D17</f>
        <v>1578.7796557271608</v>
      </c>
      <c r="E21" s="18">
        <f t="shared" si="10"/>
        <v>959.28058127001668</v>
      </c>
      <c r="F21" s="18">
        <f t="shared" si="10"/>
        <v>0</v>
      </c>
    </row>
    <row r="22" spans="1:7" hidden="1" x14ac:dyDescent="0.25">
      <c r="A22" s="16" t="s">
        <v>187</v>
      </c>
      <c r="B22" s="19" t="s">
        <v>20</v>
      </c>
      <c r="C22" s="20">
        <f t="shared" ref="C22:F22" si="11">C18</f>
        <v>1</v>
      </c>
      <c r="D22" s="20">
        <f t="shared" si="11"/>
        <v>0.6220418383745856</v>
      </c>
      <c r="E22" s="20">
        <f t="shared" si="11"/>
        <v>0.37795816162541435</v>
      </c>
      <c r="F22" s="20">
        <f t="shared" si="11"/>
        <v>0</v>
      </c>
    </row>
    <row r="23" spans="1:7" hidden="1" x14ac:dyDescent="0.25">
      <c r="A23" s="150" t="s">
        <v>181</v>
      </c>
      <c r="B23" s="151" t="s">
        <v>21</v>
      </c>
      <c r="C23" s="152">
        <f t="shared" ref="C23:F23" si="12">C19</f>
        <v>1109180.85851961</v>
      </c>
      <c r="D23" s="153">
        <f t="shared" si="12"/>
        <v>689956.90032343939</v>
      </c>
      <c r="E23" s="153">
        <f t="shared" si="12"/>
        <v>419223.95819617063</v>
      </c>
      <c r="F23" s="153">
        <f t="shared" si="12"/>
        <v>0</v>
      </c>
    </row>
    <row r="24" spans="1:7" hidden="1" x14ac:dyDescent="0.25">
      <c r="A24" s="1"/>
      <c r="B24" s="1"/>
      <c r="C24" s="1"/>
      <c r="D24" s="1"/>
      <c r="E24" s="1"/>
      <c r="F24" s="1"/>
    </row>
    <row r="25" spans="1:7" ht="16.5" hidden="1" x14ac:dyDescent="0.25">
      <c r="A25" s="16" t="s">
        <v>180</v>
      </c>
      <c r="B25" s="17" t="s">
        <v>27</v>
      </c>
      <c r="C25" s="18">
        <f>C21</f>
        <v>2538.0602369971775</v>
      </c>
      <c r="D25" s="18">
        <f t="shared" ref="D25:F25" si="13">D21</f>
        <v>1578.7796557271608</v>
      </c>
      <c r="E25" s="18">
        <f t="shared" si="13"/>
        <v>959.28058127001668</v>
      </c>
      <c r="F25" s="18">
        <f t="shared" si="13"/>
        <v>0</v>
      </c>
    </row>
    <row r="26" spans="1:7" hidden="1" x14ac:dyDescent="0.25">
      <c r="A26" s="16" t="s">
        <v>187</v>
      </c>
      <c r="B26" s="19" t="s">
        <v>20</v>
      </c>
      <c r="C26" s="20">
        <f t="shared" ref="C26:F26" si="14">C22</f>
        <v>1</v>
      </c>
      <c r="D26" s="20">
        <f t="shared" si="14"/>
        <v>0.6220418383745856</v>
      </c>
      <c r="E26" s="20">
        <f t="shared" si="14"/>
        <v>0.37795816162541435</v>
      </c>
      <c r="F26" s="20">
        <f t="shared" si="14"/>
        <v>0</v>
      </c>
    </row>
    <row r="27" spans="1:7" hidden="1" x14ac:dyDescent="0.25">
      <c r="A27" s="154" t="s">
        <v>181</v>
      </c>
      <c r="B27" s="155" t="s">
        <v>21</v>
      </c>
      <c r="C27" s="156">
        <f t="shared" ref="C27:F27" si="15">C23</f>
        <v>1109180.85851961</v>
      </c>
      <c r="D27" s="157">
        <f t="shared" si="15"/>
        <v>689956.90032343939</v>
      </c>
      <c r="E27" s="157">
        <f t="shared" si="15"/>
        <v>419223.95819617063</v>
      </c>
      <c r="F27" s="157">
        <f t="shared" si="15"/>
        <v>0</v>
      </c>
    </row>
    <row r="28" spans="1:7" hidden="1" x14ac:dyDescent="0.25"/>
    <row r="29" spans="1:7" hidden="1" x14ac:dyDescent="0.25"/>
    <row r="30" spans="1:7" x14ac:dyDescent="0.25">
      <c r="A30" s="14" t="s">
        <v>186</v>
      </c>
      <c r="B30" s="14" t="s">
        <v>18</v>
      </c>
      <c r="C30" s="14" t="s">
        <v>19</v>
      </c>
      <c r="D30" s="14" t="s">
        <v>25</v>
      </c>
      <c r="E30" s="14" t="s">
        <v>125</v>
      </c>
      <c r="F30" s="14" t="s">
        <v>126</v>
      </c>
    </row>
    <row r="31" spans="1:7" x14ac:dyDescent="0.25">
      <c r="A31" s="51" t="s">
        <v>178</v>
      </c>
      <c r="B31" s="158" t="s">
        <v>20</v>
      </c>
      <c r="C31" s="159">
        <f>C32/$C32</f>
        <v>1</v>
      </c>
      <c r="D31" s="159">
        <f>D32/$C32</f>
        <v>0.68391578249246476</v>
      </c>
      <c r="E31" s="159">
        <f t="shared" ref="E31:F31" si="16">E32/$C32</f>
        <v>0.25765327454399539</v>
      </c>
      <c r="F31" s="159">
        <f t="shared" si="16"/>
        <v>5.8430942963539761E-2</v>
      </c>
    </row>
    <row r="32" spans="1:7" x14ac:dyDescent="0.25">
      <c r="A32" s="150" t="s">
        <v>181</v>
      </c>
      <c r="B32" s="151" t="s">
        <v>21</v>
      </c>
      <c r="C32" s="152">
        <f>C5+C19</f>
        <v>3737726.5702625792</v>
      </c>
      <c r="D32" s="152">
        <f t="shared" ref="D32:F32" si="17">D5+D19</f>
        <v>2556290.1920440085</v>
      </c>
      <c r="E32" s="152">
        <f t="shared" si="17"/>
        <v>963037.49017825071</v>
      </c>
      <c r="F32" s="152">
        <f t="shared" si="17"/>
        <v>218398.88804031987</v>
      </c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6" t="s">
        <v>179</v>
      </c>
      <c r="B34" s="17" t="s">
        <v>20</v>
      </c>
      <c r="C34" s="20">
        <f>C35/$C35</f>
        <v>1</v>
      </c>
      <c r="D34" s="20">
        <f>D35/$C35</f>
        <v>0.64774713018980801</v>
      </c>
      <c r="E34" s="20">
        <f t="shared" ref="E34" si="18">E35/$C35</f>
        <v>0.23678778207443052</v>
      </c>
      <c r="F34" s="20">
        <f t="shared" ref="F34" si="19">F35/$C35</f>
        <v>0.1154650877357615</v>
      </c>
    </row>
    <row r="35" spans="1:6" x14ac:dyDescent="0.25">
      <c r="A35" s="150" t="s">
        <v>181</v>
      </c>
      <c r="B35" s="151" t="s">
        <v>21</v>
      </c>
      <c r="C35" s="152">
        <f>C9+C23</f>
        <v>3737726.5702625792</v>
      </c>
      <c r="D35" s="152">
        <f t="shared" ref="D35:F35" si="20">D9+D23</f>
        <v>2421101.6593217794</v>
      </c>
      <c r="E35" s="152">
        <f t="shared" si="20"/>
        <v>885047.98457314423</v>
      </c>
      <c r="F35" s="152">
        <f t="shared" si="20"/>
        <v>431576.92636765563</v>
      </c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6" t="s">
        <v>180</v>
      </c>
      <c r="B37" s="17" t="s">
        <v>20</v>
      </c>
      <c r="C37" s="20">
        <f>C38/$C38</f>
        <v>1</v>
      </c>
      <c r="D37" s="20">
        <f>D38/$C38</f>
        <v>0.68566246501028938</v>
      </c>
      <c r="E37" s="20">
        <f t="shared" ref="E37" si="21">E38/$C38</f>
        <v>0.2538708897691474</v>
      </c>
      <c r="F37" s="20">
        <f t="shared" ref="F37" si="22">F38/$C38</f>
        <v>6.0466645220563137E-2</v>
      </c>
    </row>
    <row r="38" spans="1:6" x14ac:dyDescent="0.25">
      <c r="A38" s="154" t="s">
        <v>181</v>
      </c>
      <c r="B38" s="155" t="s">
        <v>21</v>
      </c>
      <c r="C38" s="156">
        <f>C13+C27</f>
        <v>3737726.5702625792</v>
      </c>
      <c r="D38" s="156">
        <f t="shared" ref="D38:F38" si="23">D13+D27</f>
        <v>2562818.8137006946</v>
      </c>
      <c r="E38" s="156">
        <f t="shared" si="23"/>
        <v>948899.97010634467</v>
      </c>
      <c r="F38" s="156">
        <f t="shared" si="23"/>
        <v>226007.78645553964</v>
      </c>
    </row>
    <row r="41" spans="1:6" x14ac:dyDescent="0.25">
      <c r="A41" s="14" t="s">
        <v>206</v>
      </c>
      <c r="B41" s="14" t="s">
        <v>18</v>
      </c>
      <c r="C41" s="14" t="s">
        <v>19</v>
      </c>
      <c r="D41" s="14" t="s">
        <v>25</v>
      </c>
      <c r="E41" s="14" t="s">
        <v>125</v>
      </c>
      <c r="F41" s="14" t="s">
        <v>126</v>
      </c>
    </row>
    <row r="42" spans="1:6" x14ac:dyDescent="0.25">
      <c r="A42" s="51" t="s">
        <v>178</v>
      </c>
      <c r="B42" s="160" t="str">
        <f>B17</f>
        <v>$000's</v>
      </c>
      <c r="C42" s="160">
        <f>'S&amp;TVA'!C61</f>
        <v>13162.189329134679</v>
      </c>
      <c r="D42" s="160">
        <f>'S&amp;TVA'!D61</f>
        <v>8867.7068751897095</v>
      </c>
      <c r="E42" s="160">
        <f>'S&amp;TVA'!E61</f>
        <v>2468.20098836847</v>
      </c>
      <c r="F42" s="160">
        <f>'S&amp;TVA'!F61</f>
        <v>1826.2814655764998</v>
      </c>
    </row>
    <row r="43" spans="1:6" x14ac:dyDescent="0.25">
      <c r="A43" s="16" t="str">
        <f>A4</f>
        <v>2019-2028 CIP Volumes</v>
      </c>
      <c r="B43" s="19" t="s">
        <v>20</v>
      </c>
      <c r="C43" s="20">
        <f>SUM(D43:F43)</f>
        <v>0.99999999999999989</v>
      </c>
      <c r="D43" s="20">
        <f>D31</f>
        <v>0.68391578249246476</v>
      </c>
      <c r="E43" s="20">
        <f t="shared" ref="E43:F43" si="24">E31</f>
        <v>0.25765327454399539</v>
      </c>
      <c r="F43" s="20">
        <f t="shared" si="24"/>
        <v>5.8430942963539761E-2</v>
      </c>
    </row>
    <row r="44" spans="1:6" x14ac:dyDescent="0.25">
      <c r="A44" s="150" t="s">
        <v>17</v>
      </c>
      <c r="B44" s="151" t="s">
        <v>21</v>
      </c>
      <c r="C44" s="152">
        <f>SUM(D44:F44)</f>
        <v>150009.09312090618</v>
      </c>
      <c r="D44" s="28">
        <f>D42*D45*10</f>
        <v>102593.58630276957</v>
      </c>
      <c r="E44" s="28">
        <f t="shared" ref="E44:F44" si="25">E42*E45*10</f>
        <v>38650.334053976621</v>
      </c>
      <c r="F44" s="28">
        <f t="shared" si="25"/>
        <v>8765.1727641599937</v>
      </c>
    </row>
    <row r="45" spans="1:6" ht="17.25" x14ac:dyDescent="0.25">
      <c r="A45" s="150" t="s">
        <v>23</v>
      </c>
      <c r="B45" s="27" t="s">
        <v>28</v>
      </c>
      <c r="C45" s="152"/>
      <c r="D45" s="161">
        <f>D32/D42/10*12/299</f>
        <v>1.1569347943808164</v>
      </c>
      <c r="E45" s="161">
        <f t="shared" ref="E45:F45" si="26">E32/E42/10*12/299</f>
        <v>1.5659313903575276</v>
      </c>
      <c r="F45" s="161">
        <f t="shared" si="26"/>
        <v>0.47994643374388646</v>
      </c>
    </row>
    <row r="46" spans="1:6" x14ac:dyDescent="0.25">
      <c r="A46" s="1"/>
      <c r="B46" s="1"/>
      <c r="C46" s="1"/>
      <c r="D46" s="1"/>
      <c r="E46" s="1"/>
      <c r="F46" s="1"/>
    </row>
    <row r="47" spans="1:6" ht="16.5" x14ac:dyDescent="0.25">
      <c r="A47" s="16" t="s">
        <v>179</v>
      </c>
      <c r="B47" s="17" t="s">
        <v>27</v>
      </c>
      <c r="C47" s="18">
        <f>C42</f>
        <v>13162.189329134679</v>
      </c>
      <c r="D47" s="18">
        <f t="shared" ref="D47:F47" si="27">D42</f>
        <v>8867.7068751897095</v>
      </c>
      <c r="E47" s="18">
        <f t="shared" si="27"/>
        <v>2468.20098836847</v>
      </c>
      <c r="F47" s="18">
        <f t="shared" si="27"/>
        <v>1826.2814655764998</v>
      </c>
    </row>
    <row r="48" spans="1:6" x14ac:dyDescent="0.25">
      <c r="A48" s="16" t="s">
        <v>175</v>
      </c>
      <c r="B48" s="19" t="s">
        <v>20</v>
      </c>
      <c r="C48" s="20">
        <f t="shared" ref="C48" si="28">C43</f>
        <v>0.99999999999999989</v>
      </c>
      <c r="D48" s="20">
        <f>D34</f>
        <v>0.64774713018980801</v>
      </c>
      <c r="E48" s="20">
        <f t="shared" ref="E48:F48" si="29">E34</f>
        <v>0.23678778207443052</v>
      </c>
      <c r="F48" s="20">
        <f t="shared" si="29"/>
        <v>0.1154650877357615</v>
      </c>
    </row>
    <row r="49" spans="1:6" x14ac:dyDescent="0.25">
      <c r="A49" s="150" t="s">
        <v>17</v>
      </c>
      <c r="B49" s="151" t="s">
        <v>21</v>
      </c>
      <c r="C49" s="152">
        <f>SUM(D49:F49)</f>
        <v>150009.09312090618</v>
      </c>
      <c r="D49" s="28">
        <f>D47*D50*10</f>
        <v>97167.959571442654</v>
      </c>
      <c r="E49" s="28">
        <f t="shared" ref="E49:F49" si="30">E47*E50*10</f>
        <v>35520.320451096086</v>
      </c>
      <c r="F49" s="28">
        <f t="shared" si="30"/>
        <v>17320.813098367453</v>
      </c>
    </row>
    <row r="50" spans="1:6" ht="17.25" x14ac:dyDescent="0.25">
      <c r="A50" s="150" t="s">
        <v>23</v>
      </c>
      <c r="B50" s="27" t="s">
        <v>28</v>
      </c>
      <c r="C50" s="152"/>
      <c r="D50" s="161">
        <f>D35/D47/10*12/299</f>
        <v>1.0957506933760022</v>
      </c>
      <c r="E50" s="161">
        <f t="shared" ref="E50:F50" si="31">E35/E47/10*12/299</f>
        <v>1.4391178278627839</v>
      </c>
      <c r="F50" s="161">
        <f t="shared" si="31"/>
        <v>0.94841969460056996</v>
      </c>
    </row>
    <row r="51" spans="1:6" x14ac:dyDescent="0.25">
      <c r="A51" s="1"/>
      <c r="B51" s="1"/>
      <c r="C51" s="1"/>
      <c r="D51" s="1"/>
      <c r="E51" s="1"/>
      <c r="F51" s="1"/>
    </row>
    <row r="52" spans="1:6" ht="16.5" x14ac:dyDescent="0.25">
      <c r="A52" s="16" t="s">
        <v>180</v>
      </c>
      <c r="B52" s="17" t="s">
        <v>27</v>
      </c>
      <c r="C52" s="18">
        <f>C47</f>
        <v>13162.189329134679</v>
      </c>
      <c r="D52" s="18">
        <f t="shared" ref="D52:F52" si="32">D47</f>
        <v>8867.7068751897095</v>
      </c>
      <c r="E52" s="18">
        <f t="shared" si="32"/>
        <v>2468.20098836847</v>
      </c>
      <c r="F52" s="18">
        <f t="shared" si="32"/>
        <v>1826.2814655764998</v>
      </c>
    </row>
    <row r="53" spans="1:6" x14ac:dyDescent="0.25">
      <c r="A53" s="16" t="str">
        <f>A12</f>
        <v>2019-2024 CIP Volumes</v>
      </c>
      <c r="B53" s="19" t="s">
        <v>20</v>
      </c>
      <c r="C53" s="20">
        <f t="shared" ref="C53" si="33">C48</f>
        <v>0.99999999999999989</v>
      </c>
      <c r="D53" s="20">
        <f>D37</f>
        <v>0.68566246501028938</v>
      </c>
      <c r="E53" s="20">
        <f t="shared" ref="E53:F53" si="34">E37</f>
        <v>0.2538708897691474</v>
      </c>
      <c r="F53" s="20">
        <f t="shared" si="34"/>
        <v>6.0466645220563137E-2</v>
      </c>
    </row>
    <row r="54" spans="1:6" x14ac:dyDescent="0.25">
      <c r="A54" s="150" t="s">
        <v>17</v>
      </c>
      <c r="B54" s="151" t="s">
        <v>21</v>
      </c>
      <c r="C54" s="152">
        <f>SUM(D54:F54)</f>
        <v>150009.09312090615</v>
      </c>
      <c r="D54" s="28">
        <f>D52*D55*10</f>
        <v>102855.60456323856</v>
      </c>
      <c r="E54" s="28">
        <f t="shared" ref="E54" si="35">E52*E55*10</f>
        <v>38082.941944067337</v>
      </c>
      <c r="F54" s="28">
        <f t="shared" ref="F54" si="36">F52*F55*10</f>
        <v>9070.5466136002524</v>
      </c>
    </row>
    <row r="55" spans="1:6" ht="17.25" x14ac:dyDescent="0.25">
      <c r="A55" s="154" t="s">
        <v>23</v>
      </c>
      <c r="B55" s="23" t="s">
        <v>28</v>
      </c>
      <c r="C55" s="156"/>
      <c r="D55" s="29">
        <f>D38/D52/10*12/299</f>
        <v>1.1598895409027392</v>
      </c>
      <c r="E55" s="29">
        <f t="shared" ref="E55:F55" si="37">E38/E52/10*12/299</f>
        <v>1.5429433066243492</v>
      </c>
      <c r="F55" s="29">
        <f t="shared" si="37"/>
        <v>0.49666750632750717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89A7-A2D6-4EEB-8074-7517D0BE53B3}">
  <sheetPr>
    <tabColor rgb="FF00B050"/>
  </sheetPr>
  <dimension ref="A1:BO26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A22" sqref="BA22"/>
    </sheetView>
  </sheetViews>
  <sheetFormatPr defaultColWidth="10.140625" defaultRowHeight="14.25" outlineLevelCol="1" x14ac:dyDescent="0.2"/>
  <cols>
    <col min="1" max="1" width="46.7109375" style="58" bestFit="1" customWidth="1"/>
    <col min="2" max="8" width="10.140625" style="58" hidden="1" customWidth="1" outlineLevel="1"/>
    <col min="9" max="13" width="13.28515625" style="58" hidden="1" customWidth="1" outlineLevel="1"/>
    <col min="14" max="14" width="11.85546875" style="58" bestFit="1" customWidth="1" collapsed="1"/>
    <col min="15" max="15" width="12.85546875" style="58" hidden="1" customWidth="1" outlineLevel="1"/>
    <col min="16" max="16" width="10.5703125" style="58" hidden="1" customWidth="1" outlineLevel="1"/>
    <col min="17" max="18" width="11.140625" style="58" hidden="1" customWidth="1" outlineLevel="1"/>
    <col min="19" max="26" width="11.5703125" style="58" hidden="1" customWidth="1" outlineLevel="1"/>
    <col min="27" max="27" width="12.5703125" style="58" bestFit="1" customWidth="1" collapsed="1"/>
    <col min="28" max="28" width="12.85546875" style="58" hidden="1" customWidth="1" outlineLevel="1"/>
    <col min="29" max="32" width="11.85546875" style="58" hidden="1" customWidth="1" outlineLevel="1"/>
    <col min="33" max="33" width="12.140625" style="58" hidden="1" customWidth="1" outlineLevel="1"/>
    <col min="34" max="39" width="11.85546875" style="58" hidden="1" customWidth="1" outlineLevel="1"/>
    <col min="40" max="40" width="12.85546875" style="58" bestFit="1" customWidth="1" collapsed="1"/>
    <col min="41" max="44" width="11.85546875" style="58" hidden="1" customWidth="1" outlineLevel="1"/>
    <col min="45" max="49" width="10.85546875" style="58" hidden="1" customWidth="1" outlineLevel="1"/>
    <col min="50" max="50" width="12.140625" style="58" hidden="1" customWidth="1" outlineLevel="1"/>
    <col min="51" max="51" width="12.85546875" style="58" hidden="1" customWidth="1" outlineLevel="1"/>
    <col min="52" max="52" width="11.85546875" style="58" hidden="1" customWidth="1" outlineLevel="1"/>
    <col min="53" max="53" width="12.85546875" style="58" bestFit="1" customWidth="1" collapsed="1"/>
    <col min="54" max="56" width="11.85546875" style="58" hidden="1" customWidth="1" outlineLevel="1"/>
    <col min="57" max="64" width="10.85546875" style="58" hidden="1" customWidth="1" outlineLevel="1"/>
    <col min="65" max="65" width="11.85546875" style="58" hidden="1" customWidth="1" outlineLevel="1"/>
    <col min="66" max="66" width="12.85546875" style="58" bestFit="1" customWidth="1" collapsed="1"/>
    <col min="67" max="67" width="12.85546875" style="58" bestFit="1" customWidth="1"/>
    <col min="68" max="16384" width="10.140625" style="58"/>
  </cols>
  <sheetData>
    <row r="1" spans="1:67" ht="15" customHeight="1" x14ac:dyDescent="0.25">
      <c r="A1" s="162" t="s">
        <v>207</v>
      </c>
    </row>
    <row r="2" spans="1:67" ht="15" customHeight="1" x14ac:dyDescent="0.25">
      <c r="A2" s="122"/>
      <c r="B2" s="4">
        <v>2020</v>
      </c>
      <c r="C2" s="4">
        <v>2020</v>
      </c>
      <c r="D2" s="4">
        <v>2020</v>
      </c>
      <c r="E2" s="4">
        <v>2020</v>
      </c>
      <c r="F2" s="4">
        <v>2020</v>
      </c>
      <c r="G2" s="4">
        <v>2020</v>
      </c>
      <c r="H2" s="4">
        <v>2020</v>
      </c>
      <c r="I2" s="4">
        <v>2020</v>
      </c>
      <c r="J2" s="4">
        <v>2020</v>
      </c>
      <c r="K2" s="4">
        <v>2020</v>
      </c>
      <c r="L2" s="4">
        <v>2020</v>
      </c>
      <c r="M2" s="4">
        <v>2020</v>
      </c>
      <c r="N2" s="4">
        <v>2020</v>
      </c>
      <c r="O2" s="4">
        <v>2021</v>
      </c>
      <c r="P2" s="4">
        <v>2021</v>
      </c>
      <c r="Q2" s="4">
        <v>2021</v>
      </c>
      <c r="R2" s="4">
        <v>2021</v>
      </c>
      <c r="S2" s="4">
        <v>2021</v>
      </c>
      <c r="T2" s="4">
        <v>2021</v>
      </c>
      <c r="U2" s="4">
        <v>2021</v>
      </c>
      <c r="V2" s="4">
        <v>2021</v>
      </c>
      <c r="W2" s="4">
        <v>2021</v>
      </c>
      <c r="X2" s="4">
        <v>2021</v>
      </c>
      <c r="Y2" s="4">
        <v>2021</v>
      </c>
      <c r="Z2" s="4">
        <v>2021</v>
      </c>
      <c r="AA2" s="4">
        <v>2021</v>
      </c>
      <c r="AB2" s="4">
        <v>2022</v>
      </c>
      <c r="AC2" s="4">
        <v>2022</v>
      </c>
      <c r="AD2" s="4">
        <v>2022</v>
      </c>
      <c r="AE2" s="4">
        <v>2022</v>
      </c>
      <c r="AF2" s="4">
        <v>2022</v>
      </c>
      <c r="AG2" s="4">
        <v>2022</v>
      </c>
      <c r="AH2" s="4">
        <v>2022</v>
      </c>
      <c r="AI2" s="4">
        <v>2022</v>
      </c>
      <c r="AJ2" s="4">
        <v>2022</v>
      </c>
      <c r="AK2" s="4">
        <v>2022</v>
      </c>
      <c r="AL2" s="4">
        <v>2022</v>
      </c>
      <c r="AM2" s="4">
        <v>2022</v>
      </c>
      <c r="AN2" s="4">
        <v>2022</v>
      </c>
      <c r="AO2" s="4">
        <v>2023</v>
      </c>
      <c r="AP2" s="4">
        <v>2023</v>
      </c>
      <c r="AQ2" s="4">
        <v>2023</v>
      </c>
      <c r="AR2" s="4">
        <v>2023</v>
      </c>
      <c r="AS2" s="4">
        <v>2023</v>
      </c>
      <c r="AT2" s="4">
        <v>2023</v>
      </c>
      <c r="AU2" s="4">
        <v>2023</v>
      </c>
      <c r="AV2" s="4">
        <v>2023</v>
      </c>
      <c r="AW2" s="4">
        <v>2023</v>
      </c>
      <c r="AX2" s="4">
        <v>2023</v>
      </c>
      <c r="AY2" s="4">
        <v>2023</v>
      </c>
      <c r="AZ2" s="4">
        <v>2023</v>
      </c>
      <c r="BA2" s="4">
        <v>2023</v>
      </c>
      <c r="BB2" s="4">
        <v>2024</v>
      </c>
      <c r="BC2" s="4">
        <v>2024</v>
      </c>
      <c r="BD2" s="4">
        <v>2024</v>
      </c>
      <c r="BE2" s="4">
        <v>2024</v>
      </c>
      <c r="BF2" s="4">
        <v>2024</v>
      </c>
      <c r="BG2" s="4">
        <v>2024</v>
      </c>
      <c r="BH2" s="4">
        <v>2024</v>
      </c>
      <c r="BI2" s="4">
        <v>2024</v>
      </c>
      <c r="BJ2" s="4">
        <v>2024</v>
      </c>
      <c r="BK2" s="4">
        <v>2024</v>
      </c>
      <c r="BL2" s="4">
        <v>2024</v>
      </c>
      <c r="BM2" s="4">
        <v>2024</v>
      </c>
      <c r="BN2" s="4">
        <v>2024</v>
      </c>
      <c r="BO2" s="4" t="s">
        <v>188</v>
      </c>
    </row>
    <row r="3" spans="1:67" ht="15" x14ac:dyDescent="0.25">
      <c r="A3" s="163"/>
      <c r="B3" s="164" t="s">
        <v>189</v>
      </c>
      <c r="C3" s="164" t="s">
        <v>190</v>
      </c>
      <c r="D3" s="164" t="s">
        <v>191</v>
      </c>
      <c r="E3" s="164" t="s">
        <v>192</v>
      </c>
      <c r="F3" s="164" t="s">
        <v>193</v>
      </c>
      <c r="G3" s="164" t="s">
        <v>194</v>
      </c>
      <c r="H3" s="164" t="s">
        <v>195</v>
      </c>
      <c r="I3" s="164" t="s">
        <v>196</v>
      </c>
      <c r="J3" s="164" t="s">
        <v>197</v>
      </c>
      <c r="K3" s="164" t="s">
        <v>198</v>
      </c>
      <c r="L3" s="164" t="s">
        <v>199</v>
      </c>
      <c r="M3" s="164" t="s">
        <v>200</v>
      </c>
      <c r="N3" s="164" t="s">
        <v>17</v>
      </c>
      <c r="O3" s="164" t="s">
        <v>189</v>
      </c>
      <c r="P3" s="164" t="s">
        <v>190</v>
      </c>
      <c r="Q3" s="164" t="s">
        <v>191</v>
      </c>
      <c r="R3" s="164" t="s">
        <v>192</v>
      </c>
      <c r="S3" s="164" t="s">
        <v>193</v>
      </c>
      <c r="T3" s="164" t="s">
        <v>194</v>
      </c>
      <c r="U3" s="164" t="s">
        <v>195</v>
      </c>
      <c r="V3" s="164" t="s">
        <v>196</v>
      </c>
      <c r="W3" s="164" t="s">
        <v>197</v>
      </c>
      <c r="X3" s="164" t="s">
        <v>198</v>
      </c>
      <c r="Y3" s="164" t="s">
        <v>199</v>
      </c>
      <c r="Z3" s="164" t="s">
        <v>200</v>
      </c>
      <c r="AA3" s="164" t="s">
        <v>17</v>
      </c>
      <c r="AB3" s="164" t="s">
        <v>189</v>
      </c>
      <c r="AC3" s="164" t="s">
        <v>190</v>
      </c>
      <c r="AD3" s="164" t="s">
        <v>191</v>
      </c>
      <c r="AE3" s="164" t="s">
        <v>192</v>
      </c>
      <c r="AF3" s="164" t="s">
        <v>193</v>
      </c>
      <c r="AG3" s="164" t="s">
        <v>194</v>
      </c>
      <c r="AH3" s="164" t="s">
        <v>195</v>
      </c>
      <c r="AI3" s="164" t="s">
        <v>196</v>
      </c>
      <c r="AJ3" s="164" t="s">
        <v>197</v>
      </c>
      <c r="AK3" s="164" t="s">
        <v>198</v>
      </c>
      <c r="AL3" s="164" t="s">
        <v>199</v>
      </c>
      <c r="AM3" s="164" t="s">
        <v>200</v>
      </c>
      <c r="AN3" s="164" t="s">
        <v>17</v>
      </c>
      <c r="AO3" s="164" t="s">
        <v>189</v>
      </c>
      <c r="AP3" s="164" t="s">
        <v>190</v>
      </c>
      <c r="AQ3" s="164" t="s">
        <v>191</v>
      </c>
      <c r="AR3" s="164" t="s">
        <v>192</v>
      </c>
      <c r="AS3" s="164" t="s">
        <v>193</v>
      </c>
      <c r="AT3" s="164" t="s">
        <v>194</v>
      </c>
      <c r="AU3" s="164" t="s">
        <v>195</v>
      </c>
      <c r="AV3" s="164" t="s">
        <v>196</v>
      </c>
      <c r="AW3" s="164" t="s">
        <v>197</v>
      </c>
      <c r="AX3" s="164" t="s">
        <v>198</v>
      </c>
      <c r="AY3" s="164" t="s">
        <v>199</v>
      </c>
      <c r="AZ3" s="164" t="s">
        <v>200</v>
      </c>
      <c r="BA3" s="164" t="s">
        <v>17</v>
      </c>
      <c r="BB3" s="164" t="s">
        <v>189</v>
      </c>
      <c r="BC3" s="164" t="s">
        <v>190</v>
      </c>
      <c r="BD3" s="164" t="s">
        <v>191</v>
      </c>
      <c r="BE3" s="164" t="s">
        <v>192</v>
      </c>
      <c r="BF3" s="164" t="s">
        <v>193</v>
      </c>
      <c r="BG3" s="164" t="s">
        <v>194</v>
      </c>
      <c r="BH3" s="164" t="s">
        <v>195</v>
      </c>
      <c r="BI3" s="164" t="s">
        <v>196</v>
      </c>
      <c r="BJ3" s="164" t="s">
        <v>197</v>
      </c>
      <c r="BK3" s="164" t="s">
        <v>198</v>
      </c>
      <c r="BL3" s="164" t="s">
        <v>199</v>
      </c>
      <c r="BM3" s="164" t="s">
        <v>200</v>
      </c>
      <c r="BN3" s="164" t="s">
        <v>17</v>
      </c>
      <c r="BO3" s="164" t="s">
        <v>17</v>
      </c>
    </row>
    <row r="4" spans="1:67" ht="15" x14ac:dyDescent="0.25">
      <c r="A4" s="44" t="s">
        <v>201</v>
      </c>
      <c r="B4" s="165"/>
      <c r="C4" s="165"/>
      <c r="D4" s="165"/>
      <c r="E4" s="165"/>
      <c r="F4" s="165"/>
      <c r="G4" s="165"/>
      <c r="H4" s="165"/>
      <c r="I4" s="166">
        <v>1034597.7596741343</v>
      </c>
      <c r="J4" s="166">
        <v>1183324.8472505091</v>
      </c>
      <c r="K4" s="166">
        <v>1798981.6700610996</v>
      </c>
      <c r="L4" s="166">
        <v>1781008.146639511</v>
      </c>
      <c r="M4" s="166">
        <v>1886558.0448065172</v>
      </c>
      <c r="N4" s="165">
        <f>SUM(B4:M4)</f>
        <v>7684470.4684317708</v>
      </c>
      <c r="O4" s="166">
        <v>2006491.8533604888</v>
      </c>
      <c r="P4" s="166">
        <v>1986608.9613034623</v>
      </c>
      <c r="Q4" s="166">
        <v>2082433.8085539714</v>
      </c>
      <c r="R4" s="166">
        <v>1875915.5645981689</v>
      </c>
      <c r="S4" s="166">
        <v>1706358.0874872839</v>
      </c>
      <c r="T4" s="166">
        <v>1226703.9674465919</v>
      </c>
      <c r="U4" s="166">
        <v>1346007.1210579858</v>
      </c>
      <c r="V4" s="166">
        <v>1281256.3580874873</v>
      </c>
      <c r="W4" s="166">
        <v>1146744.6592065108</v>
      </c>
      <c r="X4" s="166">
        <v>1880061.037639878</v>
      </c>
      <c r="Y4" s="166">
        <v>2316429.2980671413</v>
      </c>
      <c r="Z4" s="166">
        <v>2530188.1993896235</v>
      </c>
      <c r="AA4" s="165">
        <f t="shared" ref="AA4:AA5" si="0">SUM(O4:Z4)</f>
        <v>21385198.916198596</v>
      </c>
      <c r="AB4" s="166">
        <v>3033316.3784333672</v>
      </c>
      <c r="AC4" s="166">
        <v>2579857.5788402846</v>
      </c>
      <c r="AD4" s="166">
        <v>2446973.5503560528</v>
      </c>
      <c r="AE4" s="166">
        <v>2211978.6368260426</v>
      </c>
      <c r="AF4" s="166">
        <v>1900483.2146490335</v>
      </c>
      <c r="AG4" s="166">
        <v>1222049.8474059002</v>
      </c>
      <c r="AH4" s="166">
        <v>1369760.935910478</v>
      </c>
      <c r="AI4" s="166">
        <v>1429043.7436419125</v>
      </c>
      <c r="AJ4" s="166">
        <v>1307884.028484232</v>
      </c>
      <c r="AK4" s="166">
        <v>2314420.1424211599</v>
      </c>
      <c r="AL4" s="166">
        <v>2652300.6134969322</v>
      </c>
      <c r="AM4" s="166">
        <v>2894810.8384458078</v>
      </c>
      <c r="AN4" s="165">
        <f>SUM(AB4:AM4)</f>
        <v>25362879.508911207</v>
      </c>
      <c r="AO4" s="166">
        <v>2933640.081799591</v>
      </c>
      <c r="AP4" s="166">
        <v>2771344.5807770961</v>
      </c>
      <c r="AQ4" s="166">
        <v>2915260.7361963186</v>
      </c>
      <c r="AR4" s="166">
        <v>2298800.1021189685</v>
      </c>
      <c r="AS4" s="166">
        <v>1832320.6535613989</v>
      </c>
      <c r="AT4" s="166">
        <v>1386520.2961450089</v>
      </c>
      <c r="AU4" s="166">
        <v>1518483.5333163133</v>
      </c>
      <c r="AV4" s="166">
        <v>1676257.339800868</v>
      </c>
      <c r="AW4" s="166">
        <v>1497242.7878478426</v>
      </c>
      <c r="AX4" s="166">
        <v>2291294.3579269848</v>
      </c>
      <c r="AY4" s="166">
        <v>4073551.1871330095</v>
      </c>
      <c r="AZ4" s="166">
        <v>3377099.8212918048</v>
      </c>
      <c r="BA4" s="165">
        <f>SUM(AO4:AZ4)</f>
        <v>28571815.477915205</v>
      </c>
      <c r="BB4" s="166">
        <v>3656701.5573142706</v>
      </c>
      <c r="BC4" s="166">
        <v>2992366.6070972681</v>
      </c>
      <c r="BD4" s="166">
        <v>2863135.052335971</v>
      </c>
      <c r="BE4" s="166">
        <v>2273832.0142966555</v>
      </c>
      <c r="BF4" s="166">
        <v>1992264.4881286698</v>
      </c>
      <c r="BG4" s="166">
        <v>1343119.7344906814</v>
      </c>
      <c r="BH4" s="166">
        <v>1620414.4282425172</v>
      </c>
      <c r="BI4" s="166">
        <v>1625044.768482988</v>
      </c>
      <c r="BJ4" s="166">
        <v>1588411.3584036839</v>
      </c>
      <c r="BK4" s="166">
        <v>3008493.2207725761</v>
      </c>
      <c r="BL4" s="166">
        <v>2821258.6339217192</v>
      </c>
      <c r="BM4" s="166">
        <v>3624047.070862113</v>
      </c>
      <c r="BN4" s="165">
        <f>SUM(BB4:BM4)</f>
        <v>29409088.934349116</v>
      </c>
      <c r="BO4" s="165">
        <f>N4+AA4+AN4+BA4+BN4</f>
        <v>112413453.30580589</v>
      </c>
    </row>
    <row r="5" spans="1:67" s="48" customFormat="1" ht="15" x14ac:dyDescent="0.25">
      <c r="A5" s="44" t="s">
        <v>202</v>
      </c>
      <c r="B5" s="165"/>
      <c r="C5" s="165"/>
      <c r="D5" s="165"/>
      <c r="E5" s="165"/>
      <c r="F5" s="165"/>
      <c r="G5" s="165"/>
      <c r="H5" s="165"/>
      <c r="I5" s="166">
        <v>873759.99999999988</v>
      </c>
      <c r="J5" s="166">
        <v>1194106.6999999997</v>
      </c>
      <c r="K5" s="166">
        <v>1814182.4</v>
      </c>
      <c r="L5" s="166">
        <v>1715686.4000000001</v>
      </c>
      <c r="M5" s="166">
        <v>2145168.6</v>
      </c>
      <c r="N5" s="165">
        <f>SUM(B5:M5)</f>
        <v>7742904.0999999996</v>
      </c>
      <c r="O5" s="166">
        <v>1829601</v>
      </c>
      <c r="P5" s="166">
        <v>1981308.0999999999</v>
      </c>
      <c r="Q5" s="166">
        <v>2096640.3</v>
      </c>
      <c r="R5" s="166">
        <v>1908695.3</v>
      </c>
      <c r="S5" s="166">
        <v>1732165.6</v>
      </c>
      <c r="T5" s="166">
        <v>1262096.6000000001</v>
      </c>
      <c r="U5" s="166">
        <v>1376458.0999999999</v>
      </c>
      <c r="V5" s="166">
        <v>1304367.1000000001</v>
      </c>
      <c r="W5" s="166">
        <v>1160034</v>
      </c>
      <c r="X5" s="166">
        <v>1882103</v>
      </c>
      <c r="Y5" s="166">
        <v>2292029.7999999998</v>
      </c>
      <c r="Z5" s="166">
        <v>2549599.7999999998</v>
      </c>
      <c r="AA5" s="165">
        <f t="shared" si="0"/>
        <v>21375098.699999999</v>
      </c>
      <c r="AB5" s="166">
        <v>2919658.3</v>
      </c>
      <c r="AC5" s="166">
        <v>2552357.7999999998</v>
      </c>
      <c r="AD5" s="166">
        <v>2613536.5</v>
      </c>
      <c r="AE5" s="166">
        <v>2249074.6</v>
      </c>
      <c r="AF5" s="166">
        <v>2013629.7000000002</v>
      </c>
      <c r="AG5" s="166">
        <v>1406281.3</v>
      </c>
      <c r="AH5" s="166">
        <v>1383538</v>
      </c>
      <c r="AI5" s="166">
        <v>1490775.2</v>
      </c>
      <c r="AJ5" s="166">
        <v>1335881.8</v>
      </c>
      <c r="AK5" s="166">
        <v>2216722.4000000004</v>
      </c>
      <c r="AL5" s="166">
        <v>2480158.0999999959</v>
      </c>
      <c r="AM5" s="166">
        <f>3110046.5</f>
        <v>3110046.5</v>
      </c>
      <c r="AN5" s="165">
        <f>SUM(AB5:AM5)</f>
        <v>25771660.199999996</v>
      </c>
      <c r="AO5" s="166">
        <v>2737340.6</v>
      </c>
      <c r="AP5" s="166">
        <v>2718314.7</v>
      </c>
      <c r="AQ5" s="166">
        <v>2903162.4000000004</v>
      </c>
      <c r="AR5" s="166">
        <v>2269552.5999999968</v>
      </c>
      <c r="AS5" s="166">
        <v>1881803.9000000001</v>
      </c>
      <c r="AT5" s="166">
        <v>1417157.2000000002</v>
      </c>
      <c r="AU5" s="166">
        <v>1509619.5</v>
      </c>
      <c r="AV5" s="166">
        <v>1692783.7000000002</v>
      </c>
      <c r="AW5" s="166">
        <v>1511462.7000000007</v>
      </c>
      <c r="AX5" s="166">
        <v>2392784.7999999998</v>
      </c>
      <c r="AY5" s="166">
        <v>3856411.7</v>
      </c>
      <c r="AZ5" s="166">
        <v>3346393.9</v>
      </c>
      <c r="BA5" s="165">
        <f>SUM(AO5:AZ5)</f>
        <v>28236787.699999996</v>
      </c>
      <c r="BB5" s="166">
        <v>3721556.4000000041</v>
      </c>
      <c r="BC5" s="166">
        <v>2954573.6</v>
      </c>
      <c r="BD5" s="166">
        <v>2959348.4000000032</v>
      </c>
      <c r="BE5" s="166">
        <v>2267085.4000000004</v>
      </c>
      <c r="BF5" s="166">
        <v>2038036.1</v>
      </c>
      <c r="BG5" s="166">
        <v>1376782.9000000006</v>
      </c>
      <c r="BH5" s="166">
        <v>1628623.8</v>
      </c>
      <c r="BI5" s="166">
        <v>1653408</v>
      </c>
      <c r="BJ5" s="166">
        <v>1586657.5999999999</v>
      </c>
      <c r="BK5" s="166">
        <v>3055420.4999999986</v>
      </c>
      <c r="BL5" s="166">
        <v>2823191.1</v>
      </c>
      <c r="BM5" s="166">
        <v>3588463.5000000065</v>
      </c>
      <c r="BN5" s="165">
        <f>SUM(BB5:BM5)</f>
        <v>29653147.300000016</v>
      </c>
      <c r="BO5" s="165">
        <f>N5+AA5+AN5+BA5+BN5</f>
        <v>112779598</v>
      </c>
    </row>
    <row r="6" spans="1:67" x14ac:dyDescent="0.2">
      <c r="A6" s="124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</row>
    <row r="7" spans="1:67" x14ac:dyDescent="0.2">
      <c r="A7" s="124" t="s">
        <v>204</v>
      </c>
      <c r="B7" s="167"/>
      <c r="C7" s="167"/>
      <c r="D7" s="167"/>
      <c r="E7" s="167"/>
      <c r="F7" s="167"/>
      <c r="G7" s="167"/>
      <c r="H7" s="167"/>
      <c r="I7" s="167">
        <v>39.28</v>
      </c>
      <c r="J7" s="167">
        <v>39.28</v>
      </c>
      <c r="K7" s="167">
        <v>39.28</v>
      </c>
      <c r="L7" s="167">
        <v>39.28</v>
      </c>
      <c r="M7" s="167">
        <v>39.28</v>
      </c>
      <c r="N7" s="167"/>
      <c r="O7" s="167">
        <v>39.28</v>
      </c>
      <c r="P7" s="167">
        <v>39.28</v>
      </c>
      <c r="Q7" s="167">
        <v>39.28</v>
      </c>
      <c r="R7" s="167">
        <v>39.32</v>
      </c>
      <c r="S7" s="167">
        <v>39.32</v>
      </c>
      <c r="T7" s="167">
        <v>39.32</v>
      </c>
      <c r="U7" s="167">
        <v>39.32</v>
      </c>
      <c r="V7" s="167">
        <v>39.32</v>
      </c>
      <c r="W7" s="167">
        <v>39.32</v>
      </c>
      <c r="X7" s="167">
        <v>39.32</v>
      </c>
      <c r="Y7" s="167">
        <v>39.32</v>
      </c>
      <c r="Z7" s="167">
        <v>39.32</v>
      </c>
      <c r="AA7" s="167"/>
      <c r="AB7" s="167">
        <v>39.32</v>
      </c>
      <c r="AC7" s="167">
        <v>39.32</v>
      </c>
      <c r="AD7" s="167">
        <v>39.32</v>
      </c>
      <c r="AE7" s="167">
        <v>39.119999999999997</v>
      </c>
      <c r="AF7" s="167">
        <v>39.119999999999997</v>
      </c>
      <c r="AG7" s="167">
        <v>39.119999999999997</v>
      </c>
      <c r="AH7" s="167">
        <v>39.119999999999997</v>
      </c>
      <c r="AI7" s="167">
        <v>39.119999999999997</v>
      </c>
      <c r="AJ7" s="167">
        <v>39.119999999999997</v>
      </c>
      <c r="AK7" s="167">
        <v>39.119999999999997</v>
      </c>
      <c r="AL7" s="167">
        <v>39.119999999999997</v>
      </c>
      <c r="AM7" s="167">
        <v>39.119999999999997</v>
      </c>
      <c r="AN7" s="167"/>
      <c r="AO7" s="167">
        <v>39.119999999999997</v>
      </c>
      <c r="AP7" s="167">
        <v>39.119999999999997</v>
      </c>
      <c r="AQ7" s="167">
        <v>39.119999999999997</v>
      </c>
      <c r="AR7" s="167">
        <v>39.17</v>
      </c>
      <c r="AS7" s="167">
        <v>39.17</v>
      </c>
      <c r="AT7" s="167">
        <v>39.17</v>
      </c>
      <c r="AU7" s="167">
        <v>39.17</v>
      </c>
      <c r="AV7" s="167">
        <v>39.17</v>
      </c>
      <c r="AW7" s="167">
        <v>39.17</v>
      </c>
      <c r="AX7" s="167">
        <v>39.17</v>
      </c>
      <c r="AY7" s="167">
        <v>39.17</v>
      </c>
      <c r="AZ7" s="167">
        <v>39.17</v>
      </c>
      <c r="BA7" s="167"/>
      <c r="BB7" s="167">
        <v>39.17</v>
      </c>
      <c r="BC7" s="167">
        <v>39.17</v>
      </c>
      <c r="BD7" s="167">
        <v>39.17</v>
      </c>
      <c r="BE7" s="167">
        <v>39.17</v>
      </c>
      <c r="BF7" s="167">
        <v>39.17</v>
      </c>
      <c r="BG7" s="167">
        <v>39.17</v>
      </c>
      <c r="BH7" s="167">
        <v>39.090000000000003</v>
      </c>
      <c r="BI7" s="167">
        <v>39.090000000000003</v>
      </c>
      <c r="BJ7" s="167">
        <v>39.090000000000003</v>
      </c>
      <c r="BK7" s="167">
        <v>39.090000000000003</v>
      </c>
      <c r="BL7" s="167">
        <v>39.090000000000003</v>
      </c>
      <c r="BM7" s="167">
        <v>39.090000000000003</v>
      </c>
      <c r="BN7" s="167"/>
      <c r="BO7" s="167"/>
    </row>
    <row r="8" spans="1:67" x14ac:dyDescent="0.2">
      <c r="A8" s="124" t="s">
        <v>203</v>
      </c>
      <c r="B8" s="166"/>
      <c r="C8" s="166"/>
      <c r="D8" s="166"/>
      <c r="E8" s="166"/>
      <c r="F8" s="166"/>
      <c r="G8" s="166"/>
      <c r="H8" s="166"/>
      <c r="I8" s="168">
        <v>38.89</v>
      </c>
      <c r="J8" s="168">
        <v>38.89</v>
      </c>
      <c r="K8" s="168">
        <v>38.89</v>
      </c>
      <c r="L8" s="168">
        <v>38.89</v>
      </c>
      <c r="M8" s="168">
        <v>38.89</v>
      </c>
      <c r="N8" s="166"/>
      <c r="O8" s="168">
        <v>38.89</v>
      </c>
      <c r="P8" s="168">
        <v>38.89</v>
      </c>
      <c r="Q8" s="168">
        <v>38.89</v>
      </c>
      <c r="R8" s="168">
        <v>38.89</v>
      </c>
      <c r="S8" s="168">
        <v>38.89</v>
      </c>
      <c r="T8" s="168">
        <v>38.89</v>
      </c>
      <c r="U8" s="168">
        <v>38.89</v>
      </c>
      <c r="V8" s="168">
        <v>38.89</v>
      </c>
      <c r="W8" s="168">
        <v>38.89</v>
      </c>
      <c r="X8" s="168">
        <v>38.89</v>
      </c>
      <c r="Y8" s="168">
        <v>38.89</v>
      </c>
      <c r="Z8" s="168">
        <v>38.89</v>
      </c>
      <c r="AA8" s="166"/>
      <c r="AB8" s="168">
        <v>38.89</v>
      </c>
      <c r="AC8" s="168">
        <v>38.89</v>
      </c>
      <c r="AD8" s="168">
        <v>38.89</v>
      </c>
      <c r="AE8" s="168">
        <v>38.89</v>
      </c>
      <c r="AF8" s="168">
        <v>38.89</v>
      </c>
      <c r="AG8" s="168">
        <v>38.89</v>
      </c>
      <c r="AH8" s="168">
        <v>38.89</v>
      </c>
      <c r="AI8" s="168">
        <v>38.89</v>
      </c>
      <c r="AJ8" s="168">
        <v>38.89</v>
      </c>
      <c r="AK8" s="168">
        <v>38.89</v>
      </c>
      <c r="AL8" s="168">
        <v>38.89</v>
      </c>
      <c r="AM8" s="168">
        <v>38.89</v>
      </c>
      <c r="AN8" s="166"/>
      <c r="AO8" s="168">
        <v>38.89</v>
      </c>
      <c r="AP8" s="168">
        <v>38.89</v>
      </c>
      <c r="AQ8" s="168">
        <v>38.89</v>
      </c>
      <c r="AR8" s="168">
        <v>38.89</v>
      </c>
      <c r="AS8" s="168">
        <v>38.89</v>
      </c>
      <c r="AT8" s="168">
        <v>38.89</v>
      </c>
      <c r="AU8" s="168">
        <v>38.89</v>
      </c>
      <c r="AV8" s="168">
        <v>38.89</v>
      </c>
      <c r="AW8" s="168">
        <v>38.89</v>
      </c>
      <c r="AX8" s="168">
        <v>38.89</v>
      </c>
      <c r="AY8" s="168">
        <v>38.89</v>
      </c>
      <c r="AZ8" s="168">
        <v>38.89</v>
      </c>
      <c r="BA8" s="166"/>
      <c r="BB8" s="168">
        <v>38.89</v>
      </c>
      <c r="BC8" s="168">
        <v>38.89</v>
      </c>
      <c r="BD8" s="168">
        <v>38.89</v>
      </c>
      <c r="BE8" s="168">
        <v>38.89</v>
      </c>
      <c r="BF8" s="168">
        <v>38.89</v>
      </c>
      <c r="BG8" s="168">
        <v>38.89</v>
      </c>
      <c r="BH8" s="168">
        <v>38.89</v>
      </c>
      <c r="BI8" s="168">
        <v>38.89</v>
      </c>
      <c r="BJ8" s="168">
        <v>38.89</v>
      </c>
      <c r="BK8" s="168">
        <v>38.89</v>
      </c>
      <c r="BL8" s="168">
        <v>38.89</v>
      </c>
      <c r="BM8" s="168">
        <v>38.89</v>
      </c>
      <c r="BN8" s="166"/>
      <c r="BO8" s="166"/>
    </row>
    <row r="9" spans="1:67" x14ac:dyDescent="0.2">
      <c r="A9" s="124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</row>
    <row r="10" spans="1:67" ht="15" x14ac:dyDescent="0.25">
      <c r="A10" s="44" t="s">
        <v>201</v>
      </c>
      <c r="B10" s="165"/>
      <c r="C10" s="165"/>
      <c r="D10" s="165"/>
      <c r="E10" s="165"/>
      <c r="F10" s="165"/>
      <c r="G10" s="165"/>
      <c r="H10" s="165"/>
      <c r="I10" s="166">
        <f>I4</f>
        <v>1034597.7596741343</v>
      </c>
      <c r="J10" s="166">
        <f t="shared" ref="J10:M10" si="1">J4</f>
        <v>1183324.8472505091</v>
      </c>
      <c r="K10" s="166">
        <f t="shared" si="1"/>
        <v>1798981.6700610996</v>
      </c>
      <c r="L10" s="166">
        <f t="shared" si="1"/>
        <v>1781008.146639511</v>
      </c>
      <c r="M10" s="166">
        <f t="shared" si="1"/>
        <v>1886558.0448065172</v>
      </c>
      <c r="N10" s="165">
        <f>SUM(B10:M10)</f>
        <v>7684470.4684317708</v>
      </c>
      <c r="O10" s="166">
        <f t="shared" ref="O10:Z10" si="2">O4</f>
        <v>2006491.8533604888</v>
      </c>
      <c r="P10" s="166">
        <f t="shared" si="2"/>
        <v>1986608.9613034623</v>
      </c>
      <c r="Q10" s="166">
        <f t="shared" si="2"/>
        <v>2082433.8085539714</v>
      </c>
      <c r="R10" s="166">
        <f t="shared" si="2"/>
        <v>1875915.5645981689</v>
      </c>
      <c r="S10" s="166">
        <f t="shared" si="2"/>
        <v>1706358.0874872839</v>
      </c>
      <c r="T10" s="166">
        <f t="shared" si="2"/>
        <v>1226703.9674465919</v>
      </c>
      <c r="U10" s="166">
        <f t="shared" si="2"/>
        <v>1346007.1210579858</v>
      </c>
      <c r="V10" s="166">
        <f t="shared" si="2"/>
        <v>1281256.3580874873</v>
      </c>
      <c r="W10" s="166">
        <f t="shared" si="2"/>
        <v>1146744.6592065108</v>
      </c>
      <c r="X10" s="166">
        <f t="shared" si="2"/>
        <v>1880061.037639878</v>
      </c>
      <c r="Y10" s="166">
        <f t="shared" si="2"/>
        <v>2316429.2980671413</v>
      </c>
      <c r="Z10" s="166">
        <f t="shared" si="2"/>
        <v>2530188.1993896235</v>
      </c>
      <c r="AA10" s="165">
        <f>SUM(O10:Z10)</f>
        <v>21385198.916198596</v>
      </c>
      <c r="AB10" s="166">
        <v>3033316.3784333672</v>
      </c>
      <c r="AC10" s="166">
        <v>2579857.5788402846</v>
      </c>
      <c r="AD10" s="166">
        <v>2446973.5503560528</v>
      </c>
      <c r="AE10" s="166">
        <v>2211978.6368260426</v>
      </c>
      <c r="AF10" s="166">
        <v>1900483.2146490335</v>
      </c>
      <c r="AG10" s="166">
        <v>1222049.8474059002</v>
      </c>
      <c r="AH10" s="166">
        <v>1369760.935910478</v>
      </c>
      <c r="AI10" s="166">
        <v>1429043.7436419125</v>
      </c>
      <c r="AJ10" s="166">
        <v>1307884.028484232</v>
      </c>
      <c r="AK10" s="166">
        <v>2314420.1424211599</v>
      </c>
      <c r="AL10" s="166">
        <v>2652300.6134969322</v>
      </c>
      <c r="AM10" s="166">
        <v>2894810.8384458078</v>
      </c>
      <c r="AN10" s="165">
        <f>SUM(AB10:AM10)</f>
        <v>25362879.508911207</v>
      </c>
      <c r="AO10" s="166">
        <v>2933640.081799591</v>
      </c>
      <c r="AP10" s="166">
        <v>2771344.5807770961</v>
      </c>
      <c r="AQ10" s="166">
        <v>2915260.7361963186</v>
      </c>
      <c r="AR10" s="166">
        <v>2298800.1021189685</v>
      </c>
      <c r="AS10" s="166">
        <v>1832320.6535613989</v>
      </c>
      <c r="AT10" s="166">
        <v>1386520.2961450089</v>
      </c>
      <c r="AU10" s="166">
        <v>1518483.5333163133</v>
      </c>
      <c r="AV10" s="166">
        <v>1676257.339800868</v>
      </c>
      <c r="AW10" s="166">
        <v>1497242.7878478426</v>
      </c>
      <c r="AX10" s="166">
        <v>2291294.3579269848</v>
      </c>
      <c r="AY10" s="166">
        <v>4073551.1871330095</v>
      </c>
      <c r="AZ10" s="166">
        <v>3377099.8212918048</v>
      </c>
      <c r="BA10" s="165">
        <f>SUM(AO10:AZ10)</f>
        <v>28571815.477915205</v>
      </c>
      <c r="BB10" s="166">
        <v>3656701.5573142706</v>
      </c>
      <c r="BC10" s="166">
        <v>2992366.6070972681</v>
      </c>
      <c r="BD10" s="166">
        <v>2863135.052335971</v>
      </c>
      <c r="BE10" s="166">
        <v>2273832.0142966555</v>
      </c>
      <c r="BF10" s="166">
        <v>1992264.4881286698</v>
      </c>
      <c r="BG10" s="166">
        <v>1343119.7344906814</v>
      </c>
      <c r="BH10" s="166">
        <v>1620414.4282425172</v>
      </c>
      <c r="BI10" s="166">
        <v>1625044.768482988</v>
      </c>
      <c r="BJ10" s="166">
        <v>1588411.3584036839</v>
      </c>
      <c r="BK10" s="166">
        <v>3008493.2207725761</v>
      </c>
      <c r="BL10" s="166">
        <v>2821258.6339217192</v>
      </c>
      <c r="BM10" s="166">
        <v>3624047.070862113</v>
      </c>
      <c r="BN10" s="165">
        <f>SUM(BB10:BM10)</f>
        <v>29409088.934349116</v>
      </c>
      <c r="BO10" s="165">
        <f>N10+AA10+AN10+BA10+BN10</f>
        <v>112413453.30580589</v>
      </c>
    </row>
    <row r="11" spans="1:67" s="48" customFormat="1" ht="15" x14ac:dyDescent="0.25">
      <c r="A11" s="44" t="s">
        <v>205</v>
      </c>
      <c r="B11" s="165"/>
      <c r="C11" s="165"/>
      <c r="D11" s="165"/>
      <c r="E11" s="165"/>
      <c r="F11" s="165"/>
      <c r="G11" s="165"/>
      <c r="H11" s="165"/>
      <c r="I11" s="166">
        <f>I5*I8/I7</f>
        <v>865084.68431771884</v>
      </c>
      <c r="J11" s="166">
        <f t="shared" ref="J11:BM11" si="3">J5*J8/J7</f>
        <v>1182250.7526221992</v>
      </c>
      <c r="K11" s="166">
        <f t="shared" si="3"/>
        <v>1796169.8965376781</v>
      </c>
      <c r="L11" s="166">
        <f t="shared" si="3"/>
        <v>1698651.835437882</v>
      </c>
      <c r="M11" s="166">
        <f t="shared" si="3"/>
        <v>2123869.828258656</v>
      </c>
      <c r="N11" s="165">
        <f t="shared" ref="N11:N12" si="4">SUM(B11:M11)</f>
        <v>7666026.9971741335</v>
      </c>
      <c r="O11" s="166">
        <f t="shared" si="3"/>
        <v>1811435.4096232178</v>
      </c>
      <c r="P11" s="166">
        <f t="shared" si="3"/>
        <v>1961636.2527749487</v>
      </c>
      <c r="Q11" s="166">
        <f t="shared" si="3"/>
        <v>2075823.3520112017</v>
      </c>
      <c r="R11" s="166">
        <f t="shared" si="3"/>
        <v>1887821.9790691761</v>
      </c>
      <c r="S11" s="166">
        <f t="shared" si="3"/>
        <v>1713222.7920651068</v>
      </c>
      <c r="T11" s="166">
        <f t="shared" si="3"/>
        <v>1248294.4245676501</v>
      </c>
      <c r="U11" s="166">
        <f t="shared" si="3"/>
        <v>1361405.2774415056</v>
      </c>
      <c r="V11" s="166">
        <f t="shared" si="3"/>
        <v>1290102.6581637843</v>
      </c>
      <c r="W11" s="166">
        <f t="shared" si="3"/>
        <v>1147347.9720244149</v>
      </c>
      <c r="X11" s="166">
        <f t="shared" si="3"/>
        <v>1861520.4900813836</v>
      </c>
      <c r="Y11" s="166">
        <f t="shared" si="3"/>
        <v>2266964.3672939977</v>
      </c>
      <c r="Z11" s="166">
        <f t="shared" si="3"/>
        <v>2521717.6048321463</v>
      </c>
      <c r="AA11" s="165">
        <f t="shared" ref="AA11:AA12" si="5">SUM(O11:Z11)</f>
        <v>21147292.579948533</v>
      </c>
      <c r="AB11" s="166">
        <f t="shared" si="3"/>
        <v>2887729.1782044759</v>
      </c>
      <c r="AC11" s="166">
        <f t="shared" si="3"/>
        <v>2524445.4435910475</v>
      </c>
      <c r="AD11" s="166">
        <f t="shared" si="3"/>
        <v>2584955.0988046797</v>
      </c>
      <c r="AE11" s="166">
        <f t="shared" si="3"/>
        <v>2235851.5131390598</v>
      </c>
      <c r="AF11" s="166">
        <f t="shared" si="3"/>
        <v>2001790.8750766874</v>
      </c>
      <c r="AG11" s="166">
        <f t="shared" si="3"/>
        <v>1398013.2862218814</v>
      </c>
      <c r="AH11" s="166">
        <f t="shared" si="3"/>
        <v>1375403.7019427405</v>
      </c>
      <c r="AI11" s="166">
        <f t="shared" si="3"/>
        <v>1482010.4173824131</v>
      </c>
      <c r="AJ11" s="166">
        <f t="shared" si="3"/>
        <v>1328027.6892126789</v>
      </c>
      <c r="AK11" s="166">
        <f t="shared" si="3"/>
        <v>2203689.5229038862</v>
      </c>
      <c r="AL11" s="166">
        <f t="shared" si="3"/>
        <v>2465576.3933793418</v>
      </c>
      <c r="AM11" s="166">
        <f t="shared" si="3"/>
        <v>3091761.4617842538</v>
      </c>
      <c r="AN11" s="165">
        <f t="shared" ref="AN11:AN12" si="6">SUM(AB11:AM11)</f>
        <v>25579254.581643149</v>
      </c>
      <c r="AO11" s="166">
        <f t="shared" si="3"/>
        <v>2721246.8285787324</v>
      </c>
      <c r="AP11" s="166">
        <f t="shared" si="3"/>
        <v>2702332.788420246</v>
      </c>
      <c r="AQ11" s="166">
        <f t="shared" si="3"/>
        <v>2886093.7049079761</v>
      </c>
      <c r="AR11" s="166">
        <f t="shared" si="3"/>
        <v>2253329.0940515669</v>
      </c>
      <c r="AS11" s="166">
        <f t="shared" si="3"/>
        <v>1868352.1488639265</v>
      </c>
      <c r="AT11" s="166">
        <f t="shared" si="3"/>
        <v>1407026.8957875927</v>
      </c>
      <c r="AU11" s="166">
        <f t="shared" si="3"/>
        <v>1498828.2449578759</v>
      </c>
      <c r="AV11" s="166">
        <f t="shared" si="3"/>
        <v>1680683.1272147053</v>
      </c>
      <c r="AW11" s="166">
        <f t="shared" si="3"/>
        <v>1500658.2691600721</v>
      </c>
      <c r="AX11" s="166">
        <f t="shared" si="3"/>
        <v>2375680.3898902219</v>
      </c>
      <c r="AY11" s="166">
        <f t="shared" si="3"/>
        <v>3828844.8050293592</v>
      </c>
      <c r="AZ11" s="166">
        <f t="shared" si="3"/>
        <v>3322472.7794485572</v>
      </c>
      <c r="BA11" s="165">
        <f>SUM(AO11:AZ11)</f>
        <v>28045549.076310828</v>
      </c>
      <c r="BB11" s="166">
        <f t="shared" si="3"/>
        <v>3694953.4949195851</v>
      </c>
      <c r="BC11" s="166">
        <f t="shared" si="3"/>
        <v>2933453.339392392</v>
      </c>
      <c r="BD11" s="166">
        <f t="shared" si="3"/>
        <v>2938194.0075568068</v>
      </c>
      <c r="BE11" s="166">
        <f t="shared" si="3"/>
        <v>2250879.5304059233</v>
      </c>
      <c r="BF11" s="166">
        <f t="shared" si="3"/>
        <v>2023467.5498851163</v>
      </c>
      <c r="BG11" s="166">
        <f t="shared" si="3"/>
        <v>1366941.2045187647</v>
      </c>
      <c r="BH11" s="166">
        <f t="shared" si="3"/>
        <v>1620291.1123561012</v>
      </c>
      <c r="BI11" s="166">
        <f t="shared" si="3"/>
        <v>1644948.5065234073</v>
      </c>
      <c r="BJ11" s="166">
        <f t="shared" si="3"/>
        <v>1578539.628140189</v>
      </c>
      <c r="BK11" s="166">
        <f t="shared" si="3"/>
        <v>3039787.7524942425</v>
      </c>
      <c r="BL11" s="166">
        <f t="shared" si="3"/>
        <v>2808746.5305448961</v>
      </c>
      <c r="BM11" s="166">
        <f t="shared" si="3"/>
        <v>3570103.4923254093</v>
      </c>
      <c r="BN11" s="165">
        <f>SUM(BB11:BM11)</f>
        <v>29470306.149062835</v>
      </c>
      <c r="BO11" s="165">
        <f>N11+AA11+AN11+BA11+BN11</f>
        <v>111908429.38413948</v>
      </c>
    </row>
    <row r="12" spans="1:67" s="48" customFormat="1" ht="15" x14ac:dyDescent="0.25">
      <c r="A12" s="44" t="s">
        <v>91</v>
      </c>
      <c r="B12" s="165"/>
      <c r="C12" s="165"/>
      <c r="D12" s="165"/>
      <c r="E12" s="165"/>
      <c r="F12" s="165"/>
      <c r="G12" s="165"/>
      <c r="H12" s="165"/>
      <c r="I12" s="166">
        <f>I10-I11</f>
        <v>169513.07535641547</v>
      </c>
      <c r="J12" s="166">
        <f t="shared" ref="J12:M12" si="7">J10-J11</f>
        <v>1074.094628309831</v>
      </c>
      <c r="K12" s="166">
        <f t="shared" si="7"/>
        <v>2811.7735234214924</v>
      </c>
      <c r="L12" s="166">
        <f t="shared" si="7"/>
        <v>82356.311201628996</v>
      </c>
      <c r="M12" s="166">
        <f t="shared" si="7"/>
        <v>-237311.78345213877</v>
      </c>
      <c r="N12" s="165">
        <f t="shared" si="4"/>
        <v>18443.471257637022</v>
      </c>
      <c r="O12" s="166">
        <f t="shared" ref="O12:BM12" si="8">O10-O11</f>
        <v>195056.44373727101</v>
      </c>
      <c r="P12" s="166">
        <f t="shared" si="8"/>
        <v>24972.708528513554</v>
      </c>
      <c r="Q12" s="166">
        <f t="shared" si="8"/>
        <v>6610.4565427696798</v>
      </c>
      <c r="R12" s="166">
        <f t="shared" si="8"/>
        <v>-11906.414471007185</v>
      </c>
      <c r="S12" s="166">
        <f t="shared" si="8"/>
        <v>-6864.7045778229367</v>
      </c>
      <c r="T12" s="166">
        <f t="shared" si="8"/>
        <v>-21590.457121058134</v>
      </c>
      <c r="U12" s="166">
        <f t="shared" si="8"/>
        <v>-15398.156383519759</v>
      </c>
      <c r="V12" s="166">
        <f t="shared" si="8"/>
        <v>-8846.3000762970187</v>
      </c>
      <c r="W12" s="166">
        <f t="shared" si="8"/>
        <v>-603.31281790416688</v>
      </c>
      <c r="X12" s="166">
        <f t="shared" si="8"/>
        <v>18540.547558494378</v>
      </c>
      <c r="Y12" s="166">
        <f t="shared" si="8"/>
        <v>49464.930773143657</v>
      </c>
      <c r="Z12" s="166">
        <f t="shared" si="8"/>
        <v>8470.5945574771613</v>
      </c>
      <c r="AA12" s="165">
        <f t="shared" si="5"/>
        <v>237906.33625006024</v>
      </c>
      <c r="AB12" s="166">
        <f t="shared" si="8"/>
        <v>145587.20022889134</v>
      </c>
      <c r="AC12" s="166">
        <f t="shared" si="8"/>
        <v>55412.135249237064</v>
      </c>
      <c r="AD12" s="166">
        <f t="shared" si="8"/>
        <v>-137981.54844862688</v>
      </c>
      <c r="AE12" s="166">
        <f t="shared" si="8"/>
        <v>-23872.876313017216</v>
      </c>
      <c r="AF12" s="166">
        <f t="shared" si="8"/>
        <v>-101307.66042765393</v>
      </c>
      <c r="AG12" s="166">
        <f t="shared" si="8"/>
        <v>-175963.43881598115</v>
      </c>
      <c r="AH12" s="166">
        <f t="shared" si="8"/>
        <v>-5642.7660322624724</v>
      </c>
      <c r="AI12" s="166">
        <f t="shared" si="8"/>
        <v>-52966.673740500584</v>
      </c>
      <c r="AJ12" s="166">
        <f t="shared" si="8"/>
        <v>-20143.660728446906</v>
      </c>
      <c r="AK12" s="166">
        <f t="shared" si="8"/>
        <v>110730.61951727374</v>
      </c>
      <c r="AL12" s="166">
        <f t="shared" si="8"/>
        <v>186724.22011759039</v>
      </c>
      <c r="AM12" s="166">
        <f t="shared" si="8"/>
        <v>-196950.62333844602</v>
      </c>
      <c r="AN12" s="165">
        <f t="shared" si="6"/>
        <v>-216375.07273194264</v>
      </c>
      <c r="AO12" s="166">
        <f t="shared" si="8"/>
        <v>212393.25322085852</v>
      </c>
      <c r="AP12" s="166">
        <f t="shared" si="8"/>
        <v>69011.792356850114</v>
      </c>
      <c r="AQ12" s="166">
        <f t="shared" si="8"/>
        <v>29167.03128834255</v>
      </c>
      <c r="AR12" s="166">
        <f t="shared" si="8"/>
        <v>45471.008067401592</v>
      </c>
      <c r="AS12" s="166">
        <f t="shared" si="8"/>
        <v>-36031.495302527677</v>
      </c>
      <c r="AT12" s="166">
        <f t="shared" si="8"/>
        <v>-20506.599642583868</v>
      </c>
      <c r="AU12" s="166">
        <f t="shared" si="8"/>
        <v>19655.288358437363</v>
      </c>
      <c r="AV12" s="166">
        <f t="shared" si="8"/>
        <v>-4425.7874138373882</v>
      </c>
      <c r="AW12" s="166">
        <f t="shared" si="8"/>
        <v>-3415.4813122295309</v>
      </c>
      <c r="AX12" s="166">
        <f t="shared" si="8"/>
        <v>-84386.031963237096</v>
      </c>
      <c r="AY12" s="166">
        <f t="shared" si="8"/>
        <v>244706.38210365037</v>
      </c>
      <c r="AZ12" s="166">
        <f t="shared" si="8"/>
        <v>54627.0418432476</v>
      </c>
      <c r="BA12" s="165">
        <f t="shared" ref="BA12" si="9">SUM(AO12:AZ12)</f>
        <v>526266.40160437254</v>
      </c>
      <c r="BB12" s="166">
        <f t="shared" si="8"/>
        <v>-38251.937605314422</v>
      </c>
      <c r="BC12" s="166">
        <f t="shared" si="8"/>
        <v>58913.26770487614</v>
      </c>
      <c r="BD12" s="166">
        <f t="shared" si="8"/>
        <v>-75058.955220835749</v>
      </c>
      <c r="BE12" s="166">
        <f t="shared" si="8"/>
        <v>22952.483890732285</v>
      </c>
      <c r="BF12" s="166">
        <f t="shared" si="8"/>
        <v>-31203.061756446492</v>
      </c>
      <c r="BG12" s="166">
        <f t="shared" si="8"/>
        <v>-23821.470028083306</v>
      </c>
      <c r="BH12" s="166">
        <f t="shared" si="8"/>
        <v>123.31588641600683</v>
      </c>
      <c r="BI12" s="166">
        <f t="shared" si="8"/>
        <v>-19903.738040419295</v>
      </c>
      <c r="BJ12" s="166">
        <f t="shared" si="8"/>
        <v>9871.7302634948865</v>
      </c>
      <c r="BK12" s="166">
        <f t="shared" si="8"/>
        <v>-31294.531721666455</v>
      </c>
      <c r="BL12" s="166">
        <f t="shared" si="8"/>
        <v>12512.103376823012</v>
      </c>
      <c r="BM12" s="166">
        <f t="shared" si="8"/>
        <v>53943.578536703717</v>
      </c>
      <c r="BN12" s="165">
        <f t="shared" ref="BN12" si="10">SUM(BB12:BM12)</f>
        <v>-61217.214713719673</v>
      </c>
      <c r="BO12" s="165">
        <f>N12+AA12+AN12+BA12+BN12</f>
        <v>505023.92166640749</v>
      </c>
    </row>
    <row r="13" spans="1:67" s="48" customFormat="1" ht="15" x14ac:dyDescent="0.25">
      <c r="A13" s="125"/>
      <c r="B13" s="169"/>
      <c r="C13" s="169"/>
      <c r="D13" s="169"/>
      <c r="E13" s="169"/>
      <c r="F13" s="169"/>
      <c r="G13" s="169"/>
      <c r="H13" s="169"/>
      <c r="I13" s="170"/>
      <c r="J13" s="170"/>
      <c r="K13" s="170"/>
      <c r="L13" s="170"/>
      <c r="M13" s="170"/>
      <c r="N13" s="169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69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69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69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69"/>
      <c r="BO13" s="169"/>
    </row>
    <row r="14" spans="1:67" x14ac:dyDescent="0.2">
      <c r="A14" s="121"/>
    </row>
    <row r="15" spans="1:67" x14ac:dyDescent="0.2">
      <c r="I15" s="171"/>
      <c r="J15" s="171"/>
      <c r="K15" s="171"/>
      <c r="L15" s="171"/>
      <c r="M15" s="171"/>
      <c r="N15" s="172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2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2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</row>
    <row r="16" spans="1:67" x14ac:dyDescent="0.2"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O16" s="173"/>
    </row>
    <row r="17" spans="9:67" x14ac:dyDescent="0.2"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O17" s="173"/>
    </row>
    <row r="19" spans="9:67" ht="15" x14ac:dyDescent="0.25">
      <c r="J19" s="48"/>
    </row>
    <row r="20" spans="9:67" x14ac:dyDescent="0.2">
      <c r="I20" s="174"/>
    </row>
    <row r="22" spans="9:67" x14ac:dyDescent="0.2">
      <c r="J22" s="175"/>
      <c r="L22" s="171"/>
      <c r="N22" s="176"/>
    </row>
    <row r="26" spans="9:67" x14ac:dyDescent="0.2">
      <c r="I26" s="17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9F30-D72E-4024-B2D1-37DEFCE1C502}">
  <sheetPr>
    <pageSetUpPr fitToPage="1"/>
  </sheetPr>
  <dimension ref="A1:P43"/>
  <sheetViews>
    <sheetView showGridLines="0" zoomScale="80" zoomScaleNormal="80" zoomScaleSheetLayoutView="85" workbookViewId="0">
      <selection activeCell="T12" sqref="T12"/>
    </sheetView>
  </sheetViews>
  <sheetFormatPr defaultColWidth="12.5703125" defaultRowHeight="15" x14ac:dyDescent="0.25"/>
  <cols>
    <col min="1" max="1" width="35.7109375" style="58" customWidth="1"/>
    <col min="2" max="2" width="15.140625" hidden="1" customWidth="1"/>
    <col min="3" max="3" width="11.7109375" bestFit="1" customWidth="1"/>
    <col min="4" max="4" width="13.5703125" customWidth="1"/>
    <col min="5" max="5" width="12.42578125" customWidth="1"/>
    <col min="6" max="7" width="11.7109375" bestFit="1" customWidth="1"/>
    <col min="8" max="9" width="11.28515625" bestFit="1" customWidth="1"/>
    <col min="10" max="13" width="11.7109375" bestFit="1" customWidth="1"/>
    <col min="14" max="14" width="13.28515625" customWidth="1"/>
    <col min="15" max="15" width="1.5703125" customWidth="1"/>
    <col min="16" max="16" width="12.28515625" bestFit="1" customWidth="1"/>
  </cols>
  <sheetData>
    <row r="1" spans="1:16" s="2" customFormat="1" x14ac:dyDescent="0.25">
      <c r="A1" s="2" t="s">
        <v>0</v>
      </c>
    </row>
    <row r="2" spans="1:16" s="2" customFormat="1" x14ac:dyDescent="0.25">
      <c r="A2" s="2" t="str">
        <f>Summary!A2</f>
        <v>EB-2025-0178</v>
      </c>
    </row>
    <row r="3" spans="1:16" s="2" customFormat="1" x14ac:dyDescent="0.25">
      <c r="A3" s="2" t="s">
        <v>67</v>
      </c>
    </row>
    <row r="4" spans="1:16" s="2" customFormat="1" x14ac:dyDescent="0.25">
      <c r="A4" s="2" t="s">
        <v>39</v>
      </c>
    </row>
    <row r="5" spans="1:16" x14ac:dyDescent="0.25">
      <c r="A5" s="3"/>
      <c r="B5" s="3"/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2024</v>
      </c>
      <c r="P5" s="4">
        <v>2025</v>
      </c>
    </row>
    <row r="6" spans="1:16" x14ac:dyDescent="0.25">
      <c r="A6" s="5"/>
      <c r="B6" s="5"/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P6" s="6" t="s">
        <v>26</v>
      </c>
    </row>
    <row r="7" spans="1:16" x14ac:dyDescent="0.25">
      <c r="A7" s="90"/>
      <c r="B7" s="87"/>
      <c r="C7" s="35"/>
      <c r="D7" s="35"/>
      <c r="E7" s="35"/>
      <c r="F7" s="35"/>
      <c r="G7" s="36"/>
      <c r="H7" s="36"/>
      <c r="I7" s="37"/>
      <c r="J7" s="36"/>
      <c r="K7" s="36"/>
      <c r="L7" s="36"/>
      <c r="M7" s="36"/>
      <c r="N7" s="94"/>
      <c r="P7" s="36"/>
    </row>
    <row r="8" spans="1:16" x14ac:dyDescent="0.25">
      <c r="A8" s="65" t="s">
        <v>72</v>
      </c>
      <c r="B8" s="95">
        <v>4282807.5001722239</v>
      </c>
      <c r="C8" s="35"/>
      <c r="D8" s="35"/>
      <c r="E8" s="35"/>
      <c r="F8" s="35"/>
      <c r="G8" s="36"/>
      <c r="H8" s="36"/>
      <c r="I8" s="37"/>
      <c r="J8" s="36"/>
      <c r="K8" s="36"/>
      <c r="L8" s="36"/>
      <c r="M8" s="36"/>
      <c r="N8" s="36"/>
      <c r="P8" s="36"/>
    </row>
    <row r="9" spans="1:16" x14ac:dyDescent="0.25">
      <c r="A9" s="65" t="s">
        <v>73</v>
      </c>
      <c r="B9" s="58">
        <v>39.090000000000003</v>
      </c>
      <c r="C9" s="35"/>
      <c r="D9" s="35"/>
      <c r="E9" s="35"/>
      <c r="F9" s="35"/>
      <c r="G9" s="36"/>
      <c r="H9" s="36"/>
      <c r="I9" s="37"/>
      <c r="J9" s="36"/>
      <c r="K9" s="36"/>
      <c r="L9" s="36"/>
      <c r="M9" s="36"/>
      <c r="N9" s="36"/>
      <c r="P9" s="36"/>
    </row>
    <row r="10" spans="1:16" x14ac:dyDescent="0.25">
      <c r="A10" s="65" t="s">
        <v>74</v>
      </c>
      <c r="B10" s="58">
        <v>38.89</v>
      </c>
      <c r="C10" s="35"/>
      <c r="D10" s="35"/>
      <c r="E10" s="35"/>
      <c r="F10" s="35"/>
      <c r="G10" s="36"/>
      <c r="H10" s="36"/>
      <c r="I10" s="37"/>
      <c r="J10" s="36"/>
      <c r="K10" s="36"/>
      <c r="L10" s="36"/>
      <c r="M10" s="36"/>
      <c r="N10" s="1"/>
      <c r="P10" s="36"/>
    </row>
    <row r="11" spans="1:16" s="78" customFormat="1" x14ac:dyDescent="0.25">
      <c r="A11" s="42" t="s">
        <v>60</v>
      </c>
      <c r="B11" s="88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83">
        <f>(B9-B10)/B9*B8</f>
        <v>21912.547967113249</v>
      </c>
      <c r="P11" s="84"/>
    </row>
    <row r="12" spans="1:16" x14ac:dyDescent="0.25">
      <c r="A12" s="7"/>
      <c r="B12" s="8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P12" s="8"/>
    </row>
    <row r="13" spans="1:16" x14ac:dyDescent="0.25">
      <c r="A13" s="7" t="s">
        <v>68</v>
      </c>
      <c r="B13" s="87"/>
      <c r="C13" s="32">
        <v>0</v>
      </c>
      <c r="D13" s="32">
        <f>C15</f>
        <v>0</v>
      </c>
      <c r="E13" s="32">
        <f t="shared" ref="E13:N13" si="0">D15</f>
        <v>0</v>
      </c>
      <c r="F13" s="32">
        <f t="shared" si="0"/>
        <v>0</v>
      </c>
      <c r="G13" s="32">
        <f t="shared" si="0"/>
        <v>0</v>
      </c>
      <c r="H13" s="32">
        <f t="shared" si="0"/>
        <v>0</v>
      </c>
      <c r="I13" s="32">
        <f t="shared" si="0"/>
        <v>0</v>
      </c>
      <c r="J13" s="32">
        <f t="shared" si="0"/>
        <v>0</v>
      </c>
      <c r="K13" s="32">
        <f>J15</f>
        <v>0</v>
      </c>
      <c r="L13" s="32">
        <f t="shared" si="0"/>
        <v>0</v>
      </c>
      <c r="M13" s="32">
        <f t="shared" si="0"/>
        <v>0</v>
      </c>
      <c r="N13" s="32">
        <f t="shared" si="0"/>
        <v>0</v>
      </c>
      <c r="O13" s="91"/>
      <c r="P13" s="10"/>
    </row>
    <row r="14" spans="1:16" x14ac:dyDescent="0.25">
      <c r="A14" s="7" t="s">
        <v>69</v>
      </c>
      <c r="B14" s="87"/>
      <c r="C14" s="31">
        <f>C11</f>
        <v>0</v>
      </c>
      <c r="D14" s="31">
        <f t="shared" ref="D14:N14" si="1">D11</f>
        <v>0</v>
      </c>
      <c r="E14" s="31">
        <f t="shared" si="1"/>
        <v>0</v>
      </c>
      <c r="F14" s="31">
        <f t="shared" si="1"/>
        <v>0</v>
      </c>
      <c r="G14" s="31">
        <f t="shared" si="1"/>
        <v>0</v>
      </c>
      <c r="H14" s="31">
        <f t="shared" si="1"/>
        <v>0</v>
      </c>
      <c r="I14" s="31">
        <f t="shared" si="1"/>
        <v>0</v>
      </c>
      <c r="J14" s="31">
        <f t="shared" si="1"/>
        <v>0</v>
      </c>
      <c r="K14" s="31">
        <f t="shared" si="1"/>
        <v>0</v>
      </c>
      <c r="L14" s="31">
        <f t="shared" si="1"/>
        <v>0</v>
      </c>
      <c r="M14" s="31">
        <f t="shared" si="1"/>
        <v>0</v>
      </c>
      <c r="N14" s="31">
        <f t="shared" si="1"/>
        <v>21912.547967113249</v>
      </c>
      <c r="O14" s="92">
        <f t="shared" ref="O14" si="2">O11</f>
        <v>0</v>
      </c>
      <c r="P14" s="10"/>
    </row>
    <row r="15" spans="1:16" s="78" customFormat="1" x14ac:dyDescent="0.25">
      <c r="A15" s="42" t="s">
        <v>70</v>
      </c>
      <c r="B15" s="88"/>
      <c r="C15" s="10">
        <f>SUM(C13:C14)</f>
        <v>0</v>
      </c>
      <c r="D15" s="10">
        <f t="shared" ref="D15:N15" si="3">SUM(D13:D14)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10">
        <f t="shared" si="3"/>
        <v>0</v>
      </c>
      <c r="N15" s="10">
        <f t="shared" si="3"/>
        <v>21912.547967113249</v>
      </c>
      <c r="O15" s="93"/>
      <c r="P15" s="10"/>
    </row>
    <row r="16" spans="1:16" x14ac:dyDescent="0.25">
      <c r="A16" s="7"/>
      <c r="B16" s="8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91"/>
      <c r="P16" s="10"/>
    </row>
    <row r="17" spans="1:16" x14ac:dyDescent="0.25">
      <c r="A17" s="7" t="s">
        <v>13</v>
      </c>
      <c r="B17" s="87"/>
      <c r="C17" s="73">
        <v>5.4899999999999997E-2</v>
      </c>
      <c r="D17" s="73">
        <v>5.4899999999999997E-2</v>
      </c>
      <c r="E17" s="73">
        <v>5.4899999999999997E-2</v>
      </c>
      <c r="F17" s="73">
        <v>5.4899999999999997E-2</v>
      </c>
      <c r="G17" s="73">
        <v>5.4899999999999997E-2</v>
      </c>
      <c r="H17" s="73">
        <v>5.4899999999999997E-2</v>
      </c>
      <c r="I17" s="73">
        <v>5.1999999999999998E-2</v>
      </c>
      <c r="J17" s="73">
        <v>5.1999999999999998E-2</v>
      </c>
      <c r="K17" s="73">
        <v>5.1999999999999998E-2</v>
      </c>
      <c r="L17" s="73">
        <v>4.3999999999999997E-2</v>
      </c>
      <c r="M17" s="73">
        <v>4.3999999999999997E-2</v>
      </c>
      <c r="N17" s="73">
        <v>4.3999999999999997E-2</v>
      </c>
      <c r="O17" s="91"/>
      <c r="P17" s="34">
        <f>(Summary!D7+Summary!E7+Summary!F7+Summary!G7)/4</f>
        <v>3.1550000000000002E-2</v>
      </c>
    </row>
    <row r="18" spans="1:16" x14ac:dyDescent="0.25">
      <c r="A18" s="7"/>
      <c r="B18" s="8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1"/>
      <c r="P18" s="10"/>
    </row>
    <row r="19" spans="1:16" x14ac:dyDescent="0.25">
      <c r="A19" s="7" t="s">
        <v>14</v>
      </c>
      <c r="B19" s="87"/>
      <c r="C19" s="32">
        <v>0</v>
      </c>
      <c r="D19" s="32">
        <f>C21</f>
        <v>0</v>
      </c>
      <c r="E19" s="32">
        <f t="shared" ref="E19:N19" si="4">D21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2">
        <f t="shared" si="4"/>
        <v>0</v>
      </c>
      <c r="O19" s="91"/>
      <c r="P19" s="32">
        <f t="shared" ref="P19" si="5">N21</f>
        <v>0</v>
      </c>
    </row>
    <row r="20" spans="1:16" x14ac:dyDescent="0.25">
      <c r="A20" s="7" t="s">
        <v>15</v>
      </c>
      <c r="B20" s="87"/>
      <c r="C20" s="31">
        <f t="shared" ref="C20:N20" si="6">C13*C17/12</f>
        <v>0</v>
      </c>
      <c r="D20" s="31">
        <f t="shared" si="6"/>
        <v>0</v>
      </c>
      <c r="E20" s="31">
        <f t="shared" si="6"/>
        <v>0</v>
      </c>
      <c r="F20" s="31">
        <f t="shared" si="6"/>
        <v>0</v>
      </c>
      <c r="G20" s="31">
        <f t="shared" si="6"/>
        <v>0</v>
      </c>
      <c r="H20" s="31">
        <f t="shared" si="6"/>
        <v>0</v>
      </c>
      <c r="I20" s="31">
        <f t="shared" si="6"/>
        <v>0</v>
      </c>
      <c r="J20" s="31">
        <f t="shared" si="6"/>
        <v>0</v>
      </c>
      <c r="K20" s="31">
        <f t="shared" si="6"/>
        <v>0</v>
      </c>
      <c r="L20" s="31">
        <f t="shared" si="6"/>
        <v>0</v>
      </c>
      <c r="M20" s="31">
        <f t="shared" si="6"/>
        <v>0</v>
      </c>
      <c r="N20" s="31">
        <f t="shared" si="6"/>
        <v>0</v>
      </c>
      <c r="O20" s="91"/>
      <c r="P20" s="31">
        <f>N15*P17</f>
        <v>691.34088836242302</v>
      </c>
    </row>
    <row r="21" spans="1:16" x14ac:dyDescent="0.25">
      <c r="A21" s="33" t="s">
        <v>16</v>
      </c>
      <c r="B21" s="89"/>
      <c r="C21" s="11">
        <f>SUM(C19:C20)</f>
        <v>0</v>
      </c>
      <c r="D21" s="11">
        <f t="shared" ref="D21:N21" si="7">SUM(D19:D20)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>
        <f t="shared" si="7"/>
        <v>0</v>
      </c>
      <c r="O21" s="91"/>
      <c r="P21" s="11">
        <f>SUM(P19:P20)</f>
        <v>691.34088836242302</v>
      </c>
    </row>
    <row r="22" spans="1:16" x14ac:dyDescent="0.25">
      <c r="A22" s="2"/>
      <c r="B22" s="2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P22" s="30"/>
    </row>
    <row r="23" spans="1:16" x14ac:dyDescent="0.25">
      <c r="F23" s="13"/>
      <c r="G23" s="13"/>
      <c r="H23" s="13"/>
      <c r="I23" s="13"/>
      <c r="J23" s="13"/>
    </row>
    <row r="24" spans="1:16" x14ac:dyDescent="0.25">
      <c r="A24" s="12" t="s">
        <v>71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ht="45" x14ac:dyDescent="0.25">
      <c r="A25" s="14"/>
      <c r="B25" s="14"/>
      <c r="C25" s="14" t="s">
        <v>36</v>
      </c>
      <c r="D25" s="14" t="s">
        <v>45</v>
      </c>
      <c r="E25" s="14" t="s">
        <v>48</v>
      </c>
      <c r="F25" s="13"/>
      <c r="G25" s="13"/>
      <c r="H25" s="13"/>
      <c r="I25" s="13"/>
      <c r="J25" s="13"/>
      <c r="K25" s="15"/>
      <c r="L25" s="15"/>
      <c r="M25" s="13"/>
    </row>
    <row r="26" spans="1:16" x14ac:dyDescent="0.25">
      <c r="A26" s="51" t="s">
        <v>34</v>
      </c>
      <c r="B26" s="51"/>
      <c r="C26" s="52">
        <f>N15</f>
        <v>21912.547967113249</v>
      </c>
      <c r="D26" s="52"/>
      <c r="E26" s="52">
        <f>C26+D26</f>
        <v>21912.547967113249</v>
      </c>
      <c r="F26" s="13"/>
      <c r="G26" s="13"/>
      <c r="H26" s="13"/>
      <c r="I26" s="13"/>
      <c r="J26" s="13"/>
      <c r="K26" s="13"/>
      <c r="L26" s="13"/>
      <c r="M26" s="13"/>
    </row>
    <row r="27" spans="1:16" x14ac:dyDescent="0.25">
      <c r="A27" s="16" t="s">
        <v>35</v>
      </c>
      <c r="B27" s="16"/>
      <c r="C27" s="56">
        <f>N21</f>
        <v>0</v>
      </c>
      <c r="D27" s="56">
        <f>P20</f>
        <v>691.34088836242302</v>
      </c>
      <c r="E27" s="56">
        <f t="shared" ref="E27:E28" si="8">C27+D27</f>
        <v>691.34088836242302</v>
      </c>
      <c r="F27" s="13"/>
      <c r="G27" s="13"/>
      <c r="H27" s="13"/>
      <c r="I27" s="13"/>
      <c r="J27" s="13"/>
      <c r="K27" s="21"/>
      <c r="L27" s="21"/>
      <c r="M27" s="13"/>
    </row>
    <row r="28" spans="1:16" x14ac:dyDescent="0.25">
      <c r="A28" s="22" t="s">
        <v>17</v>
      </c>
      <c r="B28" s="22"/>
      <c r="C28" s="53">
        <f>C27+C26</f>
        <v>21912.547967113249</v>
      </c>
      <c r="D28" s="53">
        <f t="shared" ref="D28" si="9">D27+D26</f>
        <v>691.34088836242302</v>
      </c>
      <c r="E28" s="53">
        <f t="shared" si="8"/>
        <v>22603.88885547567</v>
      </c>
      <c r="F28" s="13"/>
      <c r="G28" s="13"/>
      <c r="H28" s="13"/>
      <c r="I28" s="13"/>
      <c r="J28" s="13"/>
      <c r="K28" s="13"/>
      <c r="L28" s="13"/>
      <c r="M28" s="13"/>
    </row>
    <row r="29" spans="1:16" x14ac:dyDescent="0.25">
      <c r="A29" s="8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1" spans="1:16" x14ac:dyDescent="0.25">
      <c r="A31" s="12" t="s">
        <v>140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</row>
    <row r="32" spans="1:16" x14ac:dyDescent="0.25">
      <c r="A32" s="14"/>
      <c r="B32" s="14"/>
      <c r="C32" s="14" t="s">
        <v>18</v>
      </c>
      <c r="D32" s="14" t="s">
        <v>19</v>
      </c>
      <c r="E32" s="14" t="s">
        <v>25</v>
      </c>
      <c r="F32" s="14" t="s">
        <v>125</v>
      </c>
      <c r="G32" s="14" t="s">
        <v>126</v>
      </c>
      <c r="H32" s="15"/>
      <c r="I32" s="15"/>
      <c r="J32" s="15"/>
      <c r="K32" s="13"/>
    </row>
    <row r="33" spans="1:11" ht="16.5" x14ac:dyDescent="0.25">
      <c r="A33" s="16" t="s">
        <v>24</v>
      </c>
      <c r="B33" s="16"/>
      <c r="C33" s="17" t="s">
        <v>27</v>
      </c>
      <c r="D33" s="18">
        <f>SUM(E33:G33)</f>
        <v>16246.731</v>
      </c>
      <c r="E33" s="18">
        <f>11435.563</f>
        <v>11435.563</v>
      </c>
      <c r="F33" s="18">
        <f>3457.842</f>
        <v>3457.8420000000001</v>
      </c>
      <c r="G33" s="18">
        <f>1353.326</f>
        <v>1353.326</v>
      </c>
      <c r="H33" s="13"/>
      <c r="I33" s="13"/>
      <c r="J33" s="13"/>
      <c r="K33" s="13"/>
    </row>
    <row r="34" spans="1:11" x14ac:dyDescent="0.25">
      <c r="A34" s="16" t="s">
        <v>22</v>
      </c>
      <c r="B34" s="16"/>
      <c r="C34" s="19" t="s">
        <v>20</v>
      </c>
      <c r="D34" s="20">
        <f>SUM(E34:G34)</f>
        <v>1</v>
      </c>
      <c r="E34" s="20">
        <f>E33/$D$33</f>
        <v>0.70386855054102881</v>
      </c>
      <c r="F34" s="20">
        <f t="shared" ref="F34:G34" si="10">F33/$D$33</f>
        <v>0.21283309239255577</v>
      </c>
      <c r="G34" s="20">
        <f t="shared" si="10"/>
        <v>8.3298357066415391E-2</v>
      </c>
      <c r="H34" s="21"/>
      <c r="I34" s="21"/>
      <c r="J34" s="21"/>
      <c r="K34" s="13"/>
    </row>
    <row r="35" spans="1:11" x14ac:dyDescent="0.25">
      <c r="A35" s="22" t="s">
        <v>17</v>
      </c>
      <c r="B35" s="22"/>
      <c r="C35" s="23" t="s">
        <v>21</v>
      </c>
      <c r="D35" s="24">
        <f>SUM(E35:G35)</f>
        <v>22603.88885547567</v>
      </c>
      <c r="E35" s="24">
        <f>E34*($P$21+$N$15)</f>
        <v>15910.166485294176</v>
      </c>
      <c r="F35" s="24">
        <f>F34*($P$21+$N$15)</f>
        <v>4810.8555652085151</v>
      </c>
      <c r="G35" s="24">
        <f>G34*($P$21+$N$15)</f>
        <v>1882.8668049729799</v>
      </c>
      <c r="H35" s="13"/>
      <c r="I35" s="13"/>
      <c r="J35" s="13"/>
      <c r="K35" s="13"/>
    </row>
    <row r="36" spans="1:11" x14ac:dyDescent="0.25">
      <c r="A36" s="86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8" spans="1:11" x14ac:dyDescent="0.25">
      <c r="A38" s="12" t="s">
        <v>141</v>
      </c>
      <c r="B38" s="12"/>
      <c r="C38" s="13"/>
      <c r="D38" s="13"/>
      <c r="E38" s="13"/>
      <c r="F38" s="13"/>
      <c r="G38" s="13"/>
    </row>
    <row r="39" spans="1:11" x14ac:dyDescent="0.25">
      <c r="A39" s="14"/>
      <c r="B39" s="14"/>
      <c r="C39" s="14" t="s">
        <v>18</v>
      </c>
      <c r="D39" s="14" t="s">
        <v>19</v>
      </c>
      <c r="E39" s="14" t="str">
        <f>E32</f>
        <v>Rate 1</v>
      </c>
      <c r="F39" s="14" t="str">
        <f t="shared" ref="F39:G39" si="11">F32</f>
        <v>Rate 6</v>
      </c>
      <c r="G39" s="14" t="str">
        <f t="shared" si="11"/>
        <v>Rate 11</v>
      </c>
    </row>
    <row r="40" spans="1:11" ht="16.5" x14ac:dyDescent="0.25">
      <c r="A40" s="16" t="s">
        <v>24</v>
      </c>
      <c r="B40" s="16"/>
      <c r="C40" s="17" t="s">
        <v>27</v>
      </c>
      <c r="D40" s="18">
        <f>SUM(E40:G40)</f>
        <v>13162.189329134679</v>
      </c>
      <c r="E40" s="18">
        <f>'Load Forecast'!A7</f>
        <v>8867.7068751897095</v>
      </c>
      <c r="F40" s="18">
        <f>'Load Forecast'!B7</f>
        <v>2468.20098836847</v>
      </c>
      <c r="G40" s="18">
        <f>'Load Forecast'!C7</f>
        <v>1826.2814655764998</v>
      </c>
    </row>
    <row r="41" spans="1:11" x14ac:dyDescent="0.25">
      <c r="A41" s="16" t="s">
        <v>22</v>
      </c>
      <c r="B41" s="16"/>
      <c r="C41" s="19" t="s">
        <v>20</v>
      </c>
      <c r="D41" s="20">
        <f>SUM(E41:G41)</f>
        <v>1</v>
      </c>
      <c r="E41" s="25">
        <f t="shared" ref="E41:G41" si="12">E34</f>
        <v>0.70386855054102881</v>
      </c>
      <c r="F41" s="25">
        <f t="shared" si="12"/>
        <v>0.21283309239255577</v>
      </c>
      <c r="G41" s="25">
        <f t="shared" si="12"/>
        <v>8.3298357066415391E-2</v>
      </c>
    </row>
    <row r="42" spans="1:11" x14ac:dyDescent="0.25">
      <c r="A42" s="26" t="s">
        <v>17</v>
      </c>
      <c r="B42" s="26"/>
      <c r="C42" s="27" t="s">
        <v>21</v>
      </c>
      <c r="D42" s="57">
        <f>SUM(E42:G42)</f>
        <v>22603.888855475667</v>
      </c>
      <c r="E42" s="28">
        <f>E40*E43*10</f>
        <v>15910.166485294174</v>
      </c>
      <c r="F42" s="28">
        <f t="shared" ref="F42:G42" si="13">F40*F43*10</f>
        <v>4810.8555652085142</v>
      </c>
      <c r="G42" s="28">
        <f t="shared" si="13"/>
        <v>1882.8668049729799</v>
      </c>
    </row>
    <row r="43" spans="1:11" ht="17.25" x14ac:dyDescent="0.25">
      <c r="A43" s="22" t="s">
        <v>23</v>
      </c>
      <c r="B43" s="22"/>
      <c r="C43" s="23" t="s">
        <v>28</v>
      </c>
      <c r="D43" s="29"/>
      <c r="E43" s="29">
        <f>E35/E40/10</f>
        <v>0.1794169192692649</v>
      </c>
      <c r="F43" s="29">
        <f t="shared" ref="F43:G43" si="14">F35/F40/10</f>
        <v>0.19491344456468215</v>
      </c>
      <c r="G43" s="29">
        <f t="shared" si="14"/>
        <v>0.10309839093606625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zoomScale="80" zoomScaleNormal="80" zoomScaleSheetLayoutView="85" workbookViewId="0">
      <selection activeCell="J24" sqref="J24"/>
    </sheetView>
  </sheetViews>
  <sheetFormatPr defaultColWidth="12.5703125" defaultRowHeight="15" x14ac:dyDescent="0.25"/>
  <cols>
    <col min="1" max="1" width="35.7109375" customWidth="1"/>
    <col min="2" max="2" width="11.7109375" bestFit="1" customWidth="1"/>
    <col min="3" max="3" width="13.5703125" customWidth="1"/>
    <col min="4" max="4" width="12.42578125" customWidth="1"/>
    <col min="5" max="6" width="11.7109375" bestFit="1" customWidth="1"/>
    <col min="7" max="7" width="13.140625" customWidth="1"/>
    <col min="8" max="8" width="12.42578125" customWidth="1"/>
    <col min="9" max="13" width="11.7109375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">
        <v>50</v>
      </c>
    </row>
    <row r="3" spans="1:15" s="2" customFormat="1" x14ac:dyDescent="0.25">
      <c r="A3" s="2" t="s">
        <v>59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61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679259</v>
      </c>
      <c r="O8" s="8"/>
    </row>
    <row r="9" spans="1:15" x14ac:dyDescent="0.25">
      <c r="A9" s="7" t="s">
        <v>62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379234</v>
      </c>
      <c r="O9" s="8"/>
    </row>
    <row r="10" spans="1:15" s="78" customFormat="1" x14ac:dyDescent="0.25">
      <c r="A10" s="42" t="s">
        <v>60</v>
      </c>
      <c r="B10" s="10">
        <f>B8-B9</f>
        <v>0</v>
      </c>
      <c r="C10" s="10">
        <f t="shared" ref="C10:M10" si="0">C8-C9</f>
        <v>0</v>
      </c>
      <c r="D10" s="10">
        <f t="shared" si="0"/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300025</v>
      </c>
      <c r="O10" s="84"/>
    </row>
    <row r="11" spans="1:15" x14ac:dyDescent="0.25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O11" s="8"/>
    </row>
    <row r="12" spans="1:15" x14ac:dyDescent="0.25">
      <c r="A12" s="7" t="s">
        <v>63</v>
      </c>
      <c r="B12" s="32">
        <v>0</v>
      </c>
      <c r="C12" s="32">
        <f>B14</f>
        <v>0</v>
      </c>
      <c r="D12" s="32">
        <f t="shared" ref="D12:M12" si="1">C14</f>
        <v>0</v>
      </c>
      <c r="E12" s="32">
        <f t="shared" si="1"/>
        <v>0</v>
      </c>
      <c r="F12" s="32">
        <f t="shared" si="1"/>
        <v>0</v>
      </c>
      <c r="G12" s="32">
        <f t="shared" si="1"/>
        <v>0</v>
      </c>
      <c r="H12" s="32">
        <f t="shared" si="1"/>
        <v>0</v>
      </c>
      <c r="I12" s="32">
        <f t="shared" si="1"/>
        <v>0</v>
      </c>
      <c r="J12" s="32">
        <f>I14</f>
        <v>0</v>
      </c>
      <c r="K12" s="32">
        <f t="shared" si="1"/>
        <v>0</v>
      </c>
      <c r="L12" s="32">
        <f t="shared" si="1"/>
        <v>0</v>
      </c>
      <c r="M12" s="32">
        <f t="shared" si="1"/>
        <v>0</v>
      </c>
      <c r="N12" s="1"/>
      <c r="O12" s="10"/>
    </row>
    <row r="13" spans="1:15" x14ac:dyDescent="0.25">
      <c r="A13" s="7" t="s">
        <v>64</v>
      </c>
      <c r="B13" s="31">
        <f>B10</f>
        <v>0</v>
      </c>
      <c r="C13" s="31">
        <f t="shared" ref="C13:M13" si="2">C10</f>
        <v>0</v>
      </c>
      <c r="D13" s="31">
        <f t="shared" si="2"/>
        <v>0</v>
      </c>
      <c r="E13" s="31">
        <f t="shared" si="2"/>
        <v>0</v>
      </c>
      <c r="F13" s="31">
        <f t="shared" si="2"/>
        <v>0</v>
      </c>
      <c r="G13" s="31">
        <f t="shared" si="2"/>
        <v>0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1">
        <f t="shared" si="2"/>
        <v>300025</v>
      </c>
      <c r="N13" s="1"/>
      <c r="O13" s="10"/>
    </row>
    <row r="14" spans="1:15" s="78" customFormat="1" x14ac:dyDescent="0.25">
      <c r="A14" s="42" t="s">
        <v>65</v>
      </c>
      <c r="B14" s="10">
        <f>SUM(B12:B13)</f>
        <v>0</v>
      </c>
      <c r="C14" s="10">
        <f t="shared" ref="C14:M14" si="3">SUM(C12:C13)</f>
        <v>0</v>
      </c>
      <c r="D14" s="10">
        <f t="shared" si="3"/>
        <v>0</v>
      </c>
      <c r="E14" s="10">
        <f t="shared" si="3"/>
        <v>0</v>
      </c>
      <c r="F14" s="10">
        <f t="shared" si="3"/>
        <v>0</v>
      </c>
      <c r="G14" s="10">
        <f t="shared" si="3"/>
        <v>0</v>
      </c>
      <c r="H14" s="10">
        <f t="shared" si="3"/>
        <v>0</v>
      </c>
      <c r="I14" s="10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  <c r="M14" s="10">
        <f t="shared" si="3"/>
        <v>300025</v>
      </c>
      <c r="N14" s="85"/>
      <c r="O14" s="10"/>
    </row>
    <row r="15" spans="1:15" x14ac:dyDescent="0.25">
      <c r="A15" s="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"/>
      <c r="O15" s="10"/>
    </row>
    <row r="16" spans="1:15" x14ac:dyDescent="0.25">
      <c r="A16" s="7" t="s">
        <v>13</v>
      </c>
      <c r="B16" s="73">
        <v>5.4899999999999997E-2</v>
      </c>
      <c r="C16" s="73">
        <v>5.4899999999999997E-2</v>
      </c>
      <c r="D16" s="73">
        <v>5.4899999999999997E-2</v>
      </c>
      <c r="E16" s="73">
        <v>5.4899999999999997E-2</v>
      </c>
      <c r="F16" s="73">
        <v>5.4899999999999997E-2</v>
      </c>
      <c r="G16" s="73">
        <v>5.4899999999999997E-2</v>
      </c>
      <c r="H16" s="73">
        <v>5.1999999999999998E-2</v>
      </c>
      <c r="I16" s="73">
        <v>5.1999999999999998E-2</v>
      </c>
      <c r="J16" s="73">
        <v>5.1999999999999998E-2</v>
      </c>
      <c r="K16" s="73">
        <v>4.3999999999999997E-2</v>
      </c>
      <c r="L16" s="73">
        <v>4.3999999999999997E-2</v>
      </c>
      <c r="M16" s="73">
        <v>4.3999999999999997E-2</v>
      </c>
      <c r="N16" s="1"/>
      <c r="O16" s="34">
        <f>(Summary!D7+Summary!E7+Summary!F7+Summary!G7)/4</f>
        <v>3.1550000000000002E-2</v>
      </c>
    </row>
    <row r="17" spans="1:15" x14ac:dyDescent="0.25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0"/>
    </row>
    <row r="18" spans="1:15" x14ac:dyDescent="0.25">
      <c r="A18" s="7" t="s">
        <v>14</v>
      </c>
      <c r="B18" s="32">
        <v>0</v>
      </c>
      <c r="C18" s="32">
        <f>B20</f>
        <v>0</v>
      </c>
      <c r="D18" s="32">
        <f t="shared" ref="D18:M18" si="4">C20</f>
        <v>0</v>
      </c>
      <c r="E18" s="32">
        <f t="shared" si="4"/>
        <v>0</v>
      </c>
      <c r="F18" s="32">
        <f t="shared" si="4"/>
        <v>0</v>
      </c>
      <c r="G18" s="32">
        <f t="shared" si="4"/>
        <v>0</v>
      </c>
      <c r="H18" s="32">
        <f t="shared" si="4"/>
        <v>0</v>
      </c>
      <c r="I18" s="32">
        <f t="shared" si="4"/>
        <v>0</v>
      </c>
      <c r="J18" s="32">
        <f t="shared" si="4"/>
        <v>0</v>
      </c>
      <c r="K18" s="32">
        <f t="shared" si="4"/>
        <v>0</v>
      </c>
      <c r="L18" s="32">
        <f t="shared" si="4"/>
        <v>0</v>
      </c>
      <c r="M18" s="32">
        <f t="shared" si="4"/>
        <v>0</v>
      </c>
      <c r="N18" s="1"/>
      <c r="O18" s="32">
        <f t="shared" ref="O18" si="5">M20</f>
        <v>0</v>
      </c>
    </row>
    <row r="19" spans="1:15" x14ac:dyDescent="0.25">
      <c r="A19" s="7" t="s">
        <v>15</v>
      </c>
      <c r="B19" s="31">
        <f t="shared" ref="B19:M19" si="6">B12*B16/12</f>
        <v>0</v>
      </c>
      <c r="C19" s="31">
        <f t="shared" si="6"/>
        <v>0</v>
      </c>
      <c r="D19" s="31">
        <f t="shared" si="6"/>
        <v>0</v>
      </c>
      <c r="E19" s="31">
        <f t="shared" si="6"/>
        <v>0</v>
      </c>
      <c r="F19" s="31">
        <f t="shared" si="6"/>
        <v>0</v>
      </c>
      <c r="G19" s="31">
        <f t="shared" si="6"/>
        <v>0</v>
      </c>
      <c r="H19" s="31">
        <f t="shared" si="6"/>
        <v>0</v>
      </c>
      <c r="I19" s="31">
        <f t="shared" si="6"/>
        <v>0</v>
      </c>
      <c r="J19" s="31">
        <f t="shared" si="6"/>
        <v>0</v>
      </c>
      <c r="K19" s="31">
        <f t="shared" si="6"/>
        <v>0</v>
      </c>
      <c r="L19" s="31">
        <f t="shared" si="6"/>
        <v>0</v>
      </c>
      <c r="M19" s="31">
        <f t="shared" si="6"/>
        <v>0</v>
      </c>
      <c r="N19" s="1"/>
      <c r="O19" s="31">
        <f>M14*O16</f>
        <v>9465.7887499999997</v>
      </c>
    </row>
    <row r="20" spans="1:15" x14ac:dyDescent="0.25">
      <c r="A20" s="33" t="s">
        <v>16</v>
      </c>
      <c r="B20" s="11">
        <f>SUM(B18:B19)</f>
        <v>0</v>
      </c>
      <c r="C20" s="11">
        <f t="shared" ref="C20:M20" si="7">SUM(C18:C19)</f>
        <v>0</v>
      </c>
      <c r="D20" s="11">
        <f t="shared" si="7"/>
        <v>0</v>
      </c>
      <c r="E20" s="11">
        <f t="shared" si="7"/>
        <v>0</v>
      </c>
      <c r="F20" s="11">
        <f t="shared" si="7"/>
        <v>0</v>
      </c>
      <c r="G20" s="11">
        <f t="shared" si="7"/>
        <v>0</v>
      </c>
      <c r="H20" s="11">
        <f t="shared" si="7"/>
        <v>0</v>
      </c>
      <c r="I20" s="11">
        <f t="shared" si="7"/>
        <v>0</v>
      </c>
      <c r="J20" s="11">
        <f t="shared" si="7"/>
        <v>0</v>
      </c>
      <c r="K20" s="11">
        <f t="shared" si="7"/>
        <v>0</v>
      </c>
      <c r="L20" s="11">
        <f t="shared" si="7"/>
        <v>0</v>
      </c>
      <c r="M20" s="11">
        <f t="shared" si="7"/>
        <v>0</v>
      </c>
      <c r="N20" s="1"/>
      <c r="O20" s="11">
        <f>SUM(O18:O19)</f>
        <v>9465.7887499999997</v>
      </c>
    </row>
    <row r="21" spans="1:15" x14ac:dyDescent="0.25">
      <c r="A21" s="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O21" s="30"/>
    </row>
    <row r="22" spans="1:15" x14ac:dyDescent="0.25">
      <c r="E22" s="13"/>
      <c r="F22" s="13"/>
      <c r="G22" s="13"/>
      <c r="H22" s="13"/>
      <c r="I22" s="13"/>
    </row>
    <row r="23" spans="1:15" x14ac:dyDescent="0.25">
      <c r="A23" s="12" t="s">
        <v>66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5" ht="45" x14ac:dyDescent="0.25">
      <c r="A24" s="14"/>
      <c r="B24" s="14" t="s">
        <v>36</v>
      </c>
      <c r="C24" s="14" t="s">
        <v>45</v>
      </c>
      <c r="D24" s="14" t="s">
        <v>48</v>
      </c>
      <c r="E24" s="13"/>
      <c r="F24" s="13"/>
      <c r="G24" s="13"/>
      <c r="H24" s="13"/>
      <c r="I24" s="13"/>
      <c r="J24" s="15"/>
      <c r="K24" s="15"/>
      <c r="L24" s="13"/>
    </row>
    <row r="25" spans="1:15" x14ac:dyDescent="0.25">
      <c r="A25" s="51" t="s">
        <v>34</v>
      </c>
      <c r="B25" s="52">
        <f>M14</f>
        <v>300025</v>
      </c>
      <c r="C25" s="52"/>
      <c r="D25" s="52">
        <f>B25+C25</f>
        <v>300025</v>
      </c>
      <c r="E25" s="13"/>
      <c r="F25" s="13"/>
      <c r="G25" s="13"/>
      <c r="H25" s="13"/>
      <c r="I25" s="13"/>
      <c r="J25" s="13"/>
      <c r="K25" s="13"/>
      <c r="L25" s="13"/>
    </row>
    <row r="26" spans="1:15" x14ac:dyDescent="0.25">
      <c r="A26" s="16" t="s">
        <v>35</v>
      </c>
      <c r="B26" s="56">
        <f>M20</f>
        <v>0</v>
      </c>
      <c r="C26" s="56">
        <f>O19</f>
        <v>9465.7887499999997</v>
      </c>
      <c r="D26" s="56">
        <f t="shared" ref="D26:D27" si="8">B26+C26</f>
        <v>9465.7887499999997</v>
      </c>
      <c r="E26" s="13"/>
      <c r="F26" s="13"/>
      <c r="G26" s="13"/>
      <c r="H26" s="13"/>
      <c r="I26" s="13"/>
      <c r="J26" s="21"/>
      <c r="K26" s="21"/>
      <c r="L26" s="13"/>
    </row>
    <row r="27" spans="1:15" x14ac:dyDescent="0.25">
      <c r="A27" s="22" t="s">
        <v>17</v>
      </c>
      <c r="B27" s="53">
        <f>B26+B25</f>
        <v>300025</v>
      </c>
      <c r="C27" s="53">
        <f t="shared" ref="C27" si="9">C26+C25</f>
        <v>9465.7887499999997</v>
      </c>
      <c r="D27" s="53">
        <f t="shared" si="8"/>
        <v>309490.78875000001</v>
      </c>
      <c r="E27" s="13"/>
      <c r="F27" s="13"/>
      <c r="G27" s="13"/>
      <c r="H27" s="13"/>
      <c r="I27" s="13"/>
      <c r="J27" s="13"/>
      <c r="K27" s="13"/>
    </row>
    <row r="28" spans="1:1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30" spans="1:15" x14ac:dyDescent="0.25">
      <c r="A30" s="12" t="s">
        <v>128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5" x14ac:dyDescent="0.25">
      <c r="A31" s="14"/>
      <c r="B31" s="14" t="s">
        <v>18</v>
      </c>
      <c r="C31" s="14" t="s">
        <v>19</v>
      </c>
      <c r="D31" s="14" t="s">
        <v>25</v>
      </c>
      <c r="E31" s="14" t="s">
        <v>125</v>
      </c>
      <c r="F31" s="14" t="s">
        <v>126</v>
      </c>
      <c r="G31" s="14" t="s">
        <v>127</v>
      </c>
      <c r="H31" s="15"/>
      <c r="I31" s="15"/>
      <c r="J31" s="15"/>
      <c r="K31" s="13"/>
    </row>
    <row r="32" spans="1:15" x14ac:dyDescent="0.25">
      <c r="A32" s="16" t="s">
        <v>143</v>
      </c>
      <c r="B32" s="17" t="s">
        <v>129</v>
      </c>
      <c r="C32" s="119">
        <f>SUM(D32:G32)</f>
        <v>54946.04</v>
      </c>
      <c r="D32" s="119">
        <v>32656.93</v>
      </c>
      <c r="E32" s="119">
        <v>11610.57</v>
      </c>
      <c r="F32" s="119">
        <v>1417.66</v>
      </c>
      <c r="G32" s="119">
        <v>9260.8799999999992</v>
      </c>
      <c r="H32" s="13"/>
      <c r="I32" s="13"/>
      <c r="J32" s="13"/>
      <c r="K32" s="13"/>
    </row>
    <row r="33" spans="1:11" x14ac:dyDescent="0.25">
      <c r="A33" s="16" t="s">
        <v>22</v>
      </c>
      <c r="B33" s="19" t="s">
        <v>20</v>
      </c>
      <c r="C33" s="20">
        <f>SUM(D33:G33)</f>
        <v>1</v>
      </c>
      <c r="D33" s="20">
        <f>D32/$C$32</f>
        <v>0.59434547057440357</v>
      </c>
      <c r="E33" s="20">
        <f t="shared" ref="E33:G33" si="10">E32/$C$32</f>
        <v>0.21130858565967628</v>
      </c>
      <c r="F33" s="20">
        <f t="shared" si="10"/>
        <v>2.5800949440578431E-2</v>
      </c>
      <c r="G33" s="20">
        <f t="shared" si="10"/>
        <v>0.16854499432534173</v>
      </c>
      <c r="H33" s="21"/>
      <c r="I33" s="21"/>
      <c r="J33" s="21"/>
      <c r="K33" s="13"/>
    </row>
    <row r="34" spans="1:11" x14ac:dyDescent="0.25">
      <c r="A34" s="22" t="s">
        <v>17</v>
      </c>
      <c r="B34" s="23" t="s">
        <v>21</v>
      </c>
      <c r="C34" s="24">
        <f>SUM(D34:G34)</f>
        <v>309490.78875000001</v>
      </c>
      <c r="D34" s="24">
        <f>D33*($O$20+$M$14)</f>
        <v>183944.44847806208</v>
      </c>
      <c r="E34" s="24">
        <f>E33*($O$20+$M$14)</f>
        <v>65398.060845460153</v>
      </c>
      <c r="F34" s="24">
        <f>F33*($O$20+$M$14)</f>
        <v>7985.1561928634901</v>
      </c>
      <c r="G34" s="24">
        <f>G33*($O$20+$M$14)</f>
        <v>52163.123233614286</v>
      </c>
      <c r="H34" s="13"/>
      <c r="I34" s="13"/>
      <c r="J34" s="13"/>
      <c r="K34" s="13"/>
    </row>
    <row r="35" spans="1:1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7" spans="1:11" x14ac:dyDescent="0.25">
      <c r="A37" s="12" t="s">
        <v>139</v>
      </c>
      <c r="B37" s="13"/>
      <c r="C37" s="13"/>
      <c r="D37" s="13"/>
      <c r="E37" s="13"/>
      <c r="F37" s="13"/>
      <c r="G37" s="13"/>
    </row>
    <row r="38" spans="1:11" x14ac:dyDescent="0.25">
      <c r="A38" s="14"/>
      <c r="B38" s="14" t="s">
        <v>18</v>
      </c>
      <c r="C38" s="14" t="s">
        <v>19</v>
      </c>
      <c r="D38" s="14" t="str">
        <f>D31</f>
        <v>Rate 1</v>
      </c>
      <c r="E38" s="14" t="str">
        <f t="shared" ref="E38:F38" si="11">E31</f>
        <v>Rate 6</v>
      </c>
      <c r="F38" s="14" t="str">
        <f t="shared" si="11"/>
        <v>Rate 11</v>
      </c>
      <c r="G38" s="14" t="s">
        <v>18</v>
      </c>
      <c r="H38" s="14" t="str">
        <f>G31</f>
        <v>Rate 16</v>
      </c>
    </row>
    <row r="39" spans="1:11" ht="16.5" x14ac:dyDescent="0.25">
      <c r="A39" s="16" t="s">
        <v>24</v>
      </c>
      <c r="B39" s="17" t="s">
        <v>27</v>
      </c>
      <c r="C39" s="113">
        <f>SUM(D39:F39)</f>
        <v>13162.189329134679</v>
      </c>
      <c r="D39" s="113">
        <f>'Load Forecast'!A7</f>
        <v>8867.7068751897095</v>
      </c>
      <c r="E39" s="113">
        <f>'Load Forecast'!B7</f>
        <v>2468.20098836847</v>
      </c>
      <c r="F39" s="113">
        <f>'Load Forecast'!C7</f>
        <v>1826.2814655764998</v>
      </c>
      <c r="G39" s="17" t="s">
        <v>130</v>
      </c>
      <c r="H39" s="113">
        <f>'Load Forecast'!D7</f>
        <v>95824</v>
      </c>
    </row>
    <row r="40" spans="1:11" x14ac:dyDescent="0.25">
      <c r="A40" s="16" t="s">
        <v>22</v>
      </c>
      <c r="B40" s="114" t="s">
        <v>20</v>
      </c>
      <c r="C40" s="115">
        <f>SUM(D40:H40)</f>
        <v>1</v>
      </c>
      <c r="D40" s="116">
        <f t="shared" ref="D40:F40" si="12">D33</f>
        <v>0.59434547057440357</v>
      </c>
      <c r="E40" s="116">
        <f t="shared" si="12"/>
        <v>0.21130858565967628</v>
      </c>
      <c r="F40" s="116">
        <f t="shared" si="12"/>
        <v>2.5800949440578431E-2</v>
      </c>
      <c r="G40" s="114" t="s">
        <v>20</v>
      </c>
      <c r="H40" s="116">
        <f>G33</f>
        <v>0.16854499432534173</v>
      </c>
    </row>
    <row r="41" spans="1:11" x14ac:dyDescent="0.25">
      <c r="A41" s="26" t="s">
        <v>17</v>
      </c>
      <c r="B41" s="27" t="s">
        <v>21</v>
      </c>
      <c r="C41" s="117">
        <f>SUM(D41:H41)</f>
        <v>309491.18474838568</v>
      </c>
      <c r="D41" s="118">
        <f>D39*D42*10</f>
        <v>183944.44847806208</v>
      </c>
      <c r="E41" s="118">
        <f t="shared" ref="E41:F41" si="13">E39*E42*10</f>
        <v>65398.060845460146</v>
      </c>
      <c r="F41" s="118">
        <f t="shared" si="13"/>
        <v>7985.1561928634892</v>
      </c>
      <c r="G41" s="27" t="s">
        <v>21</v>
      </c>
      <c r="H41" s="118">
        <f>H39*H42/100*12</f>
        <v>52163.519232000006</v>
      </c>
    </row>
    <row r="42" spans="1:11" ht="17.25" x14ac:dyDescent="0.25">
      <c r="A42" s="22" t="s">
        <v>23</v>
      </c>
      <c r="B42" s="23" t="s">
        <v>28</v>
      </c>
      <c r="C42" s="29"/>
      <c r="D42" s="29">
        <f>D34/D39/10</f>
        <v>2.0743180967416324</v>
      </c>
      <c r="E42" s="29">
        <f t="shared" ref="E42:F42" si="14">E34/E39/10</f>
        <v>2.6496246113526425</v>
      </c>
      <c r="F42" s="29">
        <f t="shared" si="14"/>
        <v>0.43723578995764634</v>
      </c>
      <c r="G42" s="23" t="s">
        <v>131</v>
      </c>
      <c r="H42" s="29">
        <f>ROUND(G34/H39*100/12,4)</f>
        <v>4.5364000000000004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C4E3-6501-4EE2-9824-C44E2A9E2B81}">
  <sheetPr>
    <pageSetUpPr fitToPage="1"/>
  </sheetPr>
  <dimension ref="A1:O46"/>
  <sheetViews>
    <sheetView showGridLines="0" zoomScale="80" zoomScaleNormal="80" zoomScaleSheetLayoutView="85" workbookViewId="0">
      <selection activeCell="L28" sqref="L28"/>
    </sheetView>
  </sheetViews>
  <sheetFormatPr defaultColWidth="12.5703125" defaultRowHeight="15" x14ac:dyDescent="0.25"/>
  <cols>
    <col min="1" max="1" width="41.28515625" customWidth="1"/>
    <col min="2" max="2" width="11.7109375" bestFit="1" customWidth="1"/>
    <col min="3" max="3" width="13.5703125" customWidth="1"/>
    <col min="4" max="4" width="12.42578125" customWidth="1"/>
    <col min="5" max="6" width="11.7109375" bestFit="1" customWidth="1"/>
    <col min="7" max="7" width="13.5703125" customWidth="1"/>
    <col min="8" max="8" width="11.28515625" bestFit="1" customWidth="1"/>
    <col min="9" max="12" width="11.7109375" bestFit="1" customWidth="1"/>
    <col min="13" max="13" width="13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tr">
        <f>CIACVA!A2</f>
        <v>EB-2025-0178</v>
      </c>
    </row>
    <row r="3" spans="1:15" s="2" customFormat="1" x14ac:dyDescent="0.25">
      <c r="A3" s="2" t="s">
        <v>75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80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>
        <v>6315610.0600000005</v>
      </c>
      <c r="O8" s="8"/>
    </row>
    <row r="9" spans="1:15" x14ac:dyDescent="0.25">
      <c r="A9" s="7" t="s">
        <v>81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>
        <v>7189662.1551904762</v>
      </c>
      <c r="O9" s="8"/>
    </row>
    <row r="10" spans="1:15" x14ac:dyDescent="0.25">
      <c r="A10" s="7" t="s">
        <v>82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>
        <v>590055.43848634511</v>
      </c>
      <c r="O10" s="8"/>
    </row>
    <row r="11" spans="1:15" x14ac:dyDescent="0.25">
      <c r="A11" s="7" t="s">
        <v>83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>
        <f>M10/M9</f>
        <v>8.2069981280047055E-2</v>
      </c>
      <c r="O11" s="8"/>
    </row>
    <row r="12" spans="1:15" x14ac:dyDescent="0.25">
      <c r="A12" s="7" t="s">
        <v>84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>
        <f>M8*M11</f>
        <v>518321.99939627689</v>
      </c>
      <c r="O12" s="8"/>
    </row>
    <row r="13" spans="1:15" x14ac:dyDescent="0.25">
      <c r="A13" s="7" t="s">
        <v>85</v>
      </c>
      <c r="B13" s="31">
        <v>0</v>
      </c>
      <c r="C13" s="31">
        <v>128635</v>
      </c>
      <c r="D13" s="31">
        <v>0</v>
      </c>
      <c r="E13" s="31">
        <v>0</v>
      </c>
      <c r="F13" s="31">
        <v>7851.91</v>
      </c>
      <c r="G13" s="31">
        <v>3131.53</v>
      </c>
      <c r="H13" s="31">
        <v>163061.47999999998</v>
      </c>
      <c r="I13" s="31">
        <v>324899.14</v>
      </c>
      <c r="J13" s="31">
        <v>0</v>
      </c>
      <c r="K13" s="31">
        <v>0</v>
      </c>
      <c r="L13" s="31">
        <v>-188241.27</v>
      </c>
      <c r="M13" s="31">
        <v>0</v>
      </c>
      <c r="O13" s="8"/>
    </row>
    <row r="14" spans="1:15" s="78" customFormat="1" x14ac:dyDescent="0.25">
      <c r="A14" s="42" t="s">
        <v>60</v>
      </c>
      <c r="B14" s="10">
        <f>B13-B12</f>
        <v>0</v>
      </c>
      <c r="C14" s="10">
        <f t="shared" ref="C14:M14" si="0">C13-C12</f>
        <v>128635</v>
      </c>
      <c r="D14" s="10">
        <f t="shared" si="0"/>
        <v>0</v>
      </c>
      <c r="E14" s="10">
        <f t="shared" si="0"/>
        <v>0</v>
      </c>
      <c r="F14" s="10">
        <f t="shared" si="0"/>
        <v>7851.91</v>
      </c>
      <c r="G14" s="10">
        <f t="shared" si="0"/>
        <v>3131.53</v>
      </c>
      <c r="H14" s="10">
        <f t="shared" si="0"/>
        <v>163061.47999999998</v>
      </c>
      <c r="I14" s="10">
        <f t="shared" si="0"/>
        <v>324899.14</v>
      </c>
      <c r="J14" s="10">
        <f t="shared" si="0"/>
        <v>0</v>
      </c>
      <c r="K14" s="10">
        <f t="shared" si="0"/>
        <v>0</v>
      </c>
      <c r="L14" s="10">
        <f t="shared" si="0"/>
        <v>-188241.27</v>
      </c>
      <c r="M14" s="10">
        <f t="shared" si="0"/>
        <v>-518321.99939627689</v>
      </c>
      <c r="O14" s="84"/>
    </row>
    <row r="15" spans="1:15" x14ac:dyDescent="0.25">
      <c r="A15" s="7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O15" s="8"/>
    </row>
    <row r="16" spans="1:15" x14ac:dyDescent="0.25">
      <c r="A16" s="7" t="s">
        <v>76</v>
      </c>
      <c r="B16" s="32">
        <v>0</v>
      </c>
      <c r="C16" s="32">
        <f>B18</f>
        <v>0</v>
      </c>
      <c r="D16" s="32">
        <f t="shared" ref="D16:M16" si="1">C18</f>
        <v>128635</v>
      </c>
      <c r="E16" s="32">
        <f t="shared" si="1"/>
        <v>128635</v>
      </c>
      <c r="F16" s="32">
        <f t="shared" si="1"/>
        <v>128635</v>
      </c>
      <c r="G16" s="32">
        <f t="shared" si="1"/>
        <v>136486.91</v>
      </c>
      <c r="H16" s="32">
        <f t="shared" si="1"/>
        <v>139618.44</v>
      </c>
      <c r="I16" s="32">
        <f t="shared" si="1"/>
        <v>302679.92</v>
      </c>
      <c r="J16" s="32">
        <f>I18</f>
        <v>627579.06000000006</v>
      </c>
      <c r="K16" s="32">
        <f t="shared" si="1"/>
        <v>627579.06000000006</v>
      </c>
      <c r="L16" s="32">
        <f t="shared" si="1"/>
        <v>627579.06000000006</v>
      </c>
      <c r="M16" s="32">
        <f t="shared" si="1"/>
        <v>439337.79000000004</v>
      </c>
      <c r="N16" s="1"/>
      <c r="O16" s="10"/>
    </row>
    <row r="17" spans="1:15" x14ac:dyDescent="0.25">
      <c r="A17" s="7" t="s">
        <v>77</v>
      </c>
      <c r="B17" s="96">
        <f>B14</f>
        <v>0</v>
      </c>
      <c r="C17" s="96">
        <f t="shared" ref="C17:M17" si="2">C14</f>
        <v>128635</v>
      </c>
      <c r="D17" s="96">
        <f t="shared" si="2"/>
        <v>0</v>
      </c>
      <c r="E17" s="96">
        <f t="shared" si="2"/>
        <v>0</v>
      </c>
      <c r="F17" s="96">
        <f t="shared" si="2"/>
        <v>7851.91</v>
      </c>
      <c r="G17" s="96">
        <f t="shared" si="2"/>
        <v>3131.53</v>
      </c>
      <c r="H17" s="96">
        <f t="shared" si="2"/>
        <v>163061.47999999998</v>
      </c>
      <c r="I17" s="96">
        <f t="shared" si="2"/>
        <v>324899.14</v>
      </c>
      <c r="J17" s="96">
        <f t="shared" si="2"/>
        <v>0</v>
      </c>
      <c r="K17" s="96">
        <f t="shared" si="2"/>
        <v>0</v>
      </c>
      <c r="L17" s="96">
        <f t="shared" si="2"/>
        <v>-188241.27</v>
      </c>
      <c r="M17" s="96">
        <f t="shared" si="2"/>
        <v>-518321.99939627689</v>
      </c>
      <c r="N17" s="1"/>
      <c r="O17" s="10"/>
    </row>
    <row r="18" spans="1:15" s="78" customFormat="1" x14ac:dyDescent="0.25">
      <c r="A18" s="42" t="s">
        <v>78</v>
      </c>
      <c r="B18" s="10">
        <f>SUM(B16:B17)</f>
        <v>0</v>
      </c>
      <c r="C18" s="10">
        <f t="shared" ref="C18:M18" si="3">SUM(C16:C17)</f>
        <v>128635</v>
      </c>
      <c r="D18" s="10">
        <f t="shared" si="3"/>
        <v>128635</v>
      </c>
      <c r="E18" s="10">
        <f t="shared" si="3"/>
        <v>128635</v>
      </c>
      <c r="F18" s="10">
        <f t="shared" si="3"/>
        <v>136486.91</v>
      </c>
      <c r="G18" s="10">
        <f t="shared" si="3"/>
        <v>139618.44</v>
      </c>
      <c r="H18" s="10">
        <f t="shared" si="3"/>
        <v>302679.92</v>
      </c>
      <c r="I18" s="10">
        <f t="shared" si="3"/>
        <v>627579.06000000006</v>
      </c>
      <c r="J18" s="10">
        <f t="shared" si="3"/>
        <v>627579.06000000006</v>
      </c>
      <c r="K18" s="10">
        <f t="shared" si="3"/>
        <v>627579.06000000006</v>
      </c>
      <c r="L18" s="10">
        <f t="shared" si="3"/>
        <v>439337.79000000004</v>
      </c>
      <c r="M18" s="10">
        <f t="shared" si="3"/>
        <v>-78984.209396276856</v>
      </c>
      <c r="N18" s="85"/>
      <c r="O18" s="10"/>
    </row>
    <row r="19" spans="1:15" x14ac:dyDescent="0.25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0"/>
    </row>
    <row r="20" spans="1:15" x14ac:dyDescent="0.25">
      <c r="A20" s="7" t="s">
        <v>13</v>
      </c>
      <c r="B20" s="73">
        <v>5.4899999999999997E-2</v>
      </c>
      <c r="C20" s="73">
        <v>5.4899999999999997E-2</v>
      </c>
      <c r="D20" s="73">
        <v>5.4899999999999997E-2</v>
      </c>
      <c r="E20" s="73">
        <v>5.4899999999999997E-2</v>
      </c>
      <c r="F20" s="73">
        <v>5.4899999999999997E-2</v>
      </c>
      <c r="G20" s="73">
        <v>5.4899999999999997E-2</v>
      </c>
      <c r="H20" s="73">
        <v>5.1999999999999998E-2</v>
      </c>
      <c r="I20" s="73">
        <v>5.1999999999999998E-2</v>
      </c>
      <c r="J20" s="73">
        <v>5.1999999999999998E-2</v>
      </c>
      <c r="K20" s="73">
        <v>4.3999999999999997E-2</v>
      </c>
      <c r="L20" s="73">
        <v>4.3999999999999997E-2</v>
      </c>
      <c r="M20" s="73">
        <v>4.3999999999999997E-2</v>
      </c>
      <c r="N20" s="1"/>
      <c r="O20" s="34">
        <f>(Summary!D7+Summary!E7+Summary!F7+Summary!G7)/4</f>
        <v>3.1550000000000002E-2</v>
      </c>
    </row>
    <row r="21" spans="1:15" x14ac:dyDescent="0.25">
      <c r="A21" s="7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0"/>
    </row>
    <row r="22" spans="1:15" x14ac:dyDescent="0.25">
      <c r="A22" s="7" t="s">
        <v>14</v>
      </c>
      <c r="B22" s="32">
        <v>0</v>
      </c>
      <c r="C22" s="32">
        <f>B24</f>
        <v>0</v>
      </c>
      <c r="D22" s="32">
        <f t="shared" ref="D22:M22" si="4">C24</f>
        <v>0</v>
      </c>
      <c r="E22" s="32">
        <f t="shared" si="4"/>
        <v>588.50512500000002</v>
      </c>
      <c r="F22" s="32">
        <f t="shared" si="4"/>
        <v>1177.01025</v>
      </c>
      <c r="G22" s="32">
        <f t="shared" si="4"/>
        <v>1765.5153749999999</v>
      </c>
      <c r="H22" s="32">
        <f t="shared" si="4"/>
        <v>2389.9429882499999</v>
      </c>
      <c r="I22" s="32">
        <f t="shared" si="4"/>
        <v>2994.9562282500001</v>
      </c>
      <c r="J22" s="32">
        <f t="shared" si="4"/>
        <v>4306.5692149166662</v>
      </c>
      <c r="K22" s="32">
        <f t="shared" si="4"/>
        <v>7026.0784749166669</v>
      </c>
      <c r="L22" s="32">
        <f t="shared" si="4"/>
        <v>9327.2016949166664</v>
      </c>
      <c r="M22" s="32">
        <f t="shared" si="4"/>
        <v>11628.324914916666</v>
      </c>
      <c r="N22" s="1"/>
      <c r="O22" s="32">
        <f t="shared" ref="O22" si="5">M24</f>
        <v>13239.230144916666</v>
      </c>
    </row>
    <row r="23" spans="1:15" x14ac:dyDescent="0.25">
      <c r="A23" s="7" t="s">
        <v>15</v>
      </c>
      <c r="B23" s="31">
        <f t="shared" ref="B23:M23" si="6">B16*B20/12</f>
        <v>0</v>
      </c>
      <c r="C23" s="31">
        <f t="shared" si="6"/>
        <v>0</v>
      </c>
      <c r="D23" s="31">
        <f t="shared" si="6"/>
        <v>588.50512500000002</v>
      </c>
      <c r="E23" s="31">
        <f t="shared" si="6"/>
        <v>588.50512500000002</v>
      </c>
      <c r="F23" s="31">
        <f t="shared" si="6"/>
        <v>588.50512500000002</v>
      </c>
      <c r="G23" s="31">
        <f t="shared" si="6"/>
        <v>624.42761325000004</v>
      </c>
      <c r="H23" s="31">
        <f t="shared" si="6"/>
        <v>605.01324</v>
      </c>
      <c r="I23" s="31">
        <f t="shared" si="6"/>
        <v>1311.6129866666665</v>
      </c>
      <c r="J23" s="31">
        <f t="shared" si="6"/>
        <v>2719.5092600000003</v>
      </c>
      <c r="K23" s="31">
        <f t="shared" si="6"/>
        <v>2301.1232199999999</v>
      </c>
      <c r="L23" s="31">
        <f t="shared" si="6"/>
        <v>2301.1232199999999</v>
      </c>
      <c r="M23" s="31">
        <f t="shared" si="6"/>
        <v>1610.9052300000001</v>
      </c>
      <c r="N23" s="1"/>
      <c r="O23" s="31">
        <f>M18*O20</f>
        <v>-2491.951806452535</v>
      </c>
    </row>
    <row r="24" spans="1:15" x14ac:dyDescent="0.25">
      <c r="A24" s="33" t="s">
        <v>16</v>
      </c>
      <c r="B24" s="11">
        <f>SUM(B22:B23)</f>
        <v>0</v>
      </c>
      <c r="C24" s="11">
        <f t="shared" ref="C24:M24" si="7">SUM(C22:C23)</f>
        <v>0</v>
      </c>
      <c r="D24" s="11">
        <f t="shared" si="7"/>
        <v>588.50512500000002</v>
      </c>
      <c r="E24" s="11">
        <f t="shared" si="7"/>
        <v>1177.01025</v>
      </c>
      <c r="F24" s="11">
        <f t="shared" si="7"/>
        <v>1765.5153749999999</v>
      </c>
      <c r="G24" s="11">
        <f t="shared" si="7"/>
        <v>2389.9429882499999</v>
      </c>
      <c r="H24" s="11">
        <f t="shared" si="7"/>
        <v>2994.9562282500001</v>
      </c>
      <c r="I24" s="11">
        <f t="shared" si="7"/>
        <v>4306.5692149166662</v>
      </c>
      <c r="J24" s="11">
        <f t="shared" si="7"/>
        <v>7026.0784749166669</v>
      </c>
      <c r="K24" s="11">
        <f t="shared" si="7"/>
        <v>9327.2016949166664</v>
      </c>
      <c r="L24" s="11">
        <f t="shared" si="7"/>
        <v>11628.324914916666</v>
      </c>
      <c r="M24" s="11">
        <f t="shared" si="7"/>
        <v>13239.230144916666</v>
      </c>
      <c r="N24" s="1"/>
      <c r="O24" s="11">
        <f>SUM(O22:O23)</f>
        <v>10747.278338464132</v>
      </c>
    </row>
    <row r="25" spans="1:15" x14ac:dyDescent="0.25">
      <c r="A25" s="2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O25" s="30"/>
    </row>
    <row r="26" spans="1:15" x14ac:dyDescent="0.25">
      <c r="E26" s="13"/>
      <c r="F26" s="13"/>
      <c r="G26" s="13"/>
      <c r="H26" s="13"/>
      <c r="I26" s="13"/>
    </row>
    <row r="27" spans="1:15" x14ac:dyDescent="0.25">
      <c r="A27" s="12" t="s">
        <v>79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5" ht="45" x14ac:dyDescent="0.25">
      <c r="A28" s="14"/>
      <c r="B28" s="14" t="s">
        <v>36</v>
      </c>
      <c r="C28" s="14" t="s">
        <v>45</v>
      </c>
      <c r="D28" s="14" t="s">
        <v>48</v>
      </c>
      <c r="E28" s="13"/>
      <c r="F28" s="13"/>
      <c r="G28" s="13"/>
      <c r="H28" s="13"/>
      <c r="I28" s="13"/>
      <c r="J28" s="15"/>
      <c r="K28" s="15"/>
      <c r="L28" s="13"/>
    </row>
    <row r="29" spans="1:15" x14ac:dyDescent="0.25">
      <c r="A29" s="51" t="s">
        <v>34</v>
      </c>
      <c r="B29" s="52">
        <f>M18</f>
        <v>-78984.209396276856</v>
      </c>
      <c r="C29" s="52"/>
      <c r="D29" s="52">
        <f>B29+C29</f>
        <v>-78984.209396276856</v>
      </c>
      <c r="E29" s="13"/>
      <c r="F29" s="13"/>
      <c r="G29" s="13"/>
      <c r="H29" s="13"/>
      <c r="I29" s="13"/>
      <c r="J29" s="13"/>
      <c r="K29" s="13"/>
      <c r="L29" s="13"/>
    </row>
    <row r="30" spans="1:15" x14ac:dyDescent="0.25">
      <c r="A30" s="16" t="s">
        <v>35</v>
      </c>
      <c r="B30" s="56">
        <f>M24</f>
        <v>13239.230144916666</v>
      </c>
      <c r="C30" s="56">
        <f>O23</f>
        <v>-2491.951806452535</v>
      </c>
      <c r="D30" s="56">
        <f t="shared" ref="D30:D31" si="8">B30+C30</f>
        <v>10747.278338464132</v>
      </c>
      <c r="E30" s="13"/>
      <c r="F30" s="13"/>
      <c r="G30" s="13"/>
      <c r="H30" s="13"/>
      <c r="I30" s="13"/>
      <c r="J30" s="21"/>
      <c r="K30" s="21"/>
      <c r="L30" s="13"/>
    </row>
    <row r="31" spans="1:15" x14ac:dyDescent="0.25">
      <c r="A31" s="22" t="s">
        <v>17</v>
      </c>
      <c r="B31" s="53">
        <f>B30+B29</f>
        <v>-65744.979251360186</v>
      </c>
      <c r="C31" s="53">
        <f t="shared" ref="C31" si="9">C30+C29</f>
        <v>-2491.951806452535</v>
      </c>
      <c r="D31" s="53">
        <f t="shared" si="8"/>
        <v>-68236.931057812719</v>
      </c>
      <c r="E31" s="13"/>
      <c r="F31" s="13"/>
      <c r="G31" s="13"/>
      <c r="H31" s="13"/>
      <c r="I31" s="13"/>
      <c r="J31" s="13"/>
      <c r="K31" s="13"/>
      <c r="L31" s="13"/>
    </row>
    <row r="32" spans="1:1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4" spans="1:11" x14ac:dyDescent="0.25">
      <c r="A34" s="12" t="s">
        <v>142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14"/>
      <c r="B35" s="14" t="s">
        <v>18</v>
      </c>
      <c r="C35" s="14" t="s">
        <v>19</v>
      </c>
      <c r="D35" s="14" t="s">
        <v>25</v>
      </c>
      <c r="E35" s="14" t="s">
        <v>125</v>
      </c>
      <c r="F35" s="14" t="s">
        <v>126</v>
      </c>
      <c r="G35" s="14" t="s">
        <v>127</v>
      </c>
      <c r="H35" s="15"/>
      <c r="I35" s="15"/>
      <c r="J35" s="15"/>
      <c r="K35" s="13"/>
    </row>
    <row r="36" spans="1:11" x14ac:dyDescent="0.25">
      <c r="A36" s="16" t="s">
        <v>144</v>
      </c>
      <c r="B36" s="17" t="s">
        <v>129</v>
      </c>
      <c r="C36" s="120">
        <f>SUM(D36:G36)</f>
        <v>630.03</v>
      </c>
      <c r="D36" s="120">
        <v>338.9</v>
      </c>
      <c r="E36" s="120">
        <v>156.36000000000001</v>
      </c>
      <c r="F36" s="120">
        <v>19.14</v>
      </c>
      <c r="G36" s="120">
        <v>115.63</v>
      </c>
      <c r="H36" s="13"/>
      <c r="I36" s="13"/>
      <c r="J36" s="13"/>
      <c r="K36" s="13"/>
    </row>
    <row r="37" spans="1:11" x14ac:dyDescent="0.25">
      <c r="A37" s="16" t="s">
        <v>22</v>
      </c>
      <c r="B37" s="19" t="s">
        <v>20</v>
      </c>
      <c r="C37" s="20">
        <f>SUM(D37:G37)</f>
        <v>1</v>
      </c>
      <c r="D37" s="20">
        <f>D36/$C$36</f>
        <v>0.53791089313207308</v>
      </c>
      <c r="E37" s="20">
        <f t="shared" ref="E37:G37" si="10">E36/$C$36</f>
        <v>0.24817865815913531</v>
      </c>
      <c r="F37" s="20">
        <f t="shared" si="10"/>
        <v>3.0379505737822009E-2</v>
      </c>
      <c r="G37" s="20">
        <f t="shared" si="10"/>
        <v>0.18353094297096964</v>
      </c>
      <c r="H37" s="21"/>
      <c r="I37" s="21"/>
      <c r="J37" s="21"/>
      <c r="K37" s="13"/>
    </row>
    <row r="38" spans="1:11" x14ac:dyDescent="0.25">
      <c r="A38" s="22" t="s">
        <v>17</v>
      </c>
      <c r="B38" s="23" t="s">
        <v>21</v>
      </c>
      <c r="C38" s="24">
        <f>SUM(D38:G38)</f>
        <v>-68236.931057812733</v>
      </c>
      <c r="D38" s="24">
        <f>D37*($O$24+$M$18)</f>
        <v>-36705.388529899734</v>
      </c>
      <c r="E38" s="24">
        <f>E37*($O$24+$M$18)</f>
        <v>-16934.949986825388</v>
      </c>
      <c r="F38" s="24">
        <f>F37*($O$24+$M$18)</f>
        <v>-2073.0042386021864</v>
      </c>
      <c r="G38" s="24">
        <f>G37*($O$24+$M$18)</f>
        <v>-12523.588302485414</v>
      </c>
      <c r="H38" s="13"/>
      <c r="I38" s="13"/>
      <c r="J38" s="13"/>
      <c r="K38" s="13"/>
    </row>
    <row r="39" spans="1:1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1" spans="1:11" x14ac:dyDescent="0.25">
      <c r="A41" s="12" t="s">
        <v>145</v>
      </c>
      <c r="B41" s="13"/>
      <c r="C41" s="13"/>
      <c r="D41" s="13"/>
      <c r="E41" s="13"/>
      <c r="F41" s="13"/>
      <c r="G41" s="13"/>
      <c r="H41" s="13"/>
    </row>
    <row r="42" spans="1:11" x14ac:dyDescent="0.25">
      <c r="A42" s="14"/>
      <c r="B42" s="14" t="s">
        <v>18</v>
      </c>
      <c r="C42" s="14" t="s">
        <v>19</v>
      </c>
      <c r="D42" s="14" t="str">
        <f>D35</f>
        <v>Rate 1</v>
      </c>
      <c r="E42" s="14" t="str">
        <f t="shared" ref="E42:F42" si="11">E35</f>
        <v>Rate 6</v>
      </c>
      <c r="F42" s="14" t="str">
        <f t="shared" si="11"/>
        <v>Rate 11</v>
      </c>
      <c r="G42" s="14" t="s">
        <v>18</v>
      </c>
      <c r="H42" s="14" t="str">
        <f>G35</f>
        <v>Rate 16</v>
      </c>
    </row>
    <row r="43" spans="1:11" ht="16.5" x14ac:dyDescent="0.25">
      <c r="A43" s="16" t="s">
        <v>24</v>
      </c>
      <c r="B43" s="17" t="s">
        <v>27</v>
      </c>
      <c r="C43" s="113">
        <f>SUM(D43:F43)</f>
        <v>13162.189329134679</v>
      </c>
      <c r="D43" s="113">
        <f>'Load Forecast'!A7</f>
        <v>8867.7068751897095</v>
      </c>
      <c r="E43" s="113">
        <f>'Load Forecast'!B7</f>
        <v>2468.20098836847</v>
      </c>
      <c r="F43" s="113">
        <f>'Load Forecast'!C7</f>
        <v>1826.2814655764998</v>
      </c>
      <c r="G43" s="17" t="s">
        <v>130</v>
      </c>
      <c r="H43" s="113">
        <f>'Load Forecast'!D7</f>
        <v>95824</v>
      </c>
    </row>
    <row r="44" spans="1:11" x14ac:dyDescent="0.25">
      <c r="A44" s="16" t="s">
        <v>22</v>
      </c>
      <c r="B44" s="114" t="s">
        <v>20</v>
      </c>
      <c r="C44" s="115">
        <f>SUM(D44:H44)</f>
        <v>1</v>
      </c>
      <c r="D44" s="116">
        <f t="shared" ref="D44:F44" si="12">D37</f>
        <v>0.53791089313207308</v>
      </c>
      <c r="E44" s="116">
        <f t="shared" si="12"/>
        <v>0.24817865815913531</v>
      </c>
      <c r="F44" s="116">
        <f t="shared" si="12"/>
        <v>3.0379505737822009E-2</v>
      </c>
      <c r="G44" s="114" t="s">
        <v>20</v>
      </c>
      <c r="H44" s="116">
        <f>G37</f>
        <v>0.18353094297096964</v>
      </c>
    </row>
    <row r="45" spans="1:11" x14ac:dyDescent="0.25">
      <c r="A45" s="26" t="s">
        <v>17</v>
      </c>
      <c r="B45" s="27" t="s">
        <v>21</v>
      </c>
      <c r="C45" s="117">
        <f>SUM(D45:H45)</f>
        <v>-68236.772963327297</v>
      </c>
      <c r="D45" s="118">
        <f>D43*D46*10</f>
        <v>-36705.388529899734</v>
      </c>
      <c r="E45" s="118">
        <f t="shared" ref="E45:F45" si="13">E43*E46*10</f>
        <v>-16934.949986825384</v>
      </c>
      <c r="F45" s="118">
        <f t="shared" si="13"/>
        <v>-2073.0042386021864</v>
      </c>
      <c r="G45" s="27" t="s">
        <v>21</v>
      </c>
      <c r="H45" s="118">
        <f>H43*H46/100*12</f>
        <v>-12523.430207999998</v>
      </c>
    </row>
    <row r="46" spans="1:11" ht="17.25" x14ac:dyDescent="0.25">
      <c r="A46" s="22" t="s">
        <v>23</v>
      </c>
      <c r="B46" s="23" t="s">
        <v>28</v>
      </c>
      <c r="C46" s="29"/>
      <c r="D46" s="29">
        <f>D38/D43/10</f>
        <v>-0.41392198734708946</v>
      </c>
      <c r="E46" s="29">
        <f t="shared" ref="E46:F46" si="14">E38/E43/10</f>
        <v>-0.68612524128433017</v>
      </c>
      <c r="F46" s="29">
        <f t="shared" si="14"/>
        <v>-0.11350957000200426</v>
      </c>
      <c r="G46" s="23" t="s">
        <v>131</v>
      </c>
      <c r="H46" s="29">
        <f>ROUND(G38/H43*100/12,4)</f>
        <v>-1.0891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43D0-95FA-43AD-B2AE-970FB41B600A}">
  <sheetPr>
    <pageSetUpPr fitToPage="1"/>
  </sheetPr>
  <dimension ref="A1:O45"/>
  <sheetViews>
    <sheetView showGridLines="0" zoomScale="80" zoomScaleNormal="80" zoomScaleSheetLayoutView="85" workbookViewId="0">
      <selection activeCell="J28" sqref="J28"/>
    </sheetView>
  </sheetViews>
  <sheetFormatPr defaultColWidth="12.5703125" defaultRowHeight="15" x14ac:dyDescent="0.25"/>
  <cols>
    <col min="1" max="1" width="35.7109375" customWidth="1"/>
    <col min="2" max="2" width="11.7109375" bestFit="1" customWidth="1"/>
    <col min="3" max="3" width="13.5703125" customWidth="1"/>
    <col min="4" max="4" width="12.42578125" customWidth="1"/>
    <col min="5" max="5" width="11.7109375" bestFit="1" customWidth="1"/>
    <col min="6" max="6" width="13.85546875" customWidth="1"/>
    <col min="7" max="7" width="12.140625" customWidth="1"/>
    <col min="8" max="8" width="11.28515625" bestFit="1" customWidth="1"/>
    <col min="9" max="13" width="11.7109375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tr">
        <f>MTVA!A2</f>
        <v>EB-2025-0178</v>
      </c>
    </row>
    <row r="3" spans="1:15" s="2" customFormat="1" x14ac:dyDescent="0.25">
      <c r="A3" s="2" t="s">
        <v>86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92</v>
      </c>
      <c r="B8" s="9">
        <v>0</v>
      </c>
      <c r="C8" s="9">
        <v>-1231</v>
      </c>
      <c r="D8" s="9">
        <v>-1853</v>
      </c>
      <c r="E8" s="9">
        <v>-1618</v>
      </c>
      <c r="F8" s="9">
        <v>-1742</v>
      </c>
      <c r="G8" s="9">
        <v>0</v>
      </c>
      <c r="H8" s="9">
        <v>-1350</v>
      </c>
      <c r="I8" s="9">
        <v>-1349</v>
      </c>
      <c r="J8" s="9">
        <v>-1071</v>
      </c>
      <c r="K8" s="9">
        <v>-1121</v>
      </c>
      <c r="L8" s="9">
        <v>-1050</v>
      </c>
      <c r="M8" s="9">
        <v>0</v>
      </c>
      <c r="O8" s="36"/>
    </row>
    <row r="9" spans="1:15" x14ac:dyDescent="0.25">
      <c r="A9" s="7" t="s">
        <v>93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O9" s="36"/>
    </row>
    <row r="10" spans="1:15" x14ac:dyDescent="0.25">
      <c r="A10" s="7" t="s">
        <v>94</v>
      </c>
      <c r="B10" s="9">
        <v>-60</v>
      </c>
      <c r="C10" s="9">
        <v>-80</v>
      </c>
      <c r="D10" s="9">
        <v>-180</v>
      </c>
      <c r="E10" s="9">
        <v>-80</v>
      </c>
      <c r="F10" s="9">
        <v>-300</v>
      </c>
      <c r="G10" s="9">
        <v>-140</v>
      </c>
      <c r="H10" s="9">
        <v>0</v>
      </c>
      <c r="I10" s="9">
        <v>-100</v>
      </c>
      <c r="J10" s="9">
        <v>-60</v>
      </c>
      <c r="K10" s="9">
        <v>-100</v>
      </c>
      <c r="L10" s="9">
        <v>0</v>
      </c>
      <c r="M10" s="9">
        <v>-60</v>
      </c>
      <c r="O10" s="36"/>
    </row>
    <row r="11" spans="1:15" x14ac:dyDescent="0.25">
      <c r="A11" s="7" t="s">
        <v>95</v>
      </c>
      <c r="B11" s="9">
        <v>-630</v>
      </c>
      <c r="C11" s="9">
        <v>-560</v>
      </c>
      <c r="D11" s="9">
        <v>-385</v>
      </c>
      <c r="E11" s="9">
        <v>-735</v>
      </c>
      <c r="F11" s="9">
        <v>-910</v>
      </c>
      <c r="G11" s="9">
        <v>-770</v>
      </c>
      <c r="H11" s="9">
        <v>-945</v>
      </c>
      <c r="I11" s="9">
        <v>-980</v>
      </c>
      <c r="J11" s="9">
        <v>-140</v>
      </c>
      <c r="K11" s="9">
        <v>-1670</v>
      </c>
      <c r="L11" s="9">
        <v>-980</v>
      </c>
      <c r="M11" s="9">
        <v>-1050</v>
      </c>
      <c r="O11" s="8"/>
    </row>
    <row r="12" spans="1:15" x14ac:dyDescent="0.25">
      <c r="A12" s="7" t="s">
        <v>96</v>
      </c>
      <c r="B12" s="31">
        <v>105</v>
      </c>
      <c r="C12" s="31">
        <v>0</v>
      </c>
      <c r="D12" s="31">
        <v>0</v>
      </c>
      <c r="E12" s="31">
        <v>0</v>
      </c>
      <c r="F12" s="31">
        <v>-159</v>
      </c>
      <c r="G12" s="31">
        <v>0</v>
      </c>
      <c r="H12" s="31">
        <v>-4302</v>
      </c>
      <c r="I12" s="31">
        <v>-1430</v>
      </c>
      <c r="J12" s="31">
        <v>0</v>
      </c>
      <c r="K12" s="31">
        <v>728</v>
      </c>
      <c r="L12" s="31">
        <v>0</v>
      </c>
      <c r="M12" s="31">
        <v>0</v>
      </c>
      <c r="O12" s="8"/>
    </row>
    <row r="13" spans="1:15" s="78" customFormat="1" x14ac:dyDescent="0.25">
      <c r="A13" s="42" t="s">
        <v>91</v>
      </c>
      <c r="B13" s="10">
        <f>SUM(B8:B12)</f>
        <v>-585</v>
      </c>
      <c r="C13" s="10">
        <f t="shared" ref="C13:M13" si="0">SUM(C8:C12)</f>
        <v>-1871</v>
      </c>
      <c r="D13" s="10">
        <f t="shared" si="0"/>
        <v>-2418</v>
      </c>
      <c r="E13" s="10">
        <f t="shared" si="0"/>
        <v>-2433</v>
      </c>
      <c r="F13" s="10">
        <f t="shared" si="0"/>
        <v>-3111</v>
      </c>
      <c r="G13" s="10">
        <f t="shared" si="0"/>
        <v>-910</v>
      </c>
      <c r="H13" s="10">
        <f t="shared" si="0"/>
        <v>-6597</v>
      </c>
      <c r="I13" s="10">
        <f t="shared" si="0"/>
        <v>-3859</v>
      </c>
      <c r="J13" s="10">
        <f t="shared" si="0"/>
        <v>-1271</v>
      </c>
      <c r="K13" s="10">
        <f t="shared" si="0"/>
        <v>-2163</v>
      </c>
      <c r="L13" s="10">
        <f t="shared" si="0"/>
        <v>-2030</v>
      </c>
      <c r="M13" s="10">
        <f t="shared" si="0"/>
        <v>-1110</v>
      </c>
      <c r="O13" s="84"/>
    </row>
    <row r="14" spans="1:15" x14ac:dyDescent="0.25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O14" s="8"/>
    </row>
    <row r="15" spans="1:15" x14ac:dyDescent="0.25">
      <c r="A15" s="7" t="s">
        <v>87</v>
      </c>
      <c r="B15" s="32">
        <v>0</v>
      </c>
      <c r="C15" s="32">
        <f>B17</f>
        <v>-585</v>
      </c>
      <c r="D15" s="32">
        <f t="shared" ref="D15:M15" si="1">C17</f>
        <v>-2456</v>
      </c>
      <c r="E15" s="32">
        <f t="shared" si="1"/>
        <v>-4874</v>
      </c>
      <c r="F15" s="32">
        <f t="shared" si="1"/>
        <v>-7307</v>
      </c>
      <c r="G15" s="32">
        <f t="shared" si="1"/>
        <v>-10418</v>
      </c>
      <c r="H15" s="32">
        <f t="shared" si="1"/>
        <v>-11328</v>
      </c>
      <c r="I15" s="32">
        <f t="shared" si="1"/>
        <v>-17925</v>
      </c>
      <c r="J15" s="32">
        <f>I17</f>
        <v>-21784</v>
      </c>
      <c r="K15" s="32">
        <f t="shared" si="1"/>
        <v>-23055</v>
      </c>
      <c r="L15" s="32">
        <f t="shared" si="1"/>
        <v>-25218</v>
      </c>
      <c r="M15" s="32">
        <f t="shared" si="1"/>
        <v>-27248</v>
      </c>
      <c r="N15" s="1"/>
      <c r="O15" s="10"/>
    </row>
    <row r="16" spans="1:15" x14ac:dyDescent="0.25">
      <c r="A16" s="7" t="s">
        <v>88</v>
      </c>
      <c r="B16" s="31">
        <f>B13</f>
        <v>-585</v>
      </c>
      <c r="C16" s="31">
        <f t="shared" ref="C16:M16" si="2">C13</f>
        <v>-1871</v>
      </c>
      <c r="D16" s="31">
        <f t="shared" si="2"/>
        <v>-2418</v>
      </c>
      <c r="E16" s="31">
        <f t="shared" si="2"/>
        <v>-2433</v>
      </c>
      <c r="F16" s="31">
        <f t="shared" si="2"/>
        <v>-3111</v>
      </c>
      <c r="G16" s="31">
        <f t="shared" si="2"/>
        <v>-910</v>
      </c>
      <c r="H16" s="31">
        <f t="shared" si="2"/>
        <v>-6597</v>
      </c>
      <c r="I16" s="31">
        <f t="shared" si="2"/>
        <v>-3859</v>
      </c>
      <c r="J16" s="31">
        <f t="shared" si="2"/>
        <v>-1271</v>
      </c>
      <c r="K16" s="31">
        <f t="shared" si="2"/>
        <v>-2163</v>
      </c>
      <c r="L16" s="31">
        <f t="shared" si="2"/>
        <v>-2030</v>
      </c>
      <c r="M16" s="31">
        <f t="shared" si="2"/>
        <v>-1110</v>
      </c>
      <c r="N16" s="1"/>
      <c r="O16" s="10"/>
    </row>
    <row r="17" spans="1:15" s="78" customFormat="1" x14ac:dyDescent="0.25">
      <c r="A17" s="42" t="s">
        <v>89</v>
      </c>
      <c r="B17" s="10">
        <f>SUM(B15:B16)</f>
        <v>-585</v>
      </c>
      <c r="C17" s="10">
        <f t="shared" ref="C17:M17" si="3">SUM(C15:C16)</f>
        <v>-2456</v>
      </c>
      <c r="D17" s="10">
        <f t="shared" si="3"/>
        <v>-4874</v>
      </c>
      <c r="E17" s="10">
        <f t="shared" si="3"/>
        <v>-7307</v>
      </c>
      <c r="F17" s="10">
        <f t="shared" si="3"/>
        <v>-10418</v>
      </c>
      <c r="G17" s="10">
        <f t="shared" si="3"/>
        <v>-11328</v>
      </c>
      <c r="H17" s="10">
        <f t="shared" si="3"/>
        <v>-17925</v>
      </c>
      <c r="I17" s="10">
        <f t="shared" si="3"/>
        <v>-21784</v>
      </c>
      <c r="J17" s="10">
        <f t="shared" si="3"/>
        <v>-23055</v>
      </c>
      <c r="K17" s="10">
        <f t="shared" si="3"/>
        <v>-25218</v>
      </c>
      <c r="L17" s="10">
        <f t="shared" si="3"/>
        <v>-27248</v>
      </c>
      <c r="M17" s="10">
        <f t="shared" si="3"/>
        <v>-28358</v>
      </c>
      <c r="N17" s="85"/>
      <c r="O17" s="10"/>
    </row>
    <row r="18" spans="1:15" x14ac:dyDescent="0.2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0"/>
    </row>
    <row r="19" spans="1:15" x14ac:dyDescent="0.25">
      <c r="A19" s="7" t="s">
        <v>13</v>
      </c>
      <c r="B19" s="73">
        <v>5.4899999999999997E-2</v>
      </c>
      <c r="C19" s="73">
        <v>5.4899999999999997E-2</v>
      </c>
      <c r="D19" s="73">
        <v>5.4899999999999997E-2</v>
      </c>
      <c r="E19" s="73">
        <v>5.4899999999999997E-2</v>
      </c>
      <c r="F19" s="73">
        <v>5.4899999999999997E-2</v>
      </c>
      <c r="G19" s="73">
        <v>5.4899999999999997E-2</v>
      </c>
      <c r="H19" s="73">
        <v>5.1999999999999998E-2</v>
      </c>
      <c r="I19" s="73">
        <v>5.1999999999999998E-2</v>
      </c>
      <c r="J19" s="73">
        <v>5.1999999999999998E-2</v>
      </c>
      <c r="K19" s="73">
        <v>4.3999999999999997E-2</v>
      </c>
      <c r="L19" s="73">
        <v>4.3999999999999997E-2</v>
      </c>
      <c r="M19" s="73">
        <v>4.3999999999999997E-2</v>
      </c>
      <c r="N19" s="1"/>
      <c r="O19" s="34">
        <f>(Summary!D7+Summary!E7+Summary!F7+Summary!G7)/4</f>
        <v>3.1550000000000002E-2</v>
      </c>
    </row>
    <row r="20" spans="1:15" x14ac:dyDescent="0.25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0"/>
    </row>
    <row r="21" spans="1:15" x14ac:dyDescent="0.25">
      <c r="A21" s="7" t="s">
        <v>14</v>
      </c>
      <c r="B21" s="32">
        <v>0</v>
      </c>
      <c r="C21" s="32">
        <f>B23</f>
        <v>0</v>
      </c>
      <c r="D21" s="32">
        <f t="shared" ref="D21:M21" si="4">C23</f>
        <v>-2.6763749999999997</v>
      </c>
      <c r="E21" s="32">
        <f t="shared" si="4"/>
        <v>-13.912574999999999</v>
      </c>
      <c r="F21" s="32">
        <f t="shared" si="4"/>
        <v>-36.211125000000003</v>
      </c>
      <c r="G21" s="32">
        <f t="shared" si="4"/>
        <v>-69.640649999999994</v>
      </c>
      <c r="H21" s="32">
        <f t="shared" si="4"/>
        <v>-117.303</v>
      </c>
      <c r="I21" s="32">
        <f t="shared" si="4"/>
        <v>-166.39099999999999</v>
      </c>
      <c r="J21" s="32">
        <f t="shared" si="4"/>
        <v>-244.06599999999997</v>
      </c>
      <c r="K21" s="32">
        <f t="shared" si="4"/>
        <v>-338.46333333333331</v>
      </c>
      <c r="L21" s="32">
        <f t="shared" si="4"/>
        <v>-422.99833333333333</v>
      </c>
      <c r="M21" s="32">
        <f t="shared" si="4"/>
        <v>-515.46433333333334</v>
      </c>
      <c r="N21" s="1"/>
      <c r="O21" s="32">
        <f t="shared" ref="O21" si="5">M23</f>
        <v>-615.37366666666662</v>
      </c>
    </row>
    <row r="22" spans="1:15" x14ac:dyDescent="0.25">
      <c r="A22" s="7" t="s">
        <v>15</v>
      </c>
      <c r="B22" s="31">
        <f t="shared" ref="B22:M22" si="6">B15*B19/12</f>
        <v>0</v>
      </c>
      <c r="C22" s="31">
        <f t="shared" si="6"/>
        <v>-2.6763749999999997</v>
      </c>
      <c r="D22" s="31">
        <f t="shared" si="6"/>
        <v>-11.236199999999998</v>
      </c>
      <c r="E22" s="31">
        <f t="shared" si="6"/>
        <v>-22.298550000000002</v>
      </c>
      <c r="F22" s="31">
        <f t="shared" si="6"/>
        <v>-33.429524999999998</v>
      </c>
      <c r="G22" s="31">
        <f t="shared" si="6"/>
        <v>-47.662349999999996</v>
      </c>
      <c r="H22" s="31">
        <f t="shared" si="6"/>
        <v>-49.087999999999994</v>
      </c>
      <c r="I22" s="31">
        <f t="shared" si="6"/>
        <v>-77.674999999999997</v>
      </c>
      <c r="J22" s="31">
        <f t="shared" si="6"/>
        <v>-94.397333333333336</v>
      </c>
      <c r="K22" s="31">
        <f t="shared" si="6"/>
        <v>-84.534999999999997</v>
      </c>
      <c r="L22" s="31">
        <f t="shared" si="6"/>
        <v>-92.465999999999994</v>
      </c>
      <c r="M22" s="31">
        <f t="shared" si="6"/>
        <v>-99.909333333333336</v>
      </c>
      <c r="N22" s="1"/>
      <c r="O22" s="31">
        <f>M17*O19</f>
        <v>-894.69490000000008</v>
      </c>
    </row>
    <row r="23" spans="1:15" x14ac:dyDescent="0.25">
      <c r="A23" s="33" t="s">
        <v>16</v>
      </c>
      <c r="B23" s="11">
        <f>SUM(B21:B22)</f>
        <v>0</v>
      </c>
      <c r="C23" s="11">
        <f t="shared" ref="C23:M23" si="7">SUM(C21:C22)</f>
        <v>-2.6763749999999997</v>
      </c>
      <c r="D23" s="11">
        <f t="shared" si="7"/>
        <v>-13.912574999999999</v>
      </c>
      <c r="E23" s="11">
        <f t="shared" si="7"/>
        <v>-36.211125000000003</v>
      </c>
      <c r="F23" s="11">
        <f t="shared" si="7"/>
        <v>-69.640649999999994</v>
      </c>
      <c r="G23" s="11">
        <f t="shared" si="7"/>
        <v>-117.303</v>
      </c>
      <c r="H23" s="11">
        <f t="shared" si="7"/>
        <v>-166.39099999999999</v>
      </c>
      <c r="I23" s="11">
        <f t="shared" si="7"/>
        <v>-244.06599999999997</v>
      </c>
      <c r="J23" s="11">
        <f t="shared" si="7"/>
        <v>-338.46333333333331</v>
      </c>
      <c r="K23" s="11">
        <f t="shared" si="7"/>
        <v>-422.99833333333333</v>
      </c>
      <c r="L23" s="11">
        <f t="shared" si="7"/>
        <v>-515.46433333333334</v>
      </c>
      <c r="M23" s="11">
        <f t="shared" si="7"/>
        <v>-615.37366666666662</v>
      </c>
      <c r="N23" s="1"/>
      <c r="O23" s="11">
        <f>SUM(O21:O22)</f>
        <v>-1510.0685666666668</v>
      </c>
    </row>
    <row r="24" spans="1:15" x14ac:dyDescent="0.25">
      <c r="A24" s="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O24" s="30"/>
    </row>
    <row r="25" spans="1:15" x14ac:dyDescent="0.25">
      <c r="E25" s="13"/>
      <c r="F25" s="13"/>
      <c r="G25" s="13"/>
      <c r="H25" s="13"/>
      <c r="I25" s="13"/>
    </row>
    <row r="26" spans="1:15" x14ac:dyDescent="0.25">
      <c r="A26" s="12" t="s">
        <v>90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5" ht="45" x14ac:dyDescent="0.25">
      <c r="A27" s="14"/>
      <c r="B27" s="14" t="s">
        <v>36</v>
      </c>
      <c r="C27" s="14" t="s">
        <v>45</v>
      </c>
      <c r="D27" s="14" t="s">
        <v>48</v>
      </c>
      <c r="E27" s="13"/>
      <c r="F27" s="13"/>
      <c r="G27" s="13"/>
      <c r="H27" s="13"/>
      <c r="I27" s="13"/>
      <c r="J27" s="15"/>
      <c r="K27" s="15"/>
      <c r="L27" s="13"/>
    </row>
    <row r="28" spans="1:15" x14ac:dyDescent="0.25">
      <c r="A28" s="51" t="s">
        <v>34</v>
      </c>
      <c r="B28" s="52">
        <f>M17</f>
        <v>-28358</v>
      </c>
      <c r="C28" s="52"/>
      <c r="D28" s="52">
        <f>B28+C28</f>
        <v>-28358</v>
      </c>
      <c r="E28" s="13"/>
      <c r="F28" s="13"/>
      <c r="G28" s="13"/>
      <c r="H28" s="13"/>
      <c r="I28" s="13"/>
      <c r="J28" s="13"/>
      <c r="K28" s="13"/>
      <c r="L28" s="13"/>
    </row>
    <row r="29" spans="1:15" x14ac:dyDescent="0.25">
      <c r="A29" s="16" t="s">
        <v>35</v>
      </c>
      <c r="B29" s="56">
        <f>M23</f>
        <v>-615.37366666666662</v>
      </c>
      <c r="C29" s="56">
        <f>O22</f>
        <v>-894.69490000000008</v>
      </c>
      <c r="D29" s="56">
        <f t="shared" ref="D29:D30" si="8">B29+C29</f>
        <v>-1510.0685666666668</v>
      </c>
      <c r="E29" s="13"/>
      <c r="F29" s="13"/>
      <c r="G29" s="13"/>
      <c r="H29" s="13"/>
      <c r="I29" s="13"/>
      <c r="J29" s="21"/>
      <c r="K29" s="21"/>
      <c r="L29" s="13"/>
    </row>
    <row r="30" spans="1:15" x14ac:dyDescent="0.25">
      <c r="A30" s="22" t="s">
        <v>17</v>
      </c>
      <c r="B30" s="53">
        <f>B29+B28</f>
        <v>-28973.373666666666</v>
      </c>
      <c r="C30" s="53">
        <f t="shared" ref="C30" si="9">C29+C28</f>
        <v>-894.69490000000008</v>
      </c>
      <c r="D30" s="53">
        <f t="shared" si="8"/>
        <v>-29868.068566666665</v>
      </c>
      <c r="E30" s="13"/>
      <c r="F30" s="13"/>
      <c r="G30" s="13"/>
      <c r="H30" s="13"/>
      <c r="I30" s="13"/>
      <c r="J30" s="13"/>
      <c r="K30" s="13"/>
      <c r="L30" s="13"/>
    </row>
    <row r="31" spans="1:1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3" spans="1:11" x14ac:dyDescent="0.25">
      <c r="A33" s="12" t="s">
        <v>146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14"/>
      <c r="B34" s="14" t="s">
        <v>18</v>
      </c>
      <c r="C34" s="14" t="s">
        <v>19</v>
      </c>
      <c r="D34" s="14" t="s">
        <v>25</v>
      </c>
      <c r="E34" s="14" t="s">
        <v>125</v>
      </c>
      <c r="F34" s="14" t="s">
        <v>126</v>
      </c>
      <c r="G34" s="14" t="s">
        <v>127</v>
      </c>
      <c r="H34" s="15"/>
      <c r="I34" s="15"/>
      <c r="J34" s="15"/>
      <c r="K34" s="13"/>
    </row>
    <row r="35" spans="1:11" x14ac:dyDescent="0.25">
      <c r="A35" s="16" t="s">
        <v>147</v>
      </c>
      <c r="B35" s="17" t="s">
        <v>129</v>
      </c>
      <c r="C35" s="119">
        <f>SUM(D35:G35)</f>
        <v>5653.0058427267941</v>
      </c>
      <c r="D35" s="119">
        <v>4159.7097863344798</v>
      </c>
      <c r="E35" s="119">
        <v>937.74458738480428</v>
      </c>
      <c r="F35" s="119">
        <v>228.82156612918939</v>
      </c>
      <c r="G35" s="119">
        <v>326.72990287832044</v>
      </c>
      <c r="H35" s="13"/>
      <c r="I35" s="13"/>
      <c r="J35" s="13"/>
      <c r="K35" s="13"/>
    </row>
    <row r="36" spans="1:11" x14ac:dyDescent="0.25">
      <c r="A36" s="16" t="s">
        <v>22</v>
      </c>
      <c r="B36" s="19" t="s">
        <v>20</v>
      </c>
      <c r="C36" s="20">
        <f>SUM(D36:G36)</f>
        <v>1</v>
      </c>
      <c r="D36" s="20">
        <f>D35/$C$35</f>
        <v>0.73584034796043918</v>
      </c>
      <c r="E36" s="20">
        <f t="shared" ref="E36:G36" si="10">E35/$C$35</f>
        <v>0.16588424167141355</v>
      </c>
      <c r="F36" s="20">
        <f t="shared" si="10"/>
        <v>4.0477857708849388E-2</v>
      </c>
      <c r="G36" s="20">
        <f t="shared" si="10"/>
        <v>5.7797552659297875E-2</v>
      </c>
      <c r="H36" s="21"/>
      <c r="I36" s="21"/>
      <c r="J36" s="21"/>
      <c r="K36" s="13"/>
    </row>
    <row r="37" spans="1:11" x14ac:dyDescent="0.25">
      <c r="A37" s="22" t="s">
        <v>17</v>
      </c>
      <c r="B37" s="23" t="s">
        <v>21</v>
      </c>
      <c r="C37" s="24">
        <f>SUM(D37:G37)</f>
        <v>-29868.068566666669</v>
      </c>
      <c r="D37" s="24">
        <f>D36*($D$30)</f>
        <v>-21978.129967002256</v>
      </c>
      <c r="E37" s="24">
        <f t="shared" ref="E37:G37" si="11">E36*($D$30)</f>
        <v>-4954.641904371284</v>
      </c>
      <c r="F37" s="24">
        <f t="shared" si="11"/>
        <v>-1208.9954294796903</v>
      </c>
      <c r="G37" s="24">
        <f t="shared" si="11"/>
        <v>-1726.3012658134362</v>
      </c>
      <c r="H37" s="13"/>
      <c r="I37" s="13"/>
      <c r="J37" s="13"/>
      <c r="K37" s="13"/>
    </row>
    <row r="38" spans="1:1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40" spans="1:11" x14ac:dyDescent="0.25">
      <c r="A40" s="12" t="s">
        <v>148</v>
      </c>
      <c r="B40" s="13"/>
      <c r="C40" s="13"/>
      <c r="D40" s="13"/>
      <c r="E40" s="13"/>
      <c r="F40" s="13"/>
      <c r="G40" s="13"/>
      <c r="H40" s="13"/>
    </row>
    <row r="41" spans="1:11" x14ac:dyDescent="0.25">
      <c r="A41" s="14"/>
      <c r="B41" s="14" t="s">
        <v>18</v>
      </c>
      <c r="C41" s="14" t="s">
        <v>19</v>
      </c>
      <c r="D41" s="14" t="str">
        <f>D34</f>
        <v>Rate 1</v>
      </c>
      <c r="E41" s="14" t="str">
        <f t="shared" ref="E41:F41" si="12">E34</f>
        <v>Rate 6</v>
      </c>
      <c r="F41" s="14" t="str">
        <f t="shared" si="12"/>
        <v>Rate 11</v>
      </c>
      <c r="G41" s="14" t="s">
        <v>18</v>
      </c>
      <c r="H41" s="14" t="str">
        <f>G34</f>
        <v>Rate 16</v>
      </c>
    </row>
    <row r="42" spans="1:11" ht="16.5" x14ac:dyDescent="0.25">
      <c r="A42" s="16" t="s">
        <v>24</v>
      </c>
      <c r="B42" s="17" t="s">
        <v>27</v>
      </c>
      <c r="C42" s="113">
        <f>SUM(D42:F42)</f>
        <v>13162.189329134679</v>
      </c>
      <c r="D42" s="113">
        <f>'Load Forecast'!A7</f>
        <v>8867.7068751897095</v>
      </c>
      <c r="E42" s="113">
        <f>'Load Forecast'!B7</f>
        <v>2468.20098836847</v>
      </c>
      <c r="F42" s="113">
        <f>'Load Forecast'!C7</f>
        <v>1826.2814655764998</v>
      </c>
      <c r="G42" s="17" t="s">
        <v>130</v>
      </c>
      <c r="H42" s="113">
        <f>'Load Forecast'!D7</f>
        <v>95824</v>
      </c>
    </row>
    <row r="43" spans="1:11" x14ac:dyDescent="0.25">
      <c r="A43" s="16" t="s">
        <v>22</v>
      </c>
      <c r="B43" s="114" t="s">
        <v>20</v>
      </c>
      <c r="C43" s="115">
        <f>SUM(D43:H43)</f>
        <v>1</v>
      </c>
      <c r="D43" s="116">
        <f t="shared" ref="D43:F43" si="13">D36</f>
        <v>0.73584034796043918</v>
      </c>
      <c r="E43" s="116">
        <f t="shared" si="13"/>
        <v>0.16588424167141355</v>
      </c>
      <c r="F43" s="116">
        <f t="shared" si="13"/>
        <v>4.0477857708849388E-2</v>
      </c>
      <c r="G43" s="114" t="s">
        <v>20</v>
      </c>
      <c r="H43" s="116">
        <f>G36</f>
        <v>5.7797552659297875E-2</v>
      </c>
    </row>
    <row r="44" spans="1:11" x14ac:dyDescent="0.25">
      <c r="A44" s="26" t="s">
        <v>17</v>
      </c>
      <c r="B44" s="27" t="s">
        <v>21</v>
      </c>
      <c r="C44" s="117">
        <f>SUM(D44:H44)</f>
        <v>-29867.749188853231</v>
      </c>
      <c r="D44" s="118">
        <f>D42*D45*10</f>
        <v>-21978.129967002256</v>
      </c>
      <c r="E44" s="118">
        <f t="shared" ref="E44:F44" si="14">E42*E45*10</f>
        <v>-4954.641904371284</v>
      </c>
      <c r="F44" s="118">
        <f t="shared" si="14"/>
        <v>-1208.9954294796903</v>
      </c>
      <c r="G44" s="27" t="s">
        <v>21</v>
      </c>
      <c r="H44" s="118">
        <f>H42*H45/100*12</f>
        <v>-1725.9818880000003</v>
      </c>
    </row>
    <row r="45" spans="1:11" ht="17.25" x14ac:dyDescent="0.25">
      <c r="A45" s="22" t="s">
        <v>23</v>
      </c>
      <c r="B45" s="23" t="s">
        <v>28</v>
      </c>
      <c r="C45" s="29"/>
      <c r="D45" s="29">
        <f>D37/D42/10</f>
        <v>-0.24784456992475939</v>
      </c>
      <c r="E45" s="29">
        <f t="shared" ref="E45:F45" si="15">E37/E42/10</f>
        <v>-0.2007389968531858</v>
      </c>
      <c r="F45" s="29">
        <f t="shared" si="15"/>
        <v>-6.6199841167311438E-2</v>
      </c>
      <c r="G45" s="23" t="s">
        <v>131</v>
      </c>
      <c r="H45" s="29">
        <f>ROUND(G37/H42*100/12,4)</f>
        <v>-0.15010000000000001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92CC-DA81-4162-8ABD-78CE5DC8F000}">
  <sheetPr>
    <pageSetUpPr fitToPage="1"/>
  </sheetPr>
  <dimension ref="A1:O47"/>
  <sheetViews>
    <sheetView showGridLines="0" zoomScale="80" zoomScaleNormal="80" zoomScaleSheetLayoutView="85" workbookViewId="0">
      <selection activeCell="H28" sqref="H28"/>
    </sheetView>
  </sheetViews>
  <sheetFormatPr defaultColWidth="12.5703125" defaultRowHeight="14.25" x14ac:dyDescent="0.2"/>
  <cols>
    <col min="1" max="1" width="35.7109375" style="58" customWidth="1"/>
    <col min="2" max="2" width="13.7109375" style="58" bestFit="1" customWidth="1"/>
    <col min="3" max="3" width="13.5703125" style="58" customWidth="1"/>
    <col min="4" max="4" width="12.42578125" style="58" customWidth="1"/>
    <col min="5" max="6" width="11.7109375" style="58" bestFit="1" customWidth="1"/>
    <col min="7" max="8" width="11.28515625" style="58" bestFit="1" customWidth="1"/>
    <col min="9" max="13" width="11.7109375" style="58" bestFit="1" customWidth="1"/>
    <col min="14" max="14" width="1.5703125" style="58" customWidth="1"/>
    <col min="15" max="15" width="12.28515625" style="58" bestFit="1" customWidth="1"/>
    <col min="16" max="16384" width="12.5703125" style="58"/>
  </cols>
  <sheetData>
    <row r="1" spans="1:15" s="2" customFormat="1" ht="15" x14ac:dyDescent="0.25">
      <c r="A1" s="2" t="s">
        <v>0</v>
      </c>
    </row>
    <row r="2" spans="1:15" s="2" customFormat="1" ht="15" x14ac:dyDescent="0.25">
      <c r="A2" s="2" t="str">
        <f>CIACVA!A2</f>
        <v>EB-2025-0178</v>
      </c>
    </row>
    <row r="3" spans="1:15" s="2" customFormat="1" ht="15" x14ac:dyDescent="0.25">
      <c r="A3" s="2" t="s">
        <v>97</v>
      </c>
    </row>
    <row r="4" spans="1:15" s="2" customFormat="1" ht="15" x14ac:dyDescent="0.25">
      <c r="A4" s="2" t="s">
        <v>39</v>
      </c>
    </row>
    <row r="5" spans="1:15" ht="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ht="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">
      <c r="A7" s="7"/>
      <c r="B7" s="133"/>
      <c r="C7" s="133"/>
      <c r="D7" s="133"/>
      <c r="E7" s="133"/>
      <c r="F7" s="134"/>
      <c r="G7" s="134"/>
      <c r="H7" s="37"/>
      <c r="I7" s="134"/>
      <c r="J7" s="134"/>
      <c r="K7" s="134"/>
      <c r="L7" s="134"/>
      <c r="M7" s="134"/>
      <c r="O7" s="134"/>
    </row>
    <row r="8" spans="1:15" x14ac:dyDescent="0.2">
      <c r="A8" s="7" t="s">
        <v>102</v>
      </c>
      <c r="B8" s="31">
        <v>66198.104398808966</v>
      </c>
      <c r="C8" s="31">
        <v>109481.52036272653</v>
      </c>
      <c r="D8" s="31">
        <v>93815.389474598807</v>
      </c>
      <c r="E8" s="31">
        <v>43179.825777359889</v>
      </c>
      <c r="F8" s="31">
        <v>44493.439438630463</v>
      </c>
      <c r="G8" s="31">
        <v>25213.441404804922</v>
      </c>
      <c r="H8" s="31">
        <v>17994.701769103427</v>
      </c>
      <c r="I8" s="31">
        <v>17657.086969480253</v>
      </c>
      <c r="J8" s="31">
        <v>20332.076018935477</v>
      </c>
      <c r="K8" s="31">
        <v>32922.121598108381</v>
      </c>
      <c r="L8" s="31">
        <v>12971.443213370891</v>
      </c>
      <c r="M8" s="31">
        <v>68344.976585987664</v>
      </c>
      <c r="O8" s="135"/>
    </row>
    <row r="9" spans="1:15" s="48" customFormat="1" ht="15" x14ac:dyDescent="0.25">
      <c r="A9" s="42" t="s">
        <v>91</v>
      </c>
      <c r="B9" s="10">
        <f t="shared" ref="B9:M9" si="0">SUM(B8:B8)</f>
        <v>66198.104398808966</v>
      </c>
      <c r="C9" s="10">
        <f t="shared" si="0"/>
        <v>109481.52036272653</v>
      </c>
      <c r="D9" s="10">
        <f t="shared" si="0"/>
        <v>93815.389474598807</v>
      </c>
      <c r="E9" s="10">
        <f t="shared" si="0"/>
        <v>43179.825777359889</v>
      </c>
      <c r="F9" s="10">
        <f t="shared" si="0"/>
        <v>44493.439438630463</v>
      </c>
      <c r="G9" s="10">
        <f t="shared" si="0"/>
        <v>25213.441404804922</v>
      </c>
      <c r="H9" s="10">
        <f t="shared" si="0"/>
        <v>17994.701769103427</v>
      </c>
      <c r="I9" s="10">
        <f t="shared" si="0"/>
        <v>17657.086969480253</v>
      </c>
      <c r="J9" s="10">
        <f t="shared" si="0"/>
        <v>20332.076018935477</v>
      </c>
      <c r="K9" s="10">
        <f t="shared" si="0"/>
        <v>32922.121598108381</v>
      </c>
      <c r="L9" s="10">
        <f t="shared" si="0"/>
        <v>12971.443213370891</v>
      </c>
      <c r="M9" s="10">
        <f t="shared" si="0"/>
        <v>68344.976585987664</v>
      </c>
      <c r="O9" s="84"/>
    </row>
    <row r="10" spans="1:15" x14ac:dyDescent="0.2">
      <c r="A10" s="7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O10" s="135"/>
    </row>
    <row r="11" spans="1:15" ht="15" x14ac:dyDescent="0.25">
      <c r="A11" s="7" t="s">
        <v>98</v>
      </c>
      <c r="B11" s="83">
        <v>0</v>
      </c>
      <c r="C11" s="83">
        <f>B13</f>
        <v>66198.104398808966</v>
      </c>
      <c r="D11" s="83">
        <f t="shared" ref="D11:M11" si="1">C13</f>
        <v>175679.6247615355</v>
      </c>
      <c r="E11" s="83">
        <f t="shared" si="1"/>
        <v>269495.0142361343</v>
      </c>
      <c r="F11" s="83">
        <f t="shared" si="1"/>
        <v>312674.84001349419</v>
      </c>
      <c r="G11" s="83">
        <f t="shared" si="1"/>
        <v>357168.27945212467</v>
      </c>
      <c r="H11" s="83">
        <f t="shared" si="1"/>
        <v>382381.72085692961</v>
      </c>
      <c r="I11" s="83">
        <f t="shared" si="1"/>
        <v>400376.42262603302</v>
      </c>
      <c r="J11" s="83">
        <f>I13</f>
        <v>418033.50959551329</v>
      </c>
      <c r="K11" s="83">
        <f t="shared" si="1"/>
        <v>438365.58561444876</v>
      </c>
      <c r="L11" s="83">
        <f t="shared" si="1"/>
        <v>471287.70721255714</v>
      </c>
      <c r="M11" s="83">
        <f t="shared" si="1"/>
        <v>484259.15042592806</v>
      </c>
      <c r="N11" s="65"/>
      <c r="O11" s="10"/>
    </row>
    <row r="12" spans="1:15" ht="15" x14ac:dyDescent="0.25">
      <c r="A12" s="7" t="s">
        <v>99</v>
      </c>
      <c r="B12" s="31">
        <f>B9</f>
        <v>66198.104398808966</v>
      </c>
      <c r="C12" s="31">
        <f t="shared" ref="C12:M12" si="2">C9</f>
        <v>109481.52036272653</v>
      </c>
      <c r="D12" s="31">
        <f t="shared" si="2"/>
        <v>93815.389474598807</v>
      </c>
      <c r="E12" s="31">
        <f t="shared" si="2"/>
        <v>43179.825777359889</v>
      </c>
      <c r="F12" s="31">
        <f t="shared" si="2"/>
        <v>44493.439438630463</v>
      </c>
      <c r="G12" s="31">
        <f t="shared" si="2"/>
        <v>25213.441404804922</v>
      </c>
      <c r="H12" s="31">
        <f t="shared" si="2"/>
        <v>17994.701769103427</v>
      </c>
      <c r="I12" s="31">
        <f t="shared" si="2"/>
        <v>17657.086969480253</v>
      </c>
      <c r="J12" s="31">
        <f t="shared" si="2"/>
        <v>20332.076018935477</v>
      </c>
      <c r="K12" s="31">
        <f t="shared" si="2"/>
        <v>32922.121598108381</v>
      </c>
      <c r="L12" s="31">
        <f t="shared" si="2"/>
        <v>12971.443213370891</v>
      </c>
      <c r="M12" s="31">
        <f t="shared" si="2"/>
        <v>68344.976585987664</v>
      </c>
      <c r="N12" s="65"/>
      <c r="O12" s="10"/>
    </row>
    <row r="13" spans="1:15" s="48" customFormat="1" ht="15" x14ac:dyDescent="0.25">
      <c r="A13" s="42" t="s">
        <v>100</v>
      </c>
      <c r="B13" s="10">
        <f>SUM(B11:B12)</f>
        <v>66198.104398808966</v>
      </c>
      <c r="C13" s="10">
        <f t="shared" ref="C13:M13" si="3">SUM(C11:C12)</f>
        <v>175679.6247615355</v>
      </c>
      <c r="D13" s="10">
        <f t="shared" si="3"/>
        <v>269495.0142361343</v>
      </c>
      <c r="E13" s="10">
        <f t="shared" si="3"/>
        <v>312674.84001349419</v>
      </c>
      <c r="F13" s="10">
        <f t="shared" si="3"/>
        <v>357168.27945212467</v>
      </c>
      <c r="G13" s="10">
        <f t="shared" si="3"/>
        <v>382381.72085692961</v>
      </c>
      <c r="H13" s="10">
        <f t="shared" si="3"/>
        <v>400376.42262603302</v>
      </c>
      <c r="I13" s="10">
        <f t="shared" si="3"/>
        <v>418033.50959551329</v>
      </c>
      <c r="J13" s="10">
        <f t="shared" si="3"/>
        <v>438365.58561444876</v>
      </c>
      <c r="K13" s="10">
        <f t="shared" si="3"/>
        <v>471287.70721255714</v>
      </c>
      <c r="L13" s="10">
        <f t="shared" si="3"/>
        <v>484259.15042592806</v>
      </c>
      <c r="M13" s="10">
        <f t="shared" si="3"/>
        <v>552604.12701191567</v>
      </c>
      <c r="N13" s="77"/>
      <c r="O13" s="10"/>
    </row>
    <row r="14" spans="1:15" ht="15" x14ac:dyDescent="0.25">
      <c r="A14" s="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65"/>
      <c r="O14" s="10"/>
    </row>
    <row r="15" spans="1:15" x14ac:dyDescent="0.2">
      <c r="A15" s="7" t="s">
        <v>13</v>
      </c>
      <c r="B15" s="136">
        <v>5.4899999999999997E-2</v>
      </c>
      <c r="C15" s="136">
        <v>5.4899999999999997E-2</v>
      </c>
      <c r="D15" s="136">
        <v>5.4899999999999997E-2</v>
      </c>
      <c r="E15" s="136">
        <v>5.4899999999999997E-2</v>
      </c>
      <c r="F15" s="136">
        <v>5.4899999999999997E-2</v>
      </c>
      <c r="G15" s="136">
        <v>5.4899999999999997E-2</v>
      </c>
      <c r="H15" s="136">
        <v>5.1999999999999998E-2</v>
      </c>
      <c r="I15" s="136">
        <v>5.1999999999999998E-2</v>
      </c>
      <c r="J15" s="136">
        <v>5.1999999999999998E-2</v>
      </c>
      <c r="K15" s="136">
        <v>4.3999999999999997E-2</v>
      </c>
      <c r="L15" s="136">
        <v>4.3999999999999997E-2</v>
      </c>
      <c r="M15" s="136">
        <v>4.3999999999999997E-2</v>
      </c>
      <c r="N15" s="65"/>
      <c r="O15" s="137">
        <f>(Summary!D7+Summary!E7+Summary!F7+Summary!G7)/4</f>
        <v>3.1550000000000002E-2</v>
      </c>
    </row>
    <row r="16" spans="1:15" ht="15" x14ac:dyDescent="0.25">
      <c r="A16" s="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65"/>
      <c r="O16" s="10"/>
    </row>
    <row r="17" spans="1:15" x14ac:dyDescent="0.2">
      <c r="A17" s="7" t="s">
        <v>14</v>
      </c>
      <c r="B17" s="83">
        <v>0</v>
      </c>
      <c r="C17" s="83">
        <f>B19</f>
        <v>0</v>
      </c>
      <c r="D17" s="83">
        <f t="shared" ref="D17:M17" si="4">C19</f>
        <v>302.856327624551</v>
      </c>
      <c r="E17" s="83">
        <f t="shared" si="4"/>
        <v>1106.5906109085759</v>
      </c>
      <c r="F17" s="83">
        <f t="shared" si="4"/>
        <v>2339.5303010388902</v>
      </c>
      <c r="G17" s="83">
        <f t="shared" si="4"/>
        <v>3770.0176941006262</v>
      </c>
      <c r="H17" s="83">
        <f t="shared" si="4"/>
        <v>5404.0625725940963</v>
      </c>
      <c r="I17" s="83">
        <f t="shared" si="4"/>
        <v>7061.0500296407909</v>
      </c>
      <c r="J17" s="83">
        <f t="shared" si="4"/>
        <v>8796.0145276869334</v>
      </c>
      <c r="K17" s="83">
        <f t="shared" si="4"/>
        <v>10607.493069267492</v>
      </c>
      <c r="L17" s="83">
        <f t="shared" si="4"/>
        <v>12214.833549853804</v>
      </c>
      <c r="M17" s="83">
        <f t="shared" si="4"/>
        <v>13942.888476299846</v>
      </c>
      <c r="N17" s="65"/>
      <c r="O17" s="83">
        <f t="shared" ref="O17" si="5">M19</f>
        <v>15718.505361194915</v>
      </c>
    </row>
    <row r="18" spans="1:15" x14ac:dyDescent="0.2">
      <c r="A18" s="7" t="s">
        <v>15</v>
      </c>
      <c r="B18" s="31">
        <f t="shared" ref="B18:M18" si="6">B11*B15/12</f>
        <v>0</v>
      </c>
      <c r="C18" s="31">
        <f t="shared" si="6"/>
        <v>302.856327624551</v>
      </c>
      <c r="D18" s="31">
        <f t="shared" si="6"/>
        <v>803.73428328402485</v>
      </c>
      <c r="E18" s="31">
        <f t="shared" si="6"/>
        <v>1232.9396901303144</v>
      </c>
      <c r="F18" s="31">
        <f t="shared" si="6"/>
        <v>1430.4873930617359</v>
      </c>
      <c r="G18" s="31">
        <f t="shared" si="6"/>
        <v>1634.0448784934704</v>
      </c>
      <c r="H18" s="31">
        <f t="shared" si="6"/>
        <v>1656.9874570466948</v>
      </c>
      <c r="I18" s="31">
        <f t="shared" si="6"/>
        <v>1734.9644980461428</v>
      </c>
      <c r="J18" s="31">
        <f t="shared" si="6"/>
        <v>1811.4785415805575</v>
      </c>
      <c r="K18" s="31">
        <f t="shared" si="6"/>
        <v>1607.340480586312</v>
      </c>
      <c r="L18" s="31">
        <f t="shared" si="6"/>
        <v>1728.0549264460426</v>
      </c>
      <c r="M18" s="31">
        <f t="shared" si="6"/>
        <v>1775.6168848950695</v>
      </c>
      <c r="N18" s="65"/>
      <c r="O18" s="31">
        <f>M13*O15</f>
        <v>17434.660207225941</v>
      </c>
    </row>
    <row r="19" spans="1:15" ht="15" x14ac:dyDescent="0.25">
      <c r="A19" s="33" t="s">
        <v>16</v>
      </c>
      <c r="B19" s="11">
        <f>SUM(B17:B18)</f>
        <v>0</v>
      </c>
      <c r="C19" s="11">
        <f t="shared" ref="C19:M19" si="7">SUM(C17:C18)</f>
        <v>302.856327624551</v>
      </c>
      <c r="D19" s="11">
        <f t="shared" si="7"/>
        <v>1106.5906109085759</v>
      </c>
      <c r="E19" s="11">
        <f t="shared" si="7"/>
        <v>2339.5303010388902</v>
      </c>
      <c r="F19" s="11">
        <f t="shared" si="7"/>
        <v>3770.0176941006262</v>
      </c>
      <c r="G19" s="11">
        <f t="shared" si="7"/>
        <v>5404.0625725940963</v>
      </c>
      <c r="H19" s="11">
        <f t="shared" si="7"/>
        <v>7061.0500296407909</v>
      </c>
      <c r="I19" s="11">
        <f t="shared" si="7"/>
        <v>8796.0145276869334</v>
      </c>
      <c r="J19" s="11">
        <f t="shared" si="7"/>
        <v>10607.493069267492</v>
      </c>
      <c r="K19" s="11">
        <f t="shared" si="7"/>
        <v>12214.833549853804</v>
      </c>
      <c r="L19" s="11">
        <f t="shared" si="7"/>
        <v>13942.888476299846</v>
      </c>
      <c r="M19" s="11">
        <f t="shared" si="7"/>
        <v>15718.505361194915</v>
      </c>
      <c r="N19" s="65"/>
      <c r="O19" s="11">
        <f>SUM(O17:O18)</f>
        <v>33153.165568420853</v>
      </c>
    </row>
    <row r="20" spans="1:15" ht="15" x14ac:dyDescent="0.25">
      <c r="A20" s="2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O20" s="30"/>
    </row>
    <row r="21" spans="1:15" x14ac:dyDescent="0.2">
      <c r="E21" s="86"/>
      <c r="F21" s="86"/>
      <c r="G21" s="86"/>
      <c r="H21" s="86"/>
      <c r="I21" s="86"/>
    </row>
    <row r="22" spans="1:15" ht="15" x14ac:dyDescent="0.25">
      <c r="A22" s="12" t="s">
        <v>101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</row>
    <row r="23" spans="1:15" ht="45" x14ac:dyDescent="0.2">
      <c r="A23" s="14"/>
      <c r="B23" s="14" t="s">
        <v>36</v>
      </c>
      <c r="C23" s="14" t="s">
        <v>45</v>
      </c>
      <c r="D23" s="14" t="s">
        <v>48</v>
      </c>
      <c r="E23" s="86"/>
      <c r="F23" s="86"/>
      <c r="G23" s="86"/>
      <c r="H23" s="86"/>
      <c r="I23" s="86"/>
      <c r="J23" s="138"/>
      <c r="K23" s="138"/>
      <c r="L23" s="86"/>
    </row>
    <row r="24" spans="1:15" x14ac:dyDescent="0.2">
      <c r="A24" s="51" t="s">
        <v>34</v>
      </c>
      <c r="B24" s="52">
        <f>M13</f>
        <v>552604.12701191567</v>
      </c>
      <c r="C24" s="52"/>
      <c r="D24" s="52">
        <f>B24+C24</f>
        <v>552604.12701191567</v>
      </c>
      <c r="E24" s="86"/>
      <c r="F24" s="86"/>
      <c r="G24" s="86"/>
      <c r="H24" s="86"/>
      <c r="I24" s="86"/>
      <c r="J24" s="86"/>
      <c r="K24" s="86"/>
      <c r="L24" s="86"/>
    </row>
    <row r="25" spans="1:15" x14ac:dyDescent="0.2">
      <c r="A25" s="16" t="s">
        <v>35</v>
      </c>
      <c r="B25" s="56">
        <f>M19</f>
        <v>15718.505361194915</v>
      </c>
      <c r="C25" s="56">
        <f>O18</f>
        <v>17434.660207225941</v>
      </c>
      <c r="D25" s="56">
        <f t="shared" ref="D25:D26" si="8">B25+C25</f>
        <v>33153.165568420853</v>
      </c>
      <c r="E25" s="86"/>
      <c r="F25" s="86"/>
      <c r="G25" s="86"/>
      <c r="H25" s="86"/>
      <c r="I25" s="86"/>
      <c r="J25" s="139"/>
      <c r="K25" s="139"/>
      <c r="L25" s="86"/>
    </row>
    <row r="26" spans="1:15" ht="15" x14ac:dyDescent="0.25">
      <c r="A26" s="22" t="s">
        <v>17</v>
      </c>
      <c r="B26" s="53">
        <f>B25+B24</f>
        <v>568322.63237311062</v>
      </c>
      <c r="C26" s="53">
        <f t="shared" ref="C26" si="9">C25+C24</f>
        <v>17434.660207225941</v>
      </c>
      <c r="D26" s="53">
        <f t="shared" si="8"/>
        <v>585757.29258033657</v>
      </c>
      <c r="E26" s="86"/>
      <c r="F26" s="86"/>
      <c r="G26" s="86"/>
      <c r="H26" s="86"/>
      <c r="I26" s="86"/>
      <c r="J26" s="86"/>
      <c r="K26" s="86"/>
      <c r="L26" s="86"/>
    </row>
    <row r="27" spans="1:15" x14ac:dyDescent="0.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</row>
    <row r="29" spans="1:15" ht="15" x14ac:dyDescent="0.25">
      <c r="A29" s="12" t="s">
        <v>150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0" spans="1:15" ht="15" x14ac:dyDescent="0.2">
      <c r="A30" s="14"/>
      <c r="B30" s="14" t="s">
        <v>18</v>
      </c>
      <c r="C30" s="14" t="s">
        <v>19</v>
      </c>
      <c r="D30" s="14" t="s">
        <v>25</v>
      </c>
      <c r="E30" s="14" t="s">
        <v>125</v>
      </c>
      <c r="F30" s="138"/>
      <c r="G30" s="138"/>
      <c r="H30" s="86"/>
    </row>
    <row r="31" spans="1:15" ht="16.5" x14ac:dyDescent="0.2">
      <c r="A31" s="16" t="s">
        <v>24</v>
      </c>
      <c r="B31" s="17" t="s">
        <v>27</v>
      </c>
      <c r="C31" s="18">
        <f>SUM(D31:E31)</f>
        <v>552604.12701191555</v>
      </c>
      <c r="D31" s="18">
        <f>C45</f>
        <v>531683.12268763653</v>
      </c>
      <c r="E31" s="18">
        <f>C46</f>
        <v>20921.004324279056</v>
      </c>
      <c r="F31" s="86"/>
      <c r="G31" s="86"/>
      <c r="H31" s="86"/>
    </row>
    <row r="32" spans="1:15" x14ac:dyDescent="0.2">
      <c r="A32" s="16" t="s">
        <v>22</v>
      </c>
      <c r="B32" s="19" t="s">
        <v>20</v>
      </c>
      <c r="C32" s="20">
        <f>SUM(D32:E32)</f>
        <v>1</v>
      </c>
      <c r="D32" s="20">
        <f>D45</f>
        <v>0.9621410639160356</v>
      </c>
      <c r="E32" s="20">
        <f>D46</f>
        <v>3.7858936083964401E-2</v>
      </c>
      <c r="F32" s="139"/>
      <c r="G32" s="139"/>
      <c r="H32" s="86"/>
    </row>
    <row r="33" spans="1:8" ht="15" x14ac:dyDescent="0.25">
      <c r="A33" s="22" t="s">
        <v>17</v>
      </c>
      <c r="B33" s="23" t="s">
        <v>21</v>
      </c>
      <c r="C33" s="24">
        <f>SUM(D33:E33)</f>
        <v>585757.29258033657</v>
      </c>
      <c r="D33" s="24">
        <f>D32*($O$19+$M$13)</f>
        <v>563581.14467982156</v>
      </c>
      <c r="E33" s="24">
        <f>E32*($O$19+$M$13)</f>
        <v>22176.147900514996</v>
      </c>
      <c r="F33" s="86"/>
      <c r="G33" s="86"/>
      <c r="H33" s="86"/>
    </row>
    <row r="34" spans="1:8" x14ac:dyDescent="0.2">
      <c r="A34" s="86"/>
      <c r="B34" s="86"/>
      <c r="C34" s="86"/>
      <c r="D34" s="86"/>
      <c r="E34" s="86"/>
      <c r="F34" s="86"/>
      <c r="G34" s="86"/>
      <c r="H34" s="86"/>
    </row>
    <row r="36" spans="1:8" ht="15" x14ac:dyDescent="0.25">
      <c r="A36" s="12" t="s">
        <v>151</v>
      </c>
      <c r="B36" s="86"/>
      <c r="C36" s="86"/>
      <c r="D36" s="86"/>
      <c r="E36" s="86"/>
      <c r="F36" s="86"/>
      <c r="G36" s="86"/>
      <c r="H36" s="86"/>
    </row>
    <row r="37" spans="1:8" ht="15" x14ac:dyDescent="0.2">
      <c r="A37" s="14"/>
      <c r="B37" s="14" t="s">
        <v>18</v>
      </c>
      <c r="C37" s="14" t="s">
        <v>19</v>
      </c>
      <c r="D37" s="14" t="s">
        <v>25</v>
      </c>
      <c r="E37" s="14" t="s">
        <v>125</v>
      </c>
    </row>
    <row r="38" spans="1:8" x14ac:dyDescent="0.2">
      <c r="A38" s="16" t="s">
        <v>155</v>
      </c>
      <c r="B38" s="17" t="s">
        <v>156</v>
      </c>
      <c r="C38" s="18">
        <f>SUM(D38:E38)</f>
        <v>5574</v>
      </c>
      <c r="D38" s="18">
        <f>'Load Forecast'!A12</f>
        <v>5503</v>
      </c>
      <c r="E38" s="18">
        <f>'Load Forecast'!B12</f>
        <v>71</v>
      </c>
    </row>
    <row r="39" spans="1:8" x14ac:dyDescent="0.2">
      <c r="A39" s="16" t="s">
        <v>22</v>
      </c>
      <c r="B39" s="19" t="s">
        <v>20</v>
      </c>
      <c r="C39" s="20">
        <f>SUM(D39:E39)</f>
        <v>1</v>
      </c>
      <c r="D39" s="25">
        <f t="shared" ref="D39:E39" si="10">D32</f>
        <v>0.9621410639160356</v>
      </c>
      <c r="E39" s="25">
        <f t="shared" si="10"/>
        <v>3.7858936083964401E-2</v>
      </c>
    </row>
    <row r="40" spans="1:8" ht="15" x14ac:dyDescent="0.25">
      <c r="A40" s="26" t="s">
        <v>17</v>
      </c>
      <c r="B40" s="27" t="s">
        <v>21</v>
      </c>
      <c r="C40" s="57">
        <f>SUM(D40:E40)</f>
        <v>585757.29258033657</v>
      </c>
      <c r="D40" s="28">
        <f>D38*D41*12</f>
        <v>563581.14467982156</v>
      </c>
      <c r="E40" s="28">
        <f>E38*E41*12</f>
        <v>22176.147900514996</v>
      </c>
    </row>
    <row r="41" spans="1:8" ht="15" x14ac:dyDescent="0.25">
      <c r="A41" s="22" t="s">
        <v>23</v>
      </c>
      <c r="B41" s="23" t="s">
        <v>157</v>
      </c>
      <c r="C41" s="29"/>
      <c r="D41" s="132">
        <f>D33/D38/12</f>
        <v>8.53445309649012</v>
      </c>
      <c r="E41" s="132">
        <f>E33/E38/12</f>
        <v>26.028342606238258</v>
      </c>
    </row>
    <row r="44" spans="1:8" ht="30" x14ac:dyDescent="0.2">
      <c r="A44" s="131" t="s">
        <v>154</v>
      </c>
      <c r="B44" s="14" t="s">
        <v>152</v>
      </c>
      <c r="C44" s="14" t="s">
        <v>153</v>
      </c>
      <c r="D44" s="14" t="s">
        <v>22</v>
      </c>
    </row>
    <row r="45" spans="1:8" x14ac:dyDescent="0.2">
      <c r="A45" s="122" t="s">
        <v>33</v>
      </c>
      <c r="B45" s="123">
        <v>1063366.2453752731</v>
      </c>
      <c r="C45" s="123">
        <f>B45/2</f>
        <v>531683.12268763653</v>
      </c>
      <c r="D45" s="128">
        <f>C45/$C$47</f>
        <v>0.9621410639160356</v>
      </c>
    </row>
    <row r="46" spans="1:8" ht="16.5" x14ac:dyDescent="0.35">
      <c r="A46" s="124" t="s">
        <v>133</v>
      </c>
      <c r="B46" s="127">
        <v>41842.008648558112</v>
      </c>
      <c r="C46" s="127">
        <f>B46/2</f>
        <v>20921.004324279056</v>
      </c>
      <c r="D46" s="130">
        <f t="shared" ref="D46:D47" si="11">C46/$C$47</f>
        <v>3.7858936083964401E-2</v>
      </c>
    </row>
    <row r="47" spans="1:8" ht="15" x14ac:dyDescent="0.25">
      <c r="A47" s="125" t="s">
        <v>17</v>
      </c>
      <c r="B47" s="126">
        <f>SUM(B45:B46)</f>
        <v>1105208.2540238311</v>
      </c>
      <c r="C47" s="126">
        <f>SUM(C45:C46)</f>
        <v>552604.12701191555</v>
      </c>
      <c r="D47" s="129">
        <f t="shared" si="11"/>
        <v>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9"/>
  <sheetViews>
    <sheetView showGridLines="0" zoomScale="85" zoomScaleNormal="85" zoomScaleSheetLayoutView="8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M27" sqref="M27"/>
    </sheetView>
  </sheetViews>
  <sheetFormatPr defaultColWidth="9.140625" defaultRowHeight="14.25" x14ac:dyDescent="0.2"/>
  <cols>
    <col min="1" max="1" width="44.5703125" style="38" customWidth="1"/>
    <col min="2" max="6" width="11.7109375" style="38" bestFit="1" customWidth="1"/>
    <col min="7" max="7" width="12.5703125" style="38" customWidth="1"/>
    <col min="8" max="8" width="10.7109375" style="38" bestFit="1" customWidth="1"/>
    <col min="9" max="13" width="11.7109375" style="38" bestFit="1" customWidth="1"/>
    <col min="14" max="18" width="11.7109375" style="38" customWidth="1"/>
    <col min="19" max="19" width="10.7109375" style="38" customWidth="1"/>
    <col min="20" max="21" width="10" style="38" customWidth="1"/>
    <col min="22" max="25" width="11.7109375" style="38" customWidth="1"/>
    <col min="26" max="26" width="11.7109375" style="38" customWidth="1" collapsed="1"/>
    <col min="27" max="30" width="11.7109375" style="38" customWidth="1"/>
    <col min="31" max="31" width="11" style="38" customWidth="1"/>
    <col min="32" max="32" width="10.7109375" style="38" customWidth="1"/>
    <col min="33" max="33" width="10" style="38" customWidth="1"/>
    <col min="34" max="37" width="11.7109375" style="38" customWidth="1"/>
    <col min="38" max="42" width="11.7109375" style="38" bestFit="1" customWidth="1"/>
    <col min="43" max="43" width="10" style="38" bestFit="1" customWidth="1"/>
    <col min="44" max="44" width="10.7109375" style="38" bestFit="1" customWidth="1"/>
    <col min="45" max="48" width="11.7109375" style="38" bestFit="1" customWidth="1"/>
    <col min="49" max="49" width="12.140625" style="38" bestFit="1" customWidth="1"/>
    <col min="50" max="50" width="10" style="38" bestFit="1" customWidth="1"/>
    <col min="51" max="51" width="9.28515625" style="38" bestFit="1" customWidth="1"/>
    <col min="52" max="16384" width="9.140625" style="38"/>
  </cols>
  <sheetData>
    <row r="1" spans="1:14" ht="15" x14ac:dyDescent="0.25">
      <c r="A1" s="2" t="str">
        <f>CIACVA!A1</f>
        <v>EPCOR Natural Gas Limited Partnership</v>
      </c>
    </row>
    <row r="2" spans="1:14" ht="15" x14ac:dyDescent="0.25">
      <c r="A2" s="2" t="str">
        <f>CIACVA!A2</f>
        <v>EB-2025-0178</v>
      </c>
    </row>
    <row r="3" spans="1:14" ht="15" x14ac:dyDescent="0.25">
      <c r="A3" s="2" t="s">
        <v>40</v>
      </c>
    </row>
    <row r="4" spans="1:14" ht="15" x14ac:dyDescent="0.25">
      <c r="A4" s="2" t="str">
        <f>CIACVA!A4</f>
        <v>Continuity Schedule</v>
      </c>
    </row>
    <row r="5" spans="1:14" ht="15" x14ac:dyDescent="0.25">
      <c r="A5" s="40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2025</v>
      </c>
    </row>
    <row r="6" spans="1:14" ht="15" x14ac:dyDescent="0.25">
      <c r="A6" s="41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6" t="s">
        <v>29</v>
      </c>
    </row>
    <row r="7" spans="1:14" ht="15" x14ac:dyDescent="0.25">
      <c r="A7" s="44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s="48" customFormat="1" ht="15" x14ac:dyDescent="0.25">
      <c r="A8" s="44" t="s">
        <v>103</v>
      </c>
      <c r="B8" s="10">
        <v>-9889.7149611474943</v>
      </c>
      <c r="C8" s="10">
        <v>5763.0556522623983</v>
      </c>
      <c r="D8" s="10">
        <v>-14671.573385288259</v>
      </c>
      <c r="E8" s="10">
        <v>782.95808235542586</v>
      </c>
      <c r="F8" s="10">
        <v>-5311.887100891624</v>
      </c>
      <c r="G8" s="10">
        <v>-3906.6776836875079</v>
      </c>
      <c r="H8" s="10">
        <v>-1079.3599893020912</v>
      </c>
      <c r="I8" s="10">
        <v>-3729.1693166252207</v>
      </c>
      <c r="J8" s="10">
        <v>230.58240115797031</v>
      </c>
      <c r="K8" s="10">
        <v>-5713.7716641725156</v>
      </c>
      <c r="L8" s="10">
        <v>-235.29320475933034</v>
      </c>
      <c r="M8" s="10">
        <v>4332.5844210283649</v>
      </c>
      <c r="N8" s="77"/>
    </row>
    <row r="9" spans="1:14" x14ac:dyDescent="0.2">
      <c r="A9" s="6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1"/>
    </row>
    <row r="10" spans="1:14" ht="15" x14ac:dyDescent="0.25">
      <c r="A10" s="65" t="s">
        <v>30</v>
      </c>
      <c r="B10" s="10">
        <v>-46484.690742176404</v>
      </c>
      <c r="C10" s="9">
        <f>B12</f>
        <v>-56374.405703323901</v>
      </c>
      <c r="D10" s="9">
        <f t="shared" ref="D10:M10" si="0">C12</f>
        <v>-50611.350051061505</v>
      </c>
      <c r="E10" s="9">
        <f t="shared" si="0"/>
        <v>-65282.923436349767</v>
      </c>
      <c r="F10" s="9">
        <f t="shared" si="0"/>
        <v>-64499.965353994339</v>
      </c>
      <c r="G10" s="9">
        <f t="shared" si="0"/>
        <v>-69811.852454885957</v>
      </c>
      <c r="H10" s="9">
        <f t="shared" si="0"/>
        <v>-73718.530138573464</v>
      </c>
      <c r="I10" s="9">
        <f t="shared" si="0"/>
        <v>-74797.890127875551</v>
      </c>
      <c r="J10" s="9">
        <f t="shared" si="0"/>
        <v>-78527.059444500774</v>
      </c>
      <c r="K10" s="9">
        <f t="shared" si="0"/>
        <v>-78296.477043342806</v>
      </c>
      <c r="L10" s="9">
        <f t="shared" si="0"/>
        <v>-84010.248707515319</v>
      </c>
      <c r="M10" s="9">
        <f t="shared" si="0"/>
        <v>-84245.541912274653</v>
      </c>
      <c r="N10" s="41"/>
    </row>
    <row r="11" spans="1:14" ht="15" x14ac:dyDescent="0.25">
      <c r="A11" s="65" t="s">
        <v>49</v>
      </c>
      <c r="B11" s="31">
        <f>B8</f>
        <v>-9889.7149611474943</v>
      </c>
      <c r="C11" s="31">
        <f t="shared" ref="C11:M11" si="1">C8</f>
        <v>5763.0556522623983</v>
      </c>
      <c r="D11" s="31">
        <f t="shared" si="1"/>
        <v>-14671.573385288259</v>
      </c>
      <c r="E11" s="31">
        <f t="shared" si="1"/>
        <v>782.95808235542586</v>
      </c>
      <c r="F11" s="31">
        <f t="shared" si="1"/>
        <v>-5311.887100891624</v>
      </c>
      <c r="G11" s="31">
        <f t="shared" si="1"/>
        <v>-3906.6776836875079</v>
      </c>
      <c r="H11" s="31">
        <f t="shared" si="1"/>
        <v>-1079.3599893020912</v>
      </c>
      <c r="I11" s="31">
        <f t="shared" si="1"/>
        <v>-3729.1693166252207</v>
      </c>
      <c r="J11" s="31">
        <f t="shared" si="1"/>
        <v>230.58240115797031</v>
      </c>
      <c r="K11" s="31">
        <f t="shared" si="1"/>
        <v>-5713.7716641725156</v>
      </c>
      <c r="L11" s="31">
        <f t="shared" si="1"/>
        <v>-235.29320475933034</v>
      </c>
      <c r="M11" s="31">
        <f t="shared" si="1"/>
        <v>4332.5844210283649</v>
      </c>
      <c r="N11" s="41"/>
    </row>
    <row r="12" spans="1:14" ht="15" x14ac:dyDescent="0.25">
      <c r="A12" s="65" t="s">
        <v>31</v>
      </c>
      <c r="B12" s="72">
        <f t="shared" ref="B12:M12" si="2">B10+B11</f>
        <v>-56374.405703323901</v>
      </c>
      <c r="C12" s="72">
        <f t="shared" si="2"/>
        <v>-50611.350051061505</v>
      </c>
      <c r="D12" s="72">
        <f t="shared" si="2"/>
        <v>-65282.923436349767</v>
      </c>
      <c r="E12" s="72">
        <f t="shared" si="2"/>
        <v>-64499.965353994339</v>
      </c>
      <c r="F12" s="72">
        <f t="shared" si="2"/>
        <v>-69811.852454885957</v>
      </c>
      <c r="G12" s="72">
        <f t="shared" si="2"/>
        <v>-73718.530138573464</v>
      </c>
      <c r="H12" s="72">
        <f t="shared" si="2"/>
        <v>-74797.890127875551</v>
      </c>
      <c r="I12" s="72">
        <f t="shared" si="2"/>
        <v>-78527.059444500774</v>
      </c>
      <c r="J12" s="72">
        <f t="shared" si="2"/>
        <v>-78296.477043342806</v>
      </c>
      <c r="K12" s="72">
        <f t="shared" si="2"/>
        <v>-84010.248707515319</v>
      </c>
      <c r="L12" s="72">
        <f t="shared" si="2"/>
        <v>-84245.541912274653</v>
      </c>
      <c r="M12" s="98">
        <f t="shared" si="2"/>
        <v>-79912.957491246285</v>
      </c>
      <c r="N12" s="41"/>
    </row>
    <row r="13" spans="1:14" x14ac:dyDescent="0.2">
      <c r="A13" s="6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1"/>
    </row>
    <row r="14" spans="1:14" ht="15" x14ac:dyDescent="0.25">
      <c r="A14" s="44" t="s">
        <v>32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1"/>
    </row>
    <row r="15" spans="1:14" x14ac:dyDescent="0.2">
      <c r="A15" s="79" t="s">
        <v>13</v>
      </c>
      <c r="B15" s="73">
        <v>5.4899999999999997E-2</v>
      </c>
      <c r="C15" s="73">
        <v>5.4899999999999997E-2</v>
      </c>
      <c r="D15" s="73">
        <v>5.4899999999999997E-2</v>
      </c>
      <c r="E15" s="73">
        <v>5.4899999999999997E-2</v>
      </c>
      <c r="F15" s="73">
        <v>5.4899999999999997E-2</v>
      </c>
      <c r="G15" s="73">
        <v>5.4899999999999997E-2</v>
      </c>
      <c r="H15" s="73">
        <v>5.1999999999999998E-2</v>
      </c>
      <c r="I15" s="73">
        <v>5.1999999999999998E-2</v>
      </c>
      <c r="J15" s="73">
        <v>5.1999999999999998E-2</v>
      </c>
      <c r="K15" s="73">
        <v>4.3999999999999997E-2</v>
      </c>
      <c r="L15" s="73">
        <v>4.3999999999999997E-2</v>
      </c>
      <c r="M15" s="73">
        <v>4.3999999999999997E-2</v>
      </c>
      <c r="N15" s="73">
        <f>CIACVA!O16</f>
        <v>3.1550000000000002E-2</v>
      </c>
    </row>
    <row r="16" spans="1:14" x14ac:dyDescent="0.2">
      <c r="A16" s="80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5"/>
    </row>
    <row r="17" spans="1:48" x14ac:dyDescent="0.2">
      <c r="A17" s="79" t="s">
        <v>14</v>
      </c>
      <c r="B17" s="72">
        <v>-5405.1399999999994</v>
      </c>
      <c r="C17" s="72">
        <f t="shared" ref="C17:M17" si="3">B19</f>
        <v>-5617.8074601454564</v>
      </c>
      <c r="D17" s="72">
        <f t="shared" si="3"/>
        <v>-5875.7203662381635</v>
      </c>
      <c r="E17" s="72">
        <f t="shared" si="3"/>
        <v>-6107.26729272177</v>
      </c>
      <c r="F17" s="72">
        <f t="shared" si="3"/>
        <v>-6405.9366674430703</v>
      </c>
      <c r="G17" s="72">
        <f t="shared" si="3"/>
        <v>-6701.0240089375948</v>
      </c>
      <c r="H17" s="72">
        <f t="shared" si="3"/>
        <v>-7020.4132339186981</v>
      </c>
      <c r="I17" s="72">
        <f t="shared" si="3"/>
        <v>-7339.8601978525166</v>
      </c>
      <c r="J17" s="72">
        <f t="shared" si="3"/>
        <v>-7663.984388406644</v>
      </c>
      <c r="K17" s="72">
        <f t="shared" si="3"/>
        <v>-8004.2683126661477</v>
      </c>
      <c r="L17" s="72">
        <f t="shared" si="3"/>
        <v>-8291.3553951584054</v>
      </c>
      <c r="M17" s="72">
        <f t="shared" si="3"/>
        <v>-8599.3929737526287</v>
      </c>
      <c r="N17" s="72">
        <f>M19</f>
        <v>-8908.2932940976352</v>
      </c>
    </row>
    <row r="18" spans="1:48" x14ac:dyDescent="0.2">
      <c r="A18" s="81" t="s">
        <v>15</v>
      </c>
      <c r="B18" s="76">
        <f t="shared" ref="B18:M18" si="4">B10*B15/12</f>
        <v>-212.66746014545706</v>
      </c>
      <c r="C18" s="76">
        <f t="shared" si="4"/>
        <v>-257.91290609270681</v>
      </c>
      <c r="D18" s="76">
        <f t="shared" si="4"/>
        <v>-231.54692648360637</v>
      </c>
      <c r="E18" s="76">
        <f t="shared" si="4"/>
        <v>-298.66937472130019</v>
      </c>
      <c r="F18" s="76">
        <f t="shared" si="4"/>
        <v>-295.08734149452408</v>
      </c>
      <c r="G18" s="76">
        <f t="shared" si="4"/>
        <v>-319.38922498110327</v>
      </c>
      <c r="H18" s="76">
        <f t="shared" si="4"/>
        <v>-319.44696393381832</v>
      </c>
      <c r="I18" s="76">
        <f t="shared" si="4"/>
        <v>-324.12419055412738</v>
      </c>
      <c r="J18" s="76">
        <f t="shared" si="4"/>
        <v>-340.28392425950335</v>
      </c>
      <c r="K18" s="76">
        <f t="shared" si="4"/>
        <v>-287.08708249225691</v>
      </c>
      <c r="L18" s="76">
        <f t="shared" si="4"/>
        <v>-308.03757859422279</v>
      </c>
      <c r="M18" s="76">
        <f t="shared" si="4"/>
        <v>-308.90032034500706</v>
      </c>
      <c r="N18" s="76">
        <f>N15*M12</f>
        <v>-2521.2538088488204</v>
      </c>
    </row>
    <row r="19" spans="1:48" ht="15" x14ac:dyDescent="0.25">
      <c r="A19" s="97" t="s">
        <v>16</v>
      </c>
      <c r="B19" s="74">
        <f t="shared" ref="B19:N19" si="5">B17+B18</f>
        <v>-5617.8074601454564</v>
      </c>
      <c r="C19" s="74">
        <f t="shared" si="5"/>
        <v>-5875.7203662381635</v>
      </c>
      <c r="D19" s="74">
        <f t="shared" si="5"/>
        <v>-6107.26729272177</v>
      </c>
      <c r="E19" s="74">
        <f t="shared" si="5"/>
        <v>-6405.9366674430703</v>
      </c>
      <c r="F19" s="74">
        <f t="shared" si="5"/>
        <v>-6701.0240089375948</v>
      </c>
      <c r="G19" s="74">
        <f t="shared" si="5"/>
        <v>-7020.4132339186981</v>
      </c>
      <c r="H19" s="74">
        <f t="shared" si="5"/>
        <v>-7339.8601978525166</v>
      </c>
      <c r="I19" s="74">
        <f t="shared" si="5"/>
        <v>-7663.984388406644</v>
      </c>
      <c r="J19" s="74">
        <f t="shared" si="5"/>
        <v>-8004.2683126661477</v>
      </c>
      <c r="K19" s="74">
        <f t="shared" si="5"/>
        <v>-8291.3553951584054</v>
      </c>
      <c r="L19" s="74">
        <f t="shared" si="5"/>
        <v>-8599.3929737526287</v>
      </c>
      <c r="M19" s="74">
        <f t="shared" si="5"/>
        <v>-8908.2932940976352</v>
      </c>
      <c r="N19" s="75">
        <f t="shared" si="5"/>
        <v>-11429.547102946455</v>
      </c>
    </row>
    <row r="20" spans="1:48" x14ac:dyDescent="0.2">
      <c r="J20" s="39"/>
      <c r="K20" s="39"/>
      <c r="L20" s="39"/>
      <c r="M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</row>
    <row r="21" spans="1:48" x14ac:dyDescent="0.2">
      <c r="J21" s="39"/>
      <c r="K21" s="39"/>
      <c r="L21" s="39"/>
      <c r="M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</row>
    <row r="22" spans="1:48" customFormat="1" ht="15" x14ac:dyDescent="0.25">
      <c r="A22" s="12" t="s">
        <v>37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48" customFormat="1" ht="45" x14ac:dyDescent="0.25">
      <c r="A23" s="14"/>
      <c r="B23" s="14" t="s">
        <v>36</v>
      </c>
      <c r="C23" s="14" t="s">
        <v>45</v>
      </c>
      <c r="D23" s="14" t="s">
        <v>48</v>
      </c>
      <c r="E23" s="13"/>
      <c r="F23" s="13"/>
      <c r="G23" s="13"/>
      <c r="H23" s="13"/>
      <c r="I23" s="13"/>
      <c r="J23" s="15"/>
      <c r="K23" s="15"/>
      <c r="L23" s="13"/>
    </row>
    <row r="24" spans="1:48" customFormat="1" ht="15" x14ac:dyDescent="0.25">
      <c r="A24" s="51" t="s">
        <v>34</v>
      </c>
      <c r="B24" s="52">
        <f>M12</f>
        <v>-79912.957491246285</v>
      </c>
      <c r="C24" s="52"/>
      <c r="D24" s="52">
        <f>B24+C24</f>
        <v>-79912.957491246285</v>
      </c>
      <c r="E24" s="13"/>
      <c r="F24" s="13"/>
      <c r="G24" s="13"/>
      <c r="H24" s="13"/>
      <c r="I24" s="13"/>
      <c r="J24" s="13"/>
      <c r="K24" s="13"/>
      <c r="L24" s="13"/>
    </row>
    <row r="25" spans="1:48" customFormat="1" ht="15" x14ac:dyDescent="0.25">
      <c r="A25" s="16" t="s">
        <v>35</v>
      </c>
      <c r="B25" s="56">
        <f>M19</f>
        <v>-8908.2932940976352</v>
      </c>
      <c r="C25" s="56">
        <f>N18</f>
        <v>-2521.2538088488204</v>
      </c>
      <c r="D25" s="56">
        <f t="shared" ref="D25:D26" si="6">B25+C25</f>
        <v>-11429.547102946455</v>
      </c>
      <c r="E25" s="13"/>
      <c r="F25" s="13"/>
      <c r="G25" s="13"/>
      <c r="H25" s="13"/>
      <c r="I25" s="21"/>
      <c r="J25" s="21"/>
      <c r="K25" s="13"/>
    </row>
    <row r="26" spans="1:48" customFormat="1" ht="15" x14ac:dyDescent="0.25">
      <c r="A26" s="22" t="s">
        <v>17</v>
      </c>
      <c r="B26" s="53">
        <f>B25+B24</f>
        <v>-88821.250785343917</v>
      </c>
      <c r="C26" s="53">
        <f t="shared" ref="C26" si="7">C25+C24</f>
        <v>-2521.2538088488204</v>
      </c>
      <c r="D26" s="53">
        <f t="shared" si="6"/>
        <v>-91342.504594192738</v>
      </c>
      <c r="E26" s="13"/>
      <c r="F26" s="13"/>
      <c r="G26" s="13"/>
      <c r="H26" s="13"/>
      <c r="I26" s="13"/>
      <c r="J26" s="13"/>
      <c r="K26" s="13"/>
    </row>
    <row r="27" spans="1:48" customFormat="1" ht="15" x14ac:dyDescent="0.25">
      <c r="A27" s="54"/>
      <c r="B27" s="55"/>
      <c r="C27" s="55"/>
      <c r="D27" s="55"/>
      <c r="E27" s="13"/>
      <c r="F27" s="13"/>
      <c r="G27" s="13"/>
      <c r="H27" s="13"/>
      <c r="I27" s="13"/>
      <c r="J27" s="13"/>
      <c r="K27" s="13"/>
    </row>
    <row r="28" spans="1:48" customFormat="1" ht="15" x14ac:dyDescent="0.25">
      <c r="A28" s="12" t="s">
        <v>171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48" customFormat="1" ht="15" x14ac:dyDescent="0.25">
      <c r="A29" s="14"/>
      <c r="B29" s="14" t="s">
        <v>18</v>
      </c>
      <c r="C29" s="14" t="s">
        <v>19</v>
      </c>
      <c r="D29" s="14" t="s">
        <v>25</v>
      </c>
      <c r="E29" s="14" t="s">
        <v>125</v>
      </c>
      <c r="F29" s="14" t="s">
        <v>126</v>
      </c>
      <c r="G29" s="14" t="s">
        <v>127</v>
      </c>
      <c r="H29" s="15"/>
      <c r="I29" s="15"/>
      <c r="J29" s="15"/>
      <c r="K29" s="13"/>
    </row>
    <row r="30" spans="1:48" customFormat="1" ht="16.5" x14ac:dyDescent="0.25">
      <c r="A30" s="16" t="s">
        <v>24</v>
      </c>
      <c r="B30" s="17" t="s">
        <v>27</v>
      </c>
      <c r="C30" s="18">
        <f>SUM(D30:G30)</f>
        <v>175978.03694205056</v>
      </c>
      <c r="D30" s="18">
        <f>'Load Forecast'!G17/1000</f>
        <v>42074.603999999999</v>
      </c>
      <c r="E30" s="18">
        <f>'Load Forecast'!G18/1000</f>
        <v>11962.778817165592</v>
      </c>
      <c r="F30" s="18">
        <f>'Load Forecast'!G19/1000</f>
        <v>5041.1411248849672</v>
      </c>
      <c r="G30" s="18">
        <f>'Load Forecast'!G20/1000</f>
        <v>116899.51300000001</v>
      </c>
      <c r="H30" s="13"/>
      <c r="I30" s="13"/>
      <c r="J30" s="13"/>
      <c r="K30" s="13"/>
    </row>
    <row r="31" spans="1:48" customFormat="1" ht="15" x14ac:dyDescent="0.25">
      <c r="A31" s="16" t="s">
        <v>22</v>
      </c>
      <c r="B31" s="19" t="s">
        <v>20</v>
      </c>
      <c r="C31" s="20">
        <f>SUM(D31:G31)</f>
        <v>1</v>
      </c>
      <c r="D31" s="20">
        <f>D30/$C$30</f>
        <v>0.23909008607622517</v>
      </c>
      <c r="E31" s="20">
        <f t="shared" ref="E31:G31" si="8">E30/$C$30</f>
        <v>6.7978817271981087E-2</v>
      </c>
      <c r="F31" s="20">
        <f t="shared" si="8"/>
        <v>2.8646422090416949E-2</v>
      </c>
      <c r="G31" s="20">
        <f t="shared" si="8"/>
        <v>0.66428467456137685</v>
      </c>
      <c r="H31" s="21"/>
      <c r="I31" s="21"/>
      <c r="J31" s="21"/>
      <c r="K31" s="13"/>
    </row>
    <row r="32" spans="1:48" customFormat="1" ht="15" x14ac:dyDescent="0.25">
      <c r="A32" s="22" t="s">
        <v>17</v>
      </c>
      <c r="B32" s="23" t="s">
        <v>21</v>
      </c>
      <c r="C32" s="24">
        <f>SUM(D32:G32)</f>
        <v>-91342.504594192753</v>
      </c>
      <c r="D32" s="24">
        <f>D31*($D$26)</f>
        <v>-21839.087285843536</v>
      </c>
      <c r="E32" s="24">
        <f t="shared" ref="E32:G32" si="9">E31*($D$26)</f>
        <v>-6209.3554289737212</v>
      </c>
      <c r="F32" s="24">
        <f t="shared" si="9"/>
        <v>-2616.6359414010944</v>
      </c>
      <c r="G32" s="24">
        <f t="shared" si="9"/>
        <v>-60677.425937974396</v>
      </c>
      <c r="H32" s="13"/>
      <c r="I32" s="13"/>
      <c r="J32" s="13"/>
      <c r="K32" s="13"/>
    </row>
    <row r="33" spans="1:11" customFormat="1" ht="1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customFormat="1" ht="15" x14ac:dyDescent="0.25">
      <c r="A34" s="12" t="s">
        <v>149</v>
      </c>
      <c r="B34" s="13"/>
      <c r="C34" s="13"/>
      <c r="D34" s="13"/>
      <c r="E34" s="13"/>
      <c r="F34" s="13"/>
      <c r="G34" s="13"/>
    </row>
    <row r="35" spans="1:11" customFormat="1" ht="15" x14ac:dyDescent="0.25">
      <c r="A35" s="14"/>
      <c r="B35" s="14" t="s">
        <v>18</v>
      </c>
      <c r="C35" s="14" t="s">
        <v>19</v>
      </c>
      <c r="D35" s="14" t="s">
        <v>25</v>
      </c>
      <c r="E35" s="14" t="s">
        <v>125</v>
      </c>
      <c r="F35" s="14" t="s">
        <v>126</v>
      </c>
      <c r="G35" s="14" t="s">
        <v>18</v>
      </c>
      <c r="H35" s="14" t="s">
        <v>127</v>
      </c>
    </row>
    <row r="36" spans="1:11" customFormat="1" ht="16.5" x14ac:dyDescent="0.25">
      <c r="A36" s="16" t="s">
        <v>24</v>
      </c>
      <c r="B36" s="17" t="s">
        <v>27</v>
      </c>
      <c r="C36" s="113">
        <f>SUM(D36:F36)</f>
        <v>13162.189329134679</v>
      </c>
      <c r="D36" s="113">
        <f>'Load Forecast'!A7</f>
        <v>8867.7068751897095</v>
      </c>
      <c r="E36" s="113">
        <f>'Load Forecast'!B7</f>
        <v>2468.20098836847</v>
      </c>
      <c r="F36" s="113">
        <f>'Load Forecast'!C7</f>
        <v>1826.2814655764998</v>
      </c>
      <c r="G36" s="17" t="s">
        <v>130</v>
      </c>
      <c r="H36" s="113">
        <f>'Load Forecast'!D7</f>
        <v>95824</v>
      </c>
    </row>
    <row r="37" spans="1:11" customFormat="1" ht="15" x14ac:dyDescent="0.25">
      <c r="A37" s="16" t="s">
        <v>22</v>
      </c>
      <c r="B37" s="114" t="s">
        <v>20</v>
      </c>
      <c r="C37" s="115">
        <f>SUM(D37:H37)</f>
        <v>1</v>
      </c>
      <c r="D37" s="116">
        <f>D31</f>
        <v>0.23909008607622517</v>
      </c>
      <c r="E37" s="116">
        <f t="shared" ref="E37:F37" si="10">E31</f>
        <v>6.7978817271981087E-2</v>
      </c>
      <c r="F37" s="116">
        <f t="shared" si="10"/>
        <v>2.8646422090416949E-2</v>
      </c>
      <c r="G37" s="114" t="s">
        <v>20</v>
      </c>
      <c r="H37" s="116">
        <f>G31</f>
        <v>0.66428467456137685</v>
      </c>
    </row>
    <row r="38" spans="1:11" customFormat="1" ht="15" x14ac:dyDescent="0.25">
      <c r="A38" s="26" t="s">
        <v>17</v>
      </c>
      <c r="B38" s="27" t="s">
        <v>21</v>
      </c>
      <c r="C38" s="117">
        <f>SUM(D38:H38)</f>
        <v>-91342.368640218367</v>
      </c>
      <c r="D38" s="118">
        <f>D36*D39*10</f>
        <v>-21839.08728584354</v>
      </c>
      <c r="E38" s="118">
        <f t="shared" ref="E38:F38" si="11">E36*E39*10</f>
        <v>-6209.3554289737212</v>
      </c>
      <c r="F38" s="118">
        <f t="shared" si="11"/>
        <v>-2616.6359414010949</v>
      </c>
      <c r="G38" s="27" t="s">
        <v>21</v>
      </c>
      <c r="H38" s="118">
        <f>H36*H39/100*12</f>
        <v>-60677.289984000003</v>
      </c>
    </row>
    <row r="39" spans="1:11" customFormat="1" ht="17.25" x14ac:dyDescent="0.25">
      <c r="A39" s="22" t="s">
        <v>23</v>
      </c>
      <c r="B39" s="23" t="s">
        <v>28</v>
      </c>
      <c r="C39" s="29"/>
      <c r="D39" s="29">
        <f>D32/D36/10</f>
        <v>-0.24627660333412099</v>
      </c>
      <c r="E39" s="29">
        <f t="shared" ref="E39:F39" si="12">E32/E36/10</f>
        <v>-0.25157414077036849</v>
      </c>
      <c r="F39" s="29">
        <f t="shared" si="12"/>
        <v>-0.14327670683418475</v>
      </c>
      <c r="G39" s="23" t="s">
        <v>131</v>
      </c>
      <c r="H39" s="29">
        <f>ROUND(G32/H36*100/12,4)</f>
        <v>-5.2767999999999997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63" fitToWidth="3" orientation="landscape" r:id="rId1"/>
  <rowBreaks count="1" manualBreakCount="1">
    <brk id="6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55C1-80FE-417F-AF56-5F50CD6AFF18}">
  <sheetPr>
    <pageSetUpPr fitToPage="1"/>
  </sheetPr>
  <dimension ref="A1:AB73"/>
  <sheetViews>
    <sheetView showGridLines="0" zoomScale="80" zoomScaleNormal="80" zoomScaleSheetLayoutView="85" workbookViewId="0">
      <selection activeCell="L36" sqref="L36"/>
    </sheetView>
  </sheetViews>
  <sheetFormatPr defaultColWidth="12.5703125" defaultRowHeight="15" x14ac:dyDescent="0.25"/>
  <cols>
    <col min="1" max="1" width="37.85546875" customWidth="1"/>
    <col min="2" max="4" width="13" bestFit="1" customWidth="1"/>
    <col min="5" max="5" width="14.42578125" bestFit="1" customWidth="1"/>
    <col min="6" max="13" width="13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tr">
        <f>ECVA!A2</f>
        <v>EB-2025-0178</v>
      </c>
    </row>
    <row r="3" spans="1:15" s="2" customFormat="1" x14ac:dyDescent="0.25">
      <c r="A3" s="2" t="s">
        <v>120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109</v>
      </c>
      <c r="B8" s="83">
        <v>7177.07</v>
      </c>
      <c r="C8" s="83">
        <v>7183.8799999999992</v>
      </c>
      <c r="D8" s="83">
        <v>7186.96</v>
      </c>
      <c r="E8" s="83">
        <v>7184.94</v>
      </c>
      <c r="F8" s="83">
        <v>7211.49</v>
      </c>
      <c r="G8" s="83">
        <v>7136.97</v>
      </c>
      <c r="H8" s="83">
        <v>7123.09</v>
      </c>
      <c r="I8" s="83">
        <v>7155.92</v>
      </c>
      <c r="J8" s="83">
        <v>7155.51</v>
      </c>
      <c r="K8" s="83">
        <v>7083.33</v>
      </c>
      <c r="L8" s="83">
        <v>7112.13</v>
      </c>
      <c r="M8" s="83">
        <v>7197.33</v>
      </c>
      <c r="O8" s="8"/>
    </row>
    <row r="9" spans="1:15" x14ac:dyDescent="0.25">
      <c r="A9" s="7" t="s">
        <v>110</v>
      </c>
      <c r="B9" s="83">
        <v>25381.135802214903</v>
      </c>
      <c r="C9" s="83">
        <v>25361.394895995603</v>
      </c>
      <c r="D9" s="83">
        <v>30372.700063215598</v>
      </c>
      <c r="E9" s="83">
        <v>39962.646098203622</v>
      </c>
      <c r="F9" s="83">
        <v>25196.032318655329</v>
      </c>
      <c r="G9" s="83">
        <v>25057.427655228465</v>
      </c>
      <c r="H9" s="83">
        <v>25176.834213617312</v>
      </c>
      <c r="I9" s="83">
        <v>25139.521332909171</v>
      </c>
      <c r="J9" s="83">
        <v>25150.576407314999</v>
      </c>
      <c r="K9" s="83">
        <v>26058.968804305801</v>
      </c>
      <c r="L9" s="83">
        <v>25943.481657333181</v>
      </c>
      <c r="M9" s="83">
        <v>26185.937798967374</v>
      </c>
      <c r="O9" s="8"/>
    </row>
    <row r="10" spans="1:15" x14ac:dyDescent="0.25">
      <c r="A10" s="7" t="s">
        <v>183</v>
      </c>
      <c r="B10" s="83">
        <v>2059.4130712279803</v>
      </c>
      <c r="C10" s="83">
        <v>1650.6448812866988</v>
      </c>
      <c r="D10" s="83">
        <v>1444.3142711258613</v>
      </c>
      <c r="E10" s="83">
        <v>287.38943068675002</v>
      </c>
      <c r="F10" s="83">
        <v>121.47388307378094</v>
      </c>
      <c r="G10" s="83">
        <v>88.883329078376306</v>
      </c>
      <c r="H10" s="83">
        <v>94.177845996418512</v>
      </c>
      <c r="I10" s="83">
        <v>114.35881299565106</v>
      </c>
      <c r="J10" s="83">
        <v>100.90483499616269</v>
      </c>
      <c r="K10" s="83">
        <v>641.65126630851876</v>
      </c>
      <c r="L10" s="83">
        <v>1196.087797390637</v>
      </c>
      <c r="M10" s="83">
        <v>1847.08349961627</v>
      </c>
      <c r="O10" s="8"/>
    </row>
    <row r="11" spans="1:15" x14ac:dyDescent="0.25">
      <c r="A11" s="7" t="s">
        <v>182</v>
      </c>
      <c r="B11" s="83">
        <v>5927.4113854431998</v>
      </c>
      <c r="C11" s="83">
        <v>5485.949497476</v>
      </c>
      <c r="D11" s="83">
        <v>5216.9199048201863</v>
      </c>
      <c r="E11" s="83">
        <v>4471.4782019863997</v>
      </c>
      <c r="F11" s="83">
        <v>3830.4385929367991</v>
      </c>
      <c r="G11" s="83">
        <v>3622.6326372623998</v>
      </c>
      <c r="H11" s="83">
        <v>3698.6183518600001</v>
      </c>
      <c r="I11" s="83">
        <v>3775.5308586407996</v>
      </c>
      <c r="J11" s="83">
        <v>3798.8676041527997</v>
      </c>
      <c r="K11" s="83">
        <v>5603.2282810048</v>
      </c>
      <c r="L11" s="83">
        <v>5335.6665205855998</v>
      </c>
      <c r="M11" s="83">
        <v>6189.4968019488006</v>
      </c>
      <c r="O11" s="8"/>
    </row>
    <row r="12" spans="1:15" x14ac:dyDescent="0.25">
      <c r="A12" s="7" t="s">
        <v>112</v>
      </c>
      <c r="B12" s="83">
        <v>15750.25</v>
      </c>
      <c r="C12" s="83">
        <v>15750.25</v>
      </c>
      <c r="D12" s="83">
        <v>15750.25</v>
      </c>
      <c r="E12" s="83">
        <v>15750.25</v>
      </c>
      <c r="F12" s="83">
        <v>15750.25</v>
      </c>
      <c r="G12" s="83">
        <v>15750.25</v>
      </c>
      <c r="H12" s="83">
        <v>15750.25</v>
      </c>
      <c r="I12" s="83">
        <v>15750.25</v>
      </c>
      <c r="J12" s="83">
        <v>15750.25</v>
      </c>
      <c r="K12" s="83">
        <v>15750.25</v>
      </c>
      <c r="L12" s="83">
        <v>15750.25</v>
      </c>
      <c r="M12" s="83">
        <v>15750.25</v>
      </c>
      <c r="O12" s="8"/>
    </row>
    <row r="13" spans="1:15" x14ac:dyDescent="0.25">
      <c r="A13" s="7" t="s">
        <v>113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13603.79</v>
      </c>
      <c r="L13" s="83">
        <v>77424.139684399997</v>
      </c>
      <c r="M13" s="83">
        <v>36305.248688</v>
      </c>
      <c r="O13" s="8"/>
    </row>
    <row r="14" spans="1:15" x14ac:dyDescent="0.25">
      <c r="A14" s="7" t="s">
        <v>114</v>
      </c>
      <c r="B14" s="31">
        <v>19163.045050862296</v>
      </c>
      <c r="C14" s="31">
        <v>19163.045050862296</v>
      </c>
      <c r="D14" s="31">
        <v>19163.045050862296</v>
      </c>
      <c r="E14" s="31">
        <v>19163.045050862296</v>
      </c>
      <c r="F14" s="31">
        <v>19163.045050862296</v>
      </c>
      <c r="G14" s="31">
        <v>19163.045050862296</v>
      </c>
      <c r="H14" s="31">
        <v>19163.045050862296</v>
      </c>
      <c r="I14" s="31">
        <v>19163.045050862296</v>
      </c>
      <c r="J14" s="31">
        <v>19163.045050862296</v>
      </c>
      <c r="K14" s="31">
        <v>19163.045050862296</v>
      </c>
      <c r="L14" s="31">
        <v>19163.045050862296</v>
      </c>
      <c r="M14" s="31">
        <v>19163.045050862296</v>
      </c>
      <c r="O14" s="8"/>
    </row>
    <row r="15" spans="1:15" x14ac:dyDescent="0.25">
      <c r="A15" s="7" t="s">
        <v>115</v>
      </c>
      <c r="B15" s="83">
        <f>SUM(B8:B14)</f>
        <v>75458.325309748383</v>
      </c>
      <c r="C15" s="83">
        <f t="shared" ref="C15:M15" si="0">SUM(C8:C14)</f>
        <v>74595.164325620601</v>
      </c>
      <c r="D15" s="83">
        <f t="shared" si="0"/>
        <v>79134.189290023933</v>
      </c>
      <c r="E15" s="83">
        <f t="shared" si="0"/>
        <v>86819.748781739065</v>
      </c>
      <c r="F15" s="83">
        <f t="shared" si="0"/>
        <v>71272.7298455282</v>
      </c>
      <c r="G15" s="83">
        <f t="shared" si="0"/>
        <v>70819.20867243153</v>
      </c>
      <c r="H15" s="83">
        <f t="shared" si="0"/>
        <v>71006.015462336029</v>
      </c>
      <c r="I15" s="83">
        <f t="shared" si="0"/>
        <v>71098.62605540792</v>
      </c>
      <c r="J15" s="83">
        <f t="shared" si="0"/>
        <v>71119.153897326265</v>
      </c>
      <c r="K15" s="83">
        <f t="shared" si="0"/>
        <v>87904.263402481418</v>
      </c>
      <c r="L15" s="83">
        <f t="shared" si="0"/>
        <v>151924.80071057173</v>
      </c>
      <c r="M15" s="83">
        <f t="shared" si="0"/>
        <v>112638.39183939475</v>
      </c>
      <c r="O15" s="8"/>
    </row>
    <row r="16" spans="1:15" x14ac:dyDescent="0.25">
      <c r="A16" s="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O16" s="8"/>
    </row>
    <row r="17" spans="1:28" x14ac:dyDescent="0.25">
      <c r="A17" s="7" t="s">
        <v>118</v>
      </c>
      <c r="B17" s="83">
        <v>-41233</v>
      </c>
      <c r="C17" s="83">
        <v>-54349</v>
      </c>
      <c r="D17" s="83">
        <v>-43007</v>
      </c>
      <c r="E17" s="83">
        <v>-41547.169999999933</v>
      </c>
      <c r="F17" s="83">
        <v>-22558.370000000003</v>
      </c>
      <c r="G17" s="83">
        <v>-10908.41999999994</v>
      </c>
      <c r="H17" s="83">
        <v>-5653.2800000000307</v>
      </c>
      <c r="I17" s="83">
        <v>-6089.9400000000051</v>
      </c>
      <c r="J17" s="83">
        <v>-5916.810000000014</v>
      </c>
      <c r="K17" s="83">
        <v>-5474.8800000000083</v>
      </c>
      <c r="L17" s="83">
        <v>-32388.879999999979</v>
      </c>
      <c r="M17" s="83">
        <v>-36154.1499999999</v>
      </c>
      <c r="O17" s="8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1:28" x14ac:dyDescent="0.25">
      <c r="A18" s="7" t="s">
        <v>119</v>
      </c>
      <c r="B18" s="31">
        <v>-19114</v>
      </c>
      <c r="C18" s="31">
        <v>-29035</v>
      </c>
      <c r="D18" s="31">
        <v>-23034</v>
      </c>
      <c r="E18" s="31">
        <v>-22267.999999999967</v>
      </c>
      <c r="F18" s="31">
        <v>-12084.819999999636</v>
      </c>
      <c r="G18" s="31">
        <v>-5831.4699999998793</v>
      </c>
      <c r="H18" s="31">
        <v>-3032.3599999999601</v>
      </c>
      <c r="I18" s="31">
        <v>-2755.4299999999771</v>
      </c>
      <c r="J18" s="31">
        <v>-3062.9899999999684</v>
      </c>
      <c r="K18" s="31">
        <v>-2796.0199999999654</v>
      </c>
      <c r="L18" s="31">
        <v>-8708.3799999997937</v>
      </c>
      <c r="M18" s="31">
        <v>-17583.319999999851</v>
      </c>
      <c r="O18" s="8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</row>
    <row r="19" spans="1:28" s="78" customFormat="1" x14ac:dyDescent="0.25">
      <c r="A19" s="42" t="s">
        <v>91</v>
      </c>
      <c r="B19" s="10">
        <f>B15+B17+B18</f>
        <v>15111.325309748383</v>
      </c>
      <c r="C19" s="10">
        <f t="shared" ref="C19:M19" si="1">C15+C17+C18</f>
        <v>-8788.8356743793993</v>
      </c>
      <c r="D19" s="10">
        <f t="shared" si="1"/>
        <v>13093.189290023933</v>
      </c>
      <c r="E19" s="10">
        <f t="shared" si="1"/>
        <v>23004.578781739165</v>
      </c>
      <c r="F19" s="10">
        <f t="shared" si="1"/>
        <v>36629.539845528561</v>
      </c>
      <c r="G19" s="10">
        <f t="shared" si="1"/>
        <v>54079.318672431713</v>
      </c>
      <c r="H19" s="10">
        <f t="shared" si="1"/>
        <v>62320.375462336044</v>
      </c>
      <c r="I19" s="10">
        <f t="shared" si="1"/>
        <v>62253.256055407939</v>
      </c>
      <c r="J19" s="10">
        <f t="shared" si="1"/>
        <v>62139.353897326284</v>
      </c>
      <c r="K19" s="10">
        <f t="shared" si="1"/>
        <v>79633.363402481453</v>
      </c>
      <c r="L19" s="10">
        <f t="shared" si="1"/>
        <v>110827.54071057195</v>
      </c>
      <c r="M19" s="10">
        <f t="shared" si="1"/>
        <v>58900.921839395</v>
      </c>
      <c r="O19" s="84"/>
    </row>
    <row r="20" spans="1:28" x14ac:dyDescent="0.25">
      <c r="A20" s="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O20" s="8"/>
    </row>
    <row r="21" spans="1:28" x14ac:dyDescent="0.25">
      <c r="A21" s="7" t="s">
        <v>121</v>
      </c>
      <c r="B21" s="32">
        <v>2735310</v>
      </c>
      <c r="C21" s="32">
        <f>B23</f>
        <v>2750421.3253097483</v>
      </c>
      <c r="D21" s="32">
        <f t="shared" ref="D21:M21" si="2">C23</f>
        <v>2741632.4896353688</v>
      </c>
      <c r="E21" s="32">
        <f t="shared" si="2"/>
        <v>2754725.6789253927</v>
      </c>
      <c r="F21" s="32">
        <f t="shared" si="2"/>
        <v>2777730.257707132</v>
      </c>
      <c r="G21" s="32">
        <f t="shared" si="2"/>
        <v>2814359.7975526606</v>
      </c>
      <c r="H21" s="32">
        <f t="shared" si="2"/>
        <v>2868439.1162250922</v>
      </c>
      <c r="I21" s="32">
        <f t="shared" si="2"/>
        <v>2930759.4916874282</v>
      </c>
      <c r="J21" s="32">
        <f>I23</f>
        <v>2993012.7477428364</v>
      </c>
      <c r="K21" s="32">
        <f t="shared" si="2"/>
        <v>3055152.1016401625</v>
      </c>
      <c r="L21" s="32">
        <f t="shared" si="2"/>
        <v>3134785.4650426442</v>
      </c>
      <c r="M21" s="32">
        <f t="shared" si="2"/>
        <v>3245613.0057532163</v>
      </c>
      <c r="N21" s="1"/>
      <c r="O21" s="10"/>
    </row>
    <row r="22" spans="1:28" x14ac:dyDescent="0.25">
      <c r="A22" s="7" t="s">
        <v>122</v>
      </c>
      <c r="B22" s="31">
        <f>B19</f>
        <v>15111.325309748383</v>
      </c>
      <c r="C22" s="31">
        <f t="shared" ref="C22:M22" si="3">C19</f>
        <v>-8788.8356743793993</v>
      </c>
      <c r="D22" s="31">
        <f t="shared" si="3"/>
        <v>13093.189290023933</v>
      </c>
      <c r="E22" s="31">
        <f t="shared" si="3"/>
        <v>23004.578781739165</v>
      </c>
      <c r="F22" s="31">
        <f t="shared" si="3"/>
        <v>36629.539845528561</v>
      </c>
      <c r="G22" s="31">
        <f t="shared" si="3"/>
        <v>54079.318672431713</v>
      </c>
      <c r="H22" s="31">
        <f t="shared" si="3"/>
        <v>62320.375462336044</v>
      </c>
      <c r="I22" s="31">
        <f t="shared" si="3"/>
        <v>62253.256055407939</v>
      </c>
      <c r="J22" s="31">
        <f t="shared" si="3"/>
        <v>62139.353897326284</v>
      </c>
      <c r="K22" s="31">
        <f t="shared" si="3"/>
        <v>79633.363402481453</v>
      </c>
      <c r="L22" s="31">
        <f t="shared" si="3"/>
        <v>110827.54071057195</v>
      </c>
      <c r="M22" s="31">
        <f t="shared" si="3"/>
        <v>58900.921839395</v>
      </c>
      <c r="N22" s="1"/>
      <c r="O22" s="10"/>
    </row>
    <row r="23" spans="1:28" s="78" customFormat="1" x14ac:dyDescent="0.25">
      <c r="A23" s="42" t="s">
        <v>123</v>
      </c>
      <c r="B23" s="10">
        <f>SUM(B21:B22)</f>
        <v>2750421.3253097483</v>
      </c>
      <c r="C23" s="10">
        <f t="shared" ref="C23:M23" si="4">SUM(C21:C22)</f>
        <v>2741632.4896353688</v>
      </c>
      <c r="D23" s="10">
        <f t="shared" si="4"/>
        <v>2754725.6789253927</v>
      </c>
      <c r="E23" s="10">
        <f t="shared" si="4"/>
        <v>2777730.257707132</v>
      </c>
      <c r="F23" s="10">
        <f t="shared" si="4"/>
        <v>2814359.7975526606</v>
      </c>
      <c r="G23" s="10">
        <f t="shared" si="4"/>
        <v>2868439.1162250922</v>
      </c>
      <c r="H23" s="10">
        <f t="shared" si="4"/>
        <v>2930759.4916874282</v>
      </c>
      <c r="I23" s="10">
        <f t="shared" si="4"/>
        <v>2993012.7477428364</v>
      </c>
      <c r="J23" s="10">
        <f t="shared" si="4"/>
        <v>3055152.1016401625</v>
      </c>
      <c r="K23" s="10">
        <f t="shared" si="4"/>
        <v>3134785.4650426442</v>
      </c>
      <c r="L23" s="10">
        <f t="shared" si="4"/>
        <v>3245613.0057532163</v>
      </c>
      <c r="M23" s="10">
        <f t="shared" si="4"/>
        <v>3304513.9275926114</v>
      </c>
      <c r="N23" s="85"/>
      <c r="O23" s="10"/>
    </row>
    <row r="24" spans="1:28" x14ac:dyDescent="0.25">
      <c r="A24" s="7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"/>
      <c r="O24" s="10"/>
    </row>
    <row r="25" spans="1:28" x14ac:dyDescent="0.25">
      <c r="A25" s="7" t="s">
        <v>13</v>
      </c>
      <c r="B25" s="73">
        <v>3.7199999999999997E-2</v>
      </c>
      <c r="C25" s="73">
        <v>3.7199999999999997E-2</v>
      </c>
      <c r="D25" s="73">
        <v>3.7199999999999997E-2</v>
      </c>
      <c r="E25" s="73">
        <v>3.7199999999999997E-2</v>
      </c>
      <c r="F25" s="73">
        <v>3.7199999999999997E-2</v>
      </c>
      <c r="G25" s="73">
        <v>3.7199999999999997E-2</v>
      </c>
      <c r="H25" s="73">
        <v>3.7199999999999997E-2</v>
      </c>
      <c r="I25" s="73">
        <v>3.7199999999999997E-2</v>
      </c>
      <c r="J25" s="73">
        <v>3.7199999999999997E-2</v>
      </c>
      <c r="K25" s="73">
        <v>3.7199999999999997E-2</v>
      </c>
      <c r="L25" s="73">
        <v>3.7199999999999997E-2</v>
      </c>
      <c r="M25" s="73">
        <v>3.7199999999999997E-2</v>
      </c>
      <c r="N25" s="73">
        <v>3.7199999999999997E-2</v>
      </c>
      <c r="O25" s="34">
        <f>M25</f>
        <v>3.7199999999999997E-2</v>
      </c>
    </row>
    <row r="26" spans="1:28" x14ac:dyDescent="0.25">
      <c r="A26" s="7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0"/>
    </row>
    <row r="27" spans="1:28" x14ac:dyDescent="0.25">
      <c r="A27" s="7" t="s">
        <v>14</v>
      </c>
      <c r="B27" s="32">
        <v>202399</v>
      </c>
      <c r="C27" s="32">
        <f>B29</f>
        <v>210878.46100000001</v>
      </c>
      <c r="D27" s="32">
        <f t="shared" ref="D27:M27" si="5">C29</f>
        <v>219404.76710846022</v>
      </c>
      <c r="E27" s="32">
        <f t="shared" si="5"/>
        <v>227903.82782632986</v>
      </c>
      <c r="F27" s="32">
        <f t="shared" si="5"/>
        <v>236443.47743099858</v>
      </c>
      <c r="G27" s="32">
        <f t="shared" si="5"/>
        <v>245054.44122989068</v>
      </c>
      <c r="H27" s="32">
        <f t="shared" si="5"/>
        <v>253778.95660230392</v>
      </c>
      <c r="I27" s="32">
        <f t="shared" si="5"/>
        <v>262671.11786260171</v>
      </c>
      <c r="J27" s="32">
        <f t="shared" si="5"/>
        <v>271756.47228683275</v>
      </c>
      <c r="K27" s="32">
        <f t="shared" si="5"/>
        <v>281034.81180483557</v>
      </c>
      <c r="L27" s="32">
        <f t="shared" si="5"/>
        <v>290505.78331992007</v>
      </c>
      <c r="M27" s="32">
        <f t="shared" si="5"/>
        <v>300223.61826155224</v>
      </c>
      <c r="N27" s="1"/>
      <c r="O27" s="32">
        <f t="shared" ref="O27" si="6">M29</f>
        <v>310285.01857938722</v>
      </c>
    </row>
    <row r="28" spans="1:28" x14ac:dyDescent="0.25">
      <c r="A28" s="7" t="s">
        <v>15</v>
      </c>
      <c r="B28" s="31">
        <f>B21*B25/12</f>
        <v>8479.4609999999993</v>
      </c>
      <c r="C28" s="31">
        <f t="shared" ref="C28:N28" si="7">C21*C25/12</f>
        <v>8526.3061084602195</v>
      </c>
      <c r="D28" s="31">
        <f t="shared" si="7"/>
        <v>8499.0607178696428</v>
      </c>
      <c r="E28" s="31">
        <f t="shared" si="7"/>
        <v>8539.6496046687171</v>
      </c>
      <c r="F28" s="31">
        <f t="shared" si="7"/>
        <v>8610.9637988921077</v>
      </c>
      <c r="G28" s="31">
        <f t="shared" si="7"/>
        <v>8724.515372413247</v>
      </c>
      <c r="H28" s="31">
        <f t="shared" si="7"/>
        <v>8892.1612602977857</v>
      </c>
      <c r="I28" s="31">
        <f t="shared" si="7"/>
        <v>9085.3544242310272</v>
      </c>
      <c r="J28" s="31">
        <f t="shared" si="7"/>
        <v>9278.3395180027928</v>
      </c>
      <c r="K28" s="31">
        <f t="shared" si="7"/>
        <v>9470.9715150845022</v>
      </c>
      <c r="L28" s="31">
        <f t="shared" si="7"/>
        <v>9717.8349416321962</v>
      </c>
      <c r="M28" s="31">
        <f t="shared" si="7"/>
        <v>10061.40031783497</v>
      </c>
      <c r="N28" s="31">
        <f t="shared" si="7"/>
        <v>0</v>
      </c>
      <c r="O28" s="31">
        <f>M23*O25</f>
        <v>122927.91810644514</v>
      </c>
    </row>
    <row r="29" spans="1:28" x14ac:dyDescent="0.25">
      <c r="A29" s="33" t="s">
        <v>16</v>
      </c>
      <c r="B29" s="11">
        <f>SUM(B27:B28)</f>
        <v>210878.46100000001</v>
      </c>
      <c r="C29" s="11">
        <f t="shared" ref="C29:M29" si="8">SUM(C27:C28)</f>
        <v>219404.76710846022</v>
      </c>
      <c r="D29" s="11">
        <f t="shared" si="8"/>
        <v>227903.82782632986</v>
      </c>
      <c r="E29" s="11">
        <f t="shared" si="8"/>
        <v>236443.47743099858</v>
      </c>
      <c r="F29" s="11">
        <f t="shared" si="8"/>
        <v>245054.44122989068</v>
      </c>
      <c r="G29" s="11">
        <f t="shared" si="8"/>
        <v>253778.95660230392</v>
      </c>
      <c r="H29" s="11">
        <f t="shared" si="8"/>
        <v>262671.11786260171</v>
      </c>
      <c r="I29" s="11">
        <f t="shared" si="8"/>
        <v>271756.47228683275</v>
      </c>
      <c r="J29" s="11">
        <f t="shared" si="8"/>
        <v>281034.81180483557</v>
      </c>
      <c r="K29" s="11">
        <f t="shared" si="8"/>
        <v>290505.78331992007</v>
      </c>
      <c r="L29" s="11">
        <f t="shared" si="8"/>
        <v>300223.61826155224</v>
      </c>
      <c r="M29" s="11">
        <f t="shared" si="8"/>
        <v>310285.01857938722</v>
      </c>
      <c r="N29" s="1"/>
      <c r="O29" s="11">
        <f>SUM(O27:O28)</f>
        <v>433212.93668583233</v>
      </c>
    </row>
    <row r="30" spans="1:28" x14ac:dyDescent="0.25">
      <c r="A30" s="2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O30" s="30"/>
    </row>
    <row r="31" spans="1:28" x14ac:dyDescent="0.25">
      <c r="E31" s="13"/>
      <c r="F31" s="13"/>
      <c r="G31" s="13"/>
      <c r="H31" s="13"/>
      <c r="I31" s="13"/>
    </row>
    <row r="32" spans="1:28" x14ac:dyDescent="0.25">
      <c r="A32" s="12" t="s">
        <v>124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45" x14ac:dyDescent="0.25">
      <c r="A33" s="14"/>
      <c r="B33" s="14" t="s">
        <v>36</v>
      </c>
      <c r="C33" s="14" t="s">
        <v>45</v>
      </c>
      <c r="D33" s="14" t="s">
        <v>48</v>
      </c>
      <c r="E33" s="13"/>
      <c r="F33" s="13"/>
      <c r="G33" s="13"/>
      <c r="H33" s="13"/>
      <c r="I33" s="13"/>
      <c r="J33" s="15"/>
      <c r="K33" s="15"/>
      <c r="L33" s="13"/>
    </row>
    <row r="34" spans="1:12" x14ac:dyDescent="0.25">
      <c r="A34" s="51" t="s">
        <v>34</v>
      </c>
      <c r="B34" s="52">
        <f>M23</f>
        <v>3304513.9275926114</v>
      </c>
      <c r="C34" s="52"/>
      <c r="D34" s="52">
        <f>B34+C34</f>
        <v>3304513.9275926114</v>
      </c>
      <c r="E34" s="13"/>
      <c r="F34" s="13"/>
      <c r="G34" s="13"/>
      <c r="H34" s="13"/>
      <c r="I34" s="13"/>
      <c r="J34" s="13"/>
      <c r="K34" s="13"/>
      <c r="L34" s="13"/>
    </row>
    <row r="35" spans="1:12" x14ac:dyDescent="0.25">
      <c r="A35" s="16" t="s">
        <v>35</v>
      </c>
      <c r="B35" s="56">
        <f>M29</f>
        <v>310285.01857938722</v>
      </c>
      <c r="C35" s="56">
        <f>O28</f>
        <v>122927.91810644514</v>
      </c>
      <c r="D35" s="56">
        <f t="shared" ref="D35:D36" si="9">B35+C35</f>
        <v>433212.93668583233</v>
      </c>
      <c r="E35" s="13"/>
      <c r="F35" s="13"/>
      <c r="G35" s="13"/>
      <c r="H35" s="13"/>
      <c r="I35" s="13"/>
      <c r="J35" s="21"/>
      <c r="K35" s="21"/>
      <c r="L35" s="13"/>
    </row>
    <row r="36" spans="1:12" x14ac:dyDescent="0.25">
      <c r="A36" s="22" t="s">
        <v>17</v>
      </c>
      <c r="B36" s="53">
        <f>B35+B34</f>
        <v>3614798.9461719985</v>
      </c>
      <c r="C36" s="53">
        <f t="shared" ref="C36" si="10">C35+C34</f>
        <v>122927.91810644514</v>
      </c>
      <c r="D36" s="53">
        <f t="shared" si="9"/>
        <v>3737726.8642784436</v>
      </c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9" spans="1:12" x14ac:dyDescent="0.25">
      <c r="A39" s="12" t="s">
        <v>170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2" x14ac:dyDescent="0.25">
      <c r="A40" s="14"/>
      <c r="B40" s="14" t="s">
        <v>18</v>
      </c>
      <c r="C40" s="14" t="s">
        <v>19</v>
      </c>
      <c r="D40" s="14" t="s">
        <v>25</v>
      </c>
      <c r="E40" s="14" t="s">
        <v>125</v>
      </c>
      <c r="F40" s="14" t="s">
        <v>126</v>
      </c>
      <c r="G40" s="15"/>
      <c r="H40" s="15"/>
      <c r="I40" s="15"/>
      <c r="J40" s="13"/>
    </row>
    <row r="41" spans="1:12" ht="16.5" x14ac:dyDescent="0.25">
      <c r="A41" s="16" t="s">
        <v>24</v>
      </c>
      <c r="B41" s="17" t="s">
        <v>27</v>
      </c>
      <c r="C41" s="18">
        <f>SUM(D41:F41)</f>
        <v>127860.781</v>
      </c>
      <c r="D41" s="18">
        <f>90784357/1000</f>
        <v>90784.357000000004</v>
      </c>
      <c r="E41" s="18">
        <f>26452811/1000</f>
        <v>26452.811000000002</v>
      </c>
      <c r="F41" s="18">
        <f>10623613/1000</f>
        <v>10623.612999999999</v>
      </c>
      <c r="G41" s="13"/>
      <c r="H41" s="13"/>
      <c r="I41" s="13"/>
      <c r="J41" s="13"/>
    </row>
    <row r="42" spans="1:12" x14ac:dyDescent="0.25">
      <c r="A42" s="16" t="s">
        <v>22</v>
      </c>
      <c r="B42" s="19" t="s">
        <v>20</v>
      </c>
      <c r="C42" s="20">
        <f>SUM(D42:F42)</f>
        <v>0.99999999999999989</v>
      </c>
      <c r="D42" s="20">
        <f>D41/$C$41</f>
        <v>0.71002504669512378</v>
      </c>
      <c r="E42" s="20">
        <f t="shared" ref="E42:F42" si="11">E41/$C$41</f>
        <v>0.20688760691990454</v>
      </c>
      <c r="F42" s="20">
        <f t="shared" si="11"/>
        <v>8.308734638497163E-2</v>
      </c>
      <c r="G42" s="21"/>
      <c r="H42" s="21"/>
      <c r="I42" s="21"/>
      <c r="J42" s="13"/>
    </row>
    <row r="43" spans="1:12" x14ac:dyDescent="0.25">
      <c r="A43" s="22" t="s">
        <v>17</v>
      </c>
      <c r="B43" s="23" t="s">
        <v>21</v>
      </c>
      <c r="C43" s="24">
        <v>2628545.7117429692</v>
      </c>
      <c r="D43" s="24">
        <f>D42*$C$43</f>
        <v>1866333.2917205691</v>
      </c>
      <c r="E43" s="24">
        <f t="shared" ref="E43:F43" si="12">E42*$C$43</f>
        <v>543813.53198208008</v>
      </c>
      <c r="F43" s="24">
        <f t="shared" si="12"/>
        <v>218398.88804031987</v>
      </c>
      <c r="G43" s="13"/>
      <c r="H43" s="13"/>
      <c r="I43" s="13"/>
      <c r="J43" s="13"/>
    </row>
    <row r="44" spans="1:12" x14ac:dyDescent="0.25">
      <c r="A44" s="54"/>
      <c r="B44" s="146"/>
      <c r="C44" s="147"/>
      <c r="D44" s="147"/>
      <c r="E44" s="147"/>
      <c r="F44" s="147"/>
      <c r="G44" s="13"/>
      <c r="H44" s="13"/>
      <c r="I44" s="13"/>
      <c r="J44" s="13"/>
    </row>
    <row r="45" spans="1:1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2" x14ac:dyDescent="0.25">
      <c r="A46" s="12" t="s">
        <v>168</v>
      </c>
      <c r="B46" s="13"/>
      <c r="C46" s="13"/>
      <c r="D46" s="13"/>
      <c r="E46" s="13"/>
      <c r="F46" s="13"/>
    </row>
    <row r="47" spans="1:12" x14ac:dyDescent="0.25">
      <c r="A47" s="14"/>
      <c r="B47" s="14" t="s">
        <v>18</v>
      </c>
      <c r="C47" s="14" t="s">
        <v>19</v>
      </c>
      <c r="D47" s="14" t="s">
        <v>25</v>
      </c>
      <c r="E47" s="14" t="s">
        <v>125</v>
      </c>
      <c r="F47" s="14" t="s">
        <v>126</v>
      </c>
    </row>
    <row r="48" spans="1:12" x14ac:dyDescent="0.25">
      <c r="A48" s="16" t="s">
        <v>24</v>
      </c>
      <c r="B48" s="17" t="s">
        <v>129</v>
      </c>
      <c r="C48" s="18">
        <f>SUM(D48:F48)</f>
        <v>2538.0602369971775</v>
      </c>
      <c r="D48" s="18">
        <v>1578.7796557271608</v>
      </c>
      <c r="E48" s="18">
        <v>959.28058127001668</v>
      </c>
      <c r="F48" s="18">
        <v>0</v>
      </c>
    </row>
    <row r="49" spans="1:6" x14ac:dyDescent="0.25">
      <c r="A49" s="16" t="s">
        <v>22</v>
      </c>
      <c r="B49" s="19" t="s">
        <v>20</v>
      </c>
      <c r="C49" s="20">
        <f>SUM(D49:F49)</f>
        <v>1</v>
      </c>
      <c r="D49" s="20">
        <f>D48/$C$48</f>
        <v>0.6220418383745856</v>
      </c>
      <c r="E49" s="20">
        <f t="shared" ref="E49:F49" si="13">E48/$C$48</f>
        <v>0.37795816162541435</v>
      </c>
      <c r="F49" s="20">
        <f t="shared" si="13"/>
        <v>0</v>
      </c>
    </row>
    <row r="50" spans="1:6" x14ac:dyDescent="0.25">
      <c r="A50" s="22" t="s">
        <v>17</v>
      </c>
      <c r="B50" s="23" t="s">
        <v>21</v>
      </c>
      <c r="C50" s="24">
        <v>1109180.85851961</v>
      </c>
      <c r="D50" s="24">
        <f>D49*$C$50</f>
        <v>689956.90032343939</v>
      </c>
      <c r="E50" s="24">
        <f t="shared" ref="E50:F50" si="14">E49*$C$50</f>
        <v>419223.95819617063</v>
      </c>
      <c r="F50" s="24">
        <f t="shared" si="14"/>
        <v>0</v>
      </c>
    </row>
    <row r="51" spans="1:6" x14ac:dyDescent="0.25">
      <c r="A51" s="54"/>
      <c r="B51" s="146"/>
      <c r="C51" s="147"/>
      <c r="D51" s="147"/>
      <c r="E51" s="147"/>
      <c r="F51" s="147"/>
    </row>
    <row r="53" spans="1:6" x14ac:dyDescent="0.25">
      <c r="A53" s="12" t="s">
        <v>169</v>
      </c>
      <c r="B53" s="13"/>
      <c r="C53" s="13"/>
      <c r="D53" s="13"/>
      <c r="E53" s="13"/>
      <c r="F53" s="13"/>
    </row>
    <row r="54" spans="1:6" x14ac:dyDescent="0.25">
      <c r="A54" s="14"/>
      <c r="B54" s="14" t="s">
        <v>18</v>
      </c>
      <c r="C54" s="14" t="s">
        <v>19</v>
      </c>
      <c r="D54" s="14" t="s">
        <v>25</v>
      </c>
      <c r="E54" s="14" t="s">
        <v>125</v>
      </c>
      <c r="F54" s="14" t="s">
        <v>126</v>
      </c>
    </row>
    <row r="55" spans="1:6" x14ac:dyDescent="0.25">
      <c r="A55" s="16" t="s">
        <v>22</v>
      </c>
      <c r="B55" s="19" t="s">
        <v>20</v>
      </c>
      <c r="C55" s="20">
        <f>SUM(D55:F55)</f>
        <v>0.99999999999999989</v>
      </c>
      <c r="D55" s="20">
        <f>D56/$C$56</f>
        <v>0.68391578249246476</v>
      </c>
      <c r="E55" s="20">
        <f t="shared" ref="E55:F55" si="15">E56/$C$56</f>
        <v>0.25765327454399539</v>
      </c>
      <c r="F55" s="20">
        <f t="shared" si="15"/>
        <v>5.8430942963539761E-2</v>
      </c>
    </row>
    <row r="56" spans="1:6" x14ac:dyDescent="0.25">
      <c r="A56" s="22" t="s">
        <v>17</v>
      </c>
      <c r="B56" s="23" t="s">
        <v>21</v>
      </c>
      <c r="C56" s="24">
        <f>SUM(D56:F56)</f>
        <v>3737726.5702625792</v>
      </c>
      <c r="D56" s="24">
        <f>D43+D50</f>
        <v>2556290.1920440085</v>
      </c>
      <c r="E56" s="24">
        <f t="shared" ref="E56:F56" si="16">E43+E50</f>
        <v>963037.49017825071</v>
      </c>
      <c r="F56" s="24">
        <f t="shared" si="16"/>
        <v>218398.88804031987</v>
      </c>
    </row>
    <row r="57" spans="1:6" x14ac:dyDescent="0.25">
      <c r="A57" s="54"/>
      <c r="B57" s="146"/>
      <c r="C57" s="147"/>
      <c r="D57" s="147"/>
      <c r="E57" s="147"/>
      <c r="F57" s="147"/>
    </row>
    <row r="59" spans="1:6" x14ac:dyDescent="0.25">
      <c r="A59" s="12" t="s">
        <v>167</v>
      </c>
      <c r="B59" s="13"/>
      <c r="C59" s="13"/>
      <c r="D59" s="13"/>
      <c r="E59" s="13"/>
      <c r="F59" s="13"/>
    </row>
    <row r="60" spans="1:6" x14ac:dyDescent="0.25">
      <c r="A60" s="14"/>
      <c r="B60" s="14" t="s">
        <v>18</v>
      </c>
      <c r="C60" s="14" t="s">
        <v>19</v>
      </c>
      <c r="D60" s="14" t="s">
        <v>25</v>
      </c>
      <c r="E60" s="14" t="s">
        <v>125</v>
      </c>
      <c r="F60" s="14" t="s">
        <v>126</v>
      </c>
    </row>
    <row r="61" spans="1:6" ht="16.5" x14ac:dyDescent="0.25">
      <c r="A61" s="16" t="s">
        <v>24</v>
      </c>
      <c r="B61" s="17" t="s">
        <v>27</v>
      </c>
      <c r="C61" s="18">
        <f>SUM(D61:F61)</f>
        <v>13162.189329134679</v>
      </c>
      <c r="D61" s="18">
        <f>'Load Forecast'!A7</f>
        <v>8867.7068751897095</v>
      </c>
      <c r="E61" s="18">
        <f>'Load Forecast'!B7</f>
        <v>2468.20098836847</v>
      </c>
      <c r="F61" s="18">
        <f>'Load Forecast'!C7</f>
        <v>1826.2814655764998</v>
      </c>
    </row>
    <row r="62" spans="1:6" x14ac:dyDescent="0.25">
      <c r="A62" s="16" t="s">
        <v>22</v>
      </c>
      <c r="B62" s="19" t="s">
        <v>20</v>
      </c>
      <c r="C62" s="20">
        <f>SUM(D62:F62)</f>
        <v>0.99999999999999989</v>
      </c>
      <c r="D62" s="25">
        <f>D55</f>
        <v>0.68391578249246476</v>
      </c>
      <c r="E62" s="25">
        <f t="shared" ref="E62:F62" si="17">E55</f>
        <v>0.25765327454399539</v>
      </c>
      <c r="F62" s="25">
        <f t="shared" si="17"/>
        <v>5.8430942963539761E-2</v>
      </c>
    </row>
    <row r="63" spans="1:6" x14ac:dyDescent="0.25">
      <c r="A63" s="26" t="s">
        <v>17</v>
      </c>
      <c r="B63" s="27" t="s">
        <v>21</v>
      </c>
      <c r="C63" s="57">
        <f>SUM(D63:F63)</f>
        <v>150009.09312090618</v>
      </c>
      <c r="D63" s="28">
        <f>D61*D64*10</f>
        <v>102593.58630276957</v>
      </c>
      <c r="E63" s="28">
        <f t="shared" ref="E63:F63" si="18">E61*E64*10</f>
        <v>38650.334053976621</v>
      </c>
      <c r="F63" s="28">
        <f t="shared" si="18"/>
        <v>8765.1727641599937</v>
      </c>
    </row>
    <row r="64" spans="1:6" ht="17.25" x14ac:dyDescent="0.25">
      <c r="A64" s="22" t="s">
        <v>23</v>
      </c>
      <c r="B64" s="23" t="s">
        <v>28</v>
      </c>
      <c r="C64" s="29"/>
      <c r="D64" s="29">
        <f>D56/D61/10*12/299</f>
        <v>1.1569347943808164</v>
      </c>
      <c r="E64" s="29">
        <f t="shared" ref="E64:F64" si="19">E56/E61/10*12/299</f>
        <v>1.5659313903575276</v>
      </c>
      <c r="F64" s="29">
        <f t="shared" si="19"/>
        <v>0.47994643374388646</v>
      </c>
    </row>
    <row r="66" spans="1:5" x14ac:dyDescent="0.25">
      <c r="A66" s="58" t="s">
        <v>158</v>
      </c>
      <c r="B66" s="140">
        <v>44154</v>
      </c>
      <c r="C66" s="58"/>
    </row>
    <row r="67" spans="1:5" x14ac:dyDescent="0.25">
      <c r="A67" s="58" t="s">
        <v>159</v>
      </c>
      <c r="B67" s="140">
        <v>55111</v>
      </c>
      <c r="C67" s="58" t="s">
        <v>166</v>
      </c>
    </row>
    <row r="68" spans="1:5" x14ac:dyDescent="0.25">
      <c r="E68" s="145"/>
    </row>
    <row r="69" spans="1:5" x14ac:dyDescent="0.25">
      <c r="A69" s="58" t="s">
        <v>160</v>
      </c>
      <c r="B69" s="140">
        <v>46023</v>
      </c>
    </row>
    <row r="70" spans="1:5" x14ac:dyDescent="0.25">
      <c r="A70" s="58" t="s">
        <v>161</v>
      </c>
      <c r="B70" s="140">
        <f>B67</f>
        <v>55111</v>
      </c>
    </row>
    <row r="71" spans="1:5" x14ac:dyDescent="0.25">
      <c r="A71" s="58" t="s">
        <v>162</v>
      </c>
      <c r="B71" s="141">
        <v>299</v>
      </c>
      <c r="D71" s="142"/>
      <c r="E71" s="144"/>
    </row>
    <row r="72" spans="1:5" x14ac:dyDescent="0.25">
      <c r="B72" s="143"/>
      <c r="E72" s="145"/>
    </row>
    <row r="73" spans="1:5" x14ac:dyDescent="0.25">
      <c r="D73" s="142"/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C565-10D7-4E2E-96F4-94DA5BE9843F}">
  <sheetPr>
    <pageSetUpPr fitToPage="1"/>
  </sheetPr>
  <dimension ref="A1:AB57"/>
  <sheetViews>
    <sheetView showGridLines="0" zoomScale="80" zoomScaleNormal="80" zoomScaleSheetLayoutView="85" workbookViewId="0">
      <selection activeCell="S17" sqref="S17"/>
    </sheetView>
  </sheetViews>
  <sheetFormatPr defaultColWidth="12.5703125" defaultRowHeight="15" x14ac:dyDescent="0.25"/>
  <cols>
    <col min="1" max="1" width="37.85546875" customWidth="1"/>
    <col min="2" max="2" width="14" customWidth="1"/>
    <col min="3" max="3" width="13.5703125" customWidth="1"/>
    <col min="4" max="4" width="14.28515625" bestFit="1" customWidth="1"/>
    <col min="5" max="6" width="11.7109375" bestFit="1" customWidth="1"/>
    <col min="7" max="8" width="11.28515625" bestFit="1" customWidth="1"/>
    <col min="9" max="12" width="11.7109375" bestFit="1" customWidth="1"/>
    <col min="13" max="13" width="11.7109375" customWidth="1"/>
    <col min="14" max="14" width="1.5703125" customWidth="1"/>
    <col min="15" max="15" width="12.28515625" bestFit="1" customWidth="1"/>
  </cols>
  <sheetData>
    <row r="1" spans="1:28" s="2" customFormat="1" x14ac:dyDescent="0.25">
      <c r="A1" s="2" t="s">
        <v>0</v>
      </c>
    </row>
    <row r="2" spans="1:28" s="2" customFormat="1" x14ac:dyDescent="0.25">
      <c r="A2" s="2" t="str">
        <f>CIACVA!A2</f>
        <v>EB-2025-0178</v>
      </c>
    </row>
    <row r="3" spans="1:28" s="2" customFormat="1" x14ac:dyDescent="0.25">
      <c r="A3" s="2" t="s">
        <v>104</v>
      </c>
    </row>
    <row r="4" spans="1:28" s="2" customFormat="1" x14ac:dyDescent="0.25">
      <c r="A4" s="2" t="s">
        <v>39</v>
      </c>
    </row>
    <row r="5" spans="1:28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28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28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28" x14ac:dyDescent="0.25">
      <c r="A8" s="7" t="s">
        <v>109</v>
      </c>
      <c r="B8" s="83">
        <v>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O8" s="8"/>
    </row>
    <row r="9" spans="1:28" x14ac:dyDescent="0.25">
      <c r="A9" s="7" t="s">
        <v>110</v>
      </c>
      <c r="B9" s="83">
        <v>19285.872197785102</v>
      </c>
      <c r="C9" s="83">
        <v>19224.199104004409</v>
      </c>
      <c r="D9" s="83">
        <v>19313.135936784409</v>
      </c>
      <c r="E9" s="83">
        <v>28585.626901796379</v>
      </c>
      <c r="F9" s="83">
        <v>20404.087681344678</v>
      </c>
      <c r="G9" s="83">
        <v>20428.104344771542</v>
      </c>
      <c r="H9" s="83">
        <v>20363.481786382683</v>
      </c>
      <c r="I9" s="83">
        <v>20401.952667090827</v>
      </c>
      <c r="J9" s="83">
        <v>20384.591592684978</v>
      </c>
      <c r="K9" s="83">
        <v>19697.819195694159</v>
      </c>
      <c r="L9" s="83">
        <v>19776.442342666811</v>
      </c>
      <c r="M9" s="83">
        <v>19673.206201032615</v>
      </c>
      <c r="O9" s="8"/>
    </row>
    <row r="10" spans="1:28" x14ac:dyDescent="0.25">
      <c r="A10" s="7" t="s">
        <v>111</v>
      </c>
      <c r="B10" s="83">
        <v>3201.4286145567999</v>
      </c>
      <c r="C10" s="83">
        <v>2602.010502524</v>
      </c>
      <c r="D10" s="83">
        <v>2668.5600951798133</v>
      </c>
      <c r="E10" s="83">
        <v>2490.6817980136007</v>
      </c>
      <c r="F10" s="83">
        <v>2690.5614070632005</v>
      </c>
      <c r="G10" s="83">
        <v>1881.2873627376005</v>
      </c>
      <c r="H10" s="83">
        <v>2234.5816481400002</v>
      </c>
      <c r="I10" s="83">
        <v>2297.4891413592004</v>
      </c>
      <c r="J10" s="83">
        <v>2216.8723958472001</v>
      </c>
      <c r="K10" s="83">
        <v>2632.9517189951998</v>
      </c>
      <c r="L10" s="83">
        <v>2607.7534794144003</v>
      </c>
      <c r="M10" s="83">
        <v>3009.1631980511993</v>
      </c>
      <c r="O10" s="8"/>
    </row>
    <row r="11" spans="1:28" x14ac:dyDescent="0.25">
      <c r="A11" s="7" t="s">
        <v>112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O11" s="8"/>
    </row>
    <row r="12" spans="1:28" x14ac:dyDescent="0.25">
      <c r="A12" s="7" t="s">
        <v>113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O12" s="8"/>
    </row>
    <row r="13" spans="1:28" x14ac:dyDescent="0.25">
      <c r="A13" s="7" t="s">
        <v>114</v>
      </c>
      <c r="B13" s="31">
        <v>12439.766974402555</v>
      </c>
      <c r="C13" s="31">
        <v>12439.766974402555</v>
      </c>
      <c r="D13" s="31">
        <v>12439.766974402555</v>
      </c>
      <c r="E13" s="31">
        <v>12439.766974402555</v>
      </c>
      <c r="F13" s="31">
        <v>12439.766974402555</v>
      </c>
      <c r="G13" s="31">
        <v>12439.766974402555</v>
      </c>
      <c r="H13" s="31">
        <v>12439.766974402555</v>
      </c>
      <c r="I13" s="31">
        <v>12439.766974402555</v>
      </c>
      <c r="J13" s="31">
        <v>12439.766974402555</v>
      </c>
      <c r="K13" s="31">
        <v>12439.766974402555</v>
      </c>
      <c r="L13" s="31">
        <v>12439.766974402555</v>
      </c>
      <c r="M13" s="31">
        <v>12439.766974402555</v>
      </c>
      <c r="O13" s="8"/>
    </row>
    <row r="14" spans="1:28" x14ac:dyDescent="0.25">
      <c r="A14" s="7" t="s">
        <v>115</v>
      </c>
      <c r="B14" s="83">
        <f>SUM(B8:B13)</f>
        <v>34927.067786744461</v>
      </c>
      <c r="C14" s="83">
        <f t="shared" ref="C14:M14" si="0">SUM(C8:C13)</f>
        <v>34265.976580930961</v>
      </c>
      <c r="D14" s="83">
        <f t="shared" si="0"/>
        <v>34421.463006366779</v>
      </c>
      <c r="E14" s="83">
        <f t="shared" si="0"/>
        <v>43516.075674212538</v>
      </c>
      <c r="F14" s="83">
        <f t="shared" si="0"/>
        <v>35534.416062810429</v>
      </c>
      <c r="G14" s="83">
        <f t="shared" si="0"/>
        <v>34749.158681911693</v>
      </c>
      <c r="H14" s="83">
        <f t="shared" si="0"/>
        <v>35037.830408925234</v>
      </c>
      <c r="I14" s="83">
        <f t="shared" si="0"/>
        <v>35139.208782852584</v>
      </c>
      <c r="J14" s="83">
        <f t="shared" si="0"/>
        <v>35041.230962934729</v>
      </c>
      <c r="K14" s="83">
        <f t="shared" si="0"/>
        <v>34770.537889091909</v>
      </c>
      <c r="L14" s="83">
        <f t="shared" si="0"/>
        <v>34823.962796483771</v>
      </c>
      <c r="M14" s="83">
        <f t="shared" si="0"/>
        <v>35122.13637348637</v>
      </c>
      <c r="O14" s="8"/>
    </row>
    <row r="15" spans="1:28" x14ac:dyDescent="0.25">
      <c r="A15" s="7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O15" s="8"/>
    </row>
    <row r="16" spans="1:28" x14ac:dyDescent="0.25">
      <c r="A16" s="7" t="s">
        <v>116</v>
      </c>
      <c r="B16" s="83">
        <v>-17535.699999999997</v>
      </c>
      <c r="C16" s="83">
        <v>-17535.699999999997</v>
      </c>
      <c r="D16" s="83">
        <v>-17535.699999999997</v>
      </c>
      <c r="E16" s="83">
        <v>-17535.699999999997</v>
      </c>
      <c r="F16" s="83">
        <v>-17535.699999999997</v>
      </c>
      <c r="G16" s="83">
        <v>-17535.699999999997</v>
      </c>
      <c r="H16" s="83">
        <v>-17535.699999999997</v>
      </c>
      <c r="I16" s="83">
        <v>-17535.699999999997</v>
      </c>
      <c r="J16" s="83">
        <v>-17535.699999999997</v>
      </c>
      <c r="K16" s="83">
        <v>-17535.699999999997</v>
      </c>
      <c r="L16" s="83">
        <v>-17535.699999999997</v>
      </c>
      <c r="M16" s="83">
        <v>-17535.699999999997</v>
      </c>
      <c r="O16" s="8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</row>
    <row r="17" spans="1:28" x14ac:dyDescent="0.25">
      <c r="A17" s="7" t="s">
        <v>117</v>
      </c>
      <c r="B17" s="31">
        <v>-13648.6</v>
      </c>
      <c r="C17" s="31">
        <v>-13648.6</v>
      </c>
      <c r="D17" s="31">
        <v>-13648.6</v>
      </c>
      <c r="E17" s="31">
        <v>-13648.6</v>
      </c>
      <c r="F17" s="31">
        <v>-13648.6</v>
      </c>
      <c r="G17" s="31">
        <v>-13648.6</v>
      </c>
      <c r="H17" s="31">
        <v>-13648.6</v>
      </c>
      <c r="I17" s="31">
        <v>-13648.6</v>
      </c>
      <c r="J17" s="31">
        <v>-13648.6</v>
      </c>
      <c r="K17" s="31">
        <v>-13648.6</v>
      </c>
      <c r="L17" s="31">
        <v>-13648.6</v>
      </c>
      <c r="M17" s="31">
        <v>-13648.6</v>
      </c>
      <c r="O17" s="8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1:28" s="78" customFormat="1" x14ac:dyDescent="0.25">
      <c r="A18" s="42" t="s">
        <v>91</v>
      </c>
      <c r="B18" s="10">
        <f>B14+B16+B17</f>
        <v>3742.7677867444636</v>
      </c>
      <c r="C18" s="10">
        <f t="shared" ref="C18:M18" si="1">C14+C16+C17</f>
        <v>3081.6765809309636</v>
      </c>
      <c r="D18" s="10">
        <f t="shared" si="1"/>
        <v>3237.1630063667817</v>
      </c>
      <c r="E18" s="10">
        <f t="shared" si="1"/>
        <v>12331.77567421254</v>
      </c>
      <c r="F18" s="10">
        <f t="shared" si="1"/>
        <v>4350.1160628104317</v>
      </c>
      <c r="G18" s="10">
        <f t="shared" si="1"/>
        <v>3564.8586819116954</v>
      </c>
      <c r="H18" s="10">
        <f t="shared" si="1"/>
        <v>3853.5304089252368</v>
      </c>
      <c r="I18" s="10">
        <f t="shared" si="1"/>
        <v>3954.9087828525862</v>
      </c>
      <c r="J18" s="10">
        <f t="shared" si="1"/>
        <v>3856.9309629347317</v>
      </c>
      <c r="K18" s="10">
        <f t="shared" si="1"/>
        <v>3586.2378890919117</v>
      </c>
      <c r="L18" s="10">
        <f t="shared" si="1"/>
        <v>3639.6627964837735</v>
      </c>
      <c r="M18" s="10">
        <f t="shared" si="1"/>
        <v>3937.8363734863724</v>
      </c>
      <c r="O18" s="84"/>
    </row>
    <row r="19" spans="1:28" x14ac:dyDescent="0.25">
      <c r="A19" s="7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O19" s="8"/>
    </row>
    <row r="20" spans="1:28" x14ac:dyDescent="0.25">
      <c r="A20" s="7" t="s">
        <v>105</v>
      </c>
      <c r="B20" s="32">
        <v>352247.90549601632</v>
      </c>
      <c r="C20" s="32">
        <f>B22</f>
        <v>355990.67328276078</v>
      </c>
      <c r="D20" s="32">
        <f t="shared" ref="D20:M20" si="2">C22</f>
        <v>359072.34986369172</v>
      </c>
      <c r="E20" s="32">
        <f t="shared" si="2"/>
        <v>362309.51287005848</v>
      </c>
      <c r="F20" s="32">
        <f t="shared" si="2"/>
        <v>374641.28854427102</v>
      </c>
      <c r="G20" s="32">
        <f t="shared" si="2"/>
        <v>378991.40460708144</v>
      </c>
      <c r="H20" s="32">
        <f t="shared" si="2"/>
        <v>382556.26328899316</v>
      </c>
      <c r="I20" s="32">
        <f t="shared" si="2"/>
        <v>386409.79369791842</v>
      </c>
      <c r="J20" s="32">
        <f>I22</f>
        <v>390364.702480771</v>
      </c>
      <c r="K20" s="32">
        <f t="shared" si="2"/>
        <v>394221.63344370574</v>
      </c>
      <c r="L20" s="32">
        <f t="shared" si="2"/>
        <v>397807.87133279763</v>
      </c>
      <c r="M20" s="32">
        <f t="shared" si="2"/>
        <v>401447.53412928141</v>
      </c>
      <c r="N20" s="1"/>
      <c r="O20" s="10"/>
    </row>
    <row r="21" spans="1:28" x14ac:dyDescent="0.25">
      <c r="A21" s="7" t="s">
        <v>106</v>
      </c>
      <c r="B21" s="31">
        <f>B18</f>
        <v>3742.7677867444636</v>
      </c>
      <c r="C21" s="31">
        <f t="shared" ref="C21:M21" si="3">C18</f>
        <v>3081.6765809309636</v>
      </c>
      <c r="D21" s="31">
        <f t="shared" si="3"/>
        <v>3237.1630063667817</v>
      </c>
      <c r="E21" s="31">
        <f t="shared" si="3"/>
        <v>12331.77567421254</v>
      </c>
      <c r="F21" s="31">
        <f t="shared" si="3"/>
        <v>4350.1160628104317</v>
      </c>
      <c r="G21" s="31">
        <f t="shared" si="3"/>
        <v>3564.8586819116954</v>
      </c>
      <c r="H21" s="31">
        <f t="shared" si="3"/>
        <v>3853.5304089252368</v>
      </c>
      <c r="I21" s="31">
        <f t="shared" si="3"/>
        <v>3954.9087828525862</v>
      </c>
      <c r="J21" s="31">
        <f t="shared" si="3"/>
        <v>3856.9309629347317</v>
      </c>
      <c r="K21" s="31">
        <f t="shared" si="3"/>
        <v>3586.2378890919117</v>
      </c>
      <c r="L21" s="31">
        <f t="shared" si="3"/>
        <v>3639.6627964837735</v>
      </c>
      <c r="M21" s="31">
        <f t="shared" si="3"/>
        <v>3937.8363734863724</v>
      </c>
      <c r="N21" s="1"/>
      <c r="O21" s="10"/>
      <c r="R21" s="99"/>
    </row>
    <row r="22" spans="1:28" s="78" customFormat="1" x14ac:dyDescent="0.25">
      <c r="A22" s="42" t="s">
        <v>107</v>
      </c>
      <c r="B22" s="10">
        <f>SUM(B20:B21)</f>
        <v>355990.67328276078</v>
      </c>
      <c r="C22" s="10">
        <f t="shared" ref="C22:M22" si="4">SUM(C20:C21)</f>
        <v>359072.34986369172</v>
      </c>
      <c r="D22" s="10">
        <f t="shared" si="4"/>
        <v>362309.51287005848</v>
      </c>
      <c r="E22" s="10">
        <f t="shared" si="4"/>
        <v>374641.28854427102</v>
      </c>
      <c r="F22" s="10">
        <f t="shared" si="4"/>
        <v>378991.40460708144</v>
      </c>
      <c r="G22" s="10">
        <f t="shared" si="4"/>
        <v>382556.26328899316</v>
      </c>
      <c r="H22" s="10">
        <f t="shared" si="4"/>
        <v>386409.79369791842</v>
      </c>
      <c r="I22" s="10">
        <f t="shared" si="4"/>
        <v>390364.702480771</v>
      </c>
      <c r="J22" s="10">
        <f t="shared" si="4"/>
        <v>394221.63344370574</v>
      </c>
      <c r="K22" s="10">
        <f t="shared" si="4"/>
        <v>397807.87133279763</v>
      </c>
      <c r="L22" s="10">
        <f t="shared" si="4"/>
        <v>401447.53412928141</v>
      </c>
      <c r="M22" s="10">
        <f t="shared" si="4"/>
        <v>405385.37050276779</v>
      </c>
      <c r="N22" s="85"/>
      <c r="O22" s="10"/>
    </row>
    <row r="23" spans="1:28" x14ac:dyDescent="0.25">
      <c r="A23" s="7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"/>
      <c r="O23" s="10"/>
    </row>
    <row r="24" spans="1:28" x14ac:dyDescent="0.25">
      <c r="A24" s="7" t="s">
        <v>13</v>
      </c>
      <c r="B24" s="73">
        <v>3.7199999999999997E-2</v>
      </c>
      <c r="C24" s="73">
        <v>3.7199999999999997E-2</v>
      </c>
      <c r="D24" s="73">
        <v>3.7199999999999997E-2</v>
      </c>
      <c r="E24" s="73">
        <v>3.7199999999999997E-2</v>
      </c>
      <c r="F24" s="73">
        <v>3.7199999999999997E-2</v>
      </c>
      <c r="G24" s="73">
        <v>3.7199999999999997E-2</v>
      </c>
      <c r="H24" s="73">
        <v>3.7199999999999997E-2</v>
      </c>
      <c r="I24" s="73">
        <v>3.7199999999999997E-2</v>
      </c>
      <c r="J24" s="73">
        <v>3.7199999999999997E-2</v>
      </c>
      <c r="K24" s="73">
        <v>3.7199999999999997E-2</v>
      </c>
      <c r="L24" s="73">
        <v>3.7199999999999997E-2</v>
      </c>
      <c r="M24" s="73">
        <v>3.7199999999999997E-2</v>
      </c>
      <c r="N24" s="73">
        <v>3.7199999999999997E-2</v>
      </c>
      <c r="O24" s="34">
        <f>M24</f>
        <v>3.7199999999999997E-2</v>
      </c>
    </row>
    <row r="25" spans="1:28" x14ac:dyDescent="0.25">
      <c r="A25" s="7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"/>
      <c r="O25" s="10"/>
    </row>
    <row r="26" spans="1:28" x14ac:dyDescent="0.25">
      <c r="A26" s="7" t="s">
        <v>14</v>
      </c>
      <c r="B26" s="32">
        <v>35802.148685374108</v>
      </c>
      <c r="C26" s="32">
        <f>B28</f>
        <v>36894.117192411759</v>
      </c>
      <c r="D26" s="32">
        <f t="shared" ref="D26:M26" si="5">C28</f>
        <v>37997.688279588314</v>
      </c>
      <c r="E26" s="32">
        <f t="shared" si="5"/>
        <v>39110.812564165761</v>
      </c>
      <c r="F26" s="32">
        <f t="shared" si="5"/>
        <v>40233.972054062942</v>
      </c>
      <c r="G26" s="32">
        <f t="shared" si="5"/>
        <v>41395.360048550181</v>
      </c>
      <c r="H26" s="32">
        <f t="shared" si="5"/>
        <v>42570.233402832135</v>
      </c>
      <c r="I26" s="32">
        <f t="shared" si="5"/>
        <v>43756.157819028012</v>
      </c>
      <c r="J26" s="32">
        <f t="shared" si="5"/>
        <v>44954.028179491557</v>
      </c>
      <c r="K26" s="32">
        <f t="shared" si="5"/>
        <v>46164.158757181947</v>
      </c>
      <c r="L26" s="32">
        <f t="shared" si="5"/>
        <v>47386.245820857432</v>
      </c>
      <c r="M26" s="32">
        <f t="shared" si="5"/>
        <v>48619.450221989107</v>
      </c>
      <c r="N26" s="1"/>
      <c r="O26" s="32">
        <f t="shared" ref="O26" si="6">M28</f>
        <v>49863.937577789882</v>
      </c>
    </row>
    <row r="27" spans="1:28" x14ac:dyDescent="0.25">
      <c r="A27" s="7" t="s">
        <v>15</v>
      </c>
      <c r="B27" s="31">
        <f>B20*B24/12</f>
        <v>1091.9685070376506</v>
      </c>
      <c r="C27" s="31">
        <f t="shared" ref="C27:M27" si="7">C20*C24/12</f>
        <v>1103.5710871765584</v>
      </c>
      <c r="D27" s="31">
        <f t="shared" si="7"/>
        <v>1113.1242845774443</v>
      </c>
      <c r="E27" s="31">
        <f t="shared" si="7"/>
        <v>1123.1594898971812</v>
      </c>
      <c r="F27" s="31">
        <f t="shared" si="7"/>
        <v>1161.3879944872401</v>
      </c>
      <c r="G27" s="31">
        <f t="shared" si="7"/>
        <v>1174.8733542819523</v>
      </c>
      <c r="H27" s="31">
        <f t="shared" si="7"/>
        <v>1185.9244161958786</v>
      </c>
      <c r="I27" s="31">
        <f t="shared" si="7"/>
        <v>1197.8703604635471</v>
      </c>
      <c r="J27" s="31">
        <f t="shared" si="7"/>
        <v>1210.1305776903901</v>
      </c>
      <c r="K27" s="31">
        <f t="shared" si="7"/>
        <v>1222.0870636754878</v>
      </c>
      <c r="L27" s="31">
        <f t="shared" si="7"/>
        <v>1233.2044011316725</v>
      </c>
      <c r="M27" s="31">
        <f t="shared" si="7"/>
        <v>1244.4873558007723</v>
      </c>
      <c r="N27" s="31">
        <f t="shared" ref="N27" si="8">N22*N24/12</f>
        <v>0</v>
      </c>
      <c r="O27" s="31">
        <f>M22*O24</f>
        <v>15080.335782702961</v>
      </c>
    </row>
    <row r="28" spans="1:28" x14ac:dyDescent="0.25">
      <c r="A28" s="33" t="s">
        <v>16</v>
      </c>
      <c r="B28" s="11">
        <f>SUM(B26:B27)</f>
        <v>36894.117192411759</v>
      </c>
      <c r="C28" s="11">
        <f t="shared" ref="C28:M28" si="9">SUM(C26:C27)</f>
        <v>37997.688279588314</v>
      </c>
      <c r="D28" s="11">
        <f t="shared" si="9"/>
        <v>39110.812564165761</v>
      </c>
      <c r="E28" s="11">
        <f t="shared" si="9"/>
        <v>40233.972054062942</v>
      </c>
      <c r="F28" s="11">
        <f t="shared" si="9"/>
        <v>41395.360048550181</v>
      </c>
      <c r="G28" s="11">
        <f t="shared" si="9"/>
        <v>42570.233402832135</v>
      </c>
      <c r="H28" s="11">
        <f t="shared" si="9"/>
        <v>43756.157819028012</v>
      </c>
      <c r="I28" s="11">
        <f t="shared" si="9"/>
        <v>44954.028179491557</v>
      </c>
      <c r="J28" s="11">
        <f t="shared" si="9"/>
        <v>46164.158757181947</v>
      </c>
      <c r="K28" s="11">
        <f t="shared" si="9"/>
        <v>47386.245820857432</v>
      </c>
      <c r="L28" s="11">
        <f t="shared" si="9"/>
        <v>48619.450221989107</v>
      </c>
      <c r="M28" s="11">
        <f t="shared" si="9"/>
        <v>49863.937577789882</v>
      </c>
      <c r="N28" s="1"/>
      <c r="O28" s="11">
        <f>SUM(O26:O27)</f>
        <v>64944.273360492843</v>
      </c>
    </row>
    <row r="29" spans="1:28" x14ac:dyDescent="0.25">
      <c r="A29" s="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O29" s="30"/>
    </row>
    <row r="30" spans="1:28" x14ac:dyDescent="0.25">
      <c r="E30" s="13"/>
      <c r="F30" s="13"/>
      <c r="G30" s="13"/>
      <c r="H30" s="13"/>
      <c r="I30" s="13"/>
    </row>
    <row r="31" spans="1:28" x14ac:dyDescent="0.25">
      <c r="A31" s="12" t="s">
        <v>108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28" ht="45" x14ac:dyDescent="0.25">
      <c r="A32" s="14"/>
      <c r="B32" s="14" t="s">
        <v>36</v>
      </c>
      <c r="C32" s="14" t="s">
        <v>45</v>
      </c>
      <c r="D32" s="14" t="s">
        <v>48</v>
      </c>
      <c r="E32" s="13"/>
      <c r="F32" s="13"/>
      <c r="G32" s="13"/>
      <c r="H32" s="13"/>
      <c r="I32" s="13"/>
      <c r="J32" s="15"/>
      <c r="K32" s="15"/>
      <c r="L32" s="13"/>
    </row>
    <row r="33" spans="1:12" x14ac:dyDescent="0.25">
      <c r="A33" s="51" t="s">
        <v>34</v>
      </c>
      <c r="B33" s="52">
        <f>M22</f>
        <v>405385.37050276779</v>
      </c>
      <c r="C33" s="52"/>
      <c r="D33" s="52">
        <f>B33+C33</f>
        <v>405385.37050276779</v>
      </c>
      <c r="E33" s="13"/>
      <c r="F33" s="13"/>
      <c r="G33" s="13"/>
      <c r="H33" s="13"/>
      <c r="I33" s="13"/>
      <c r="J33" s="13"/>
      <c r="K33" s="13"/>
      <c r="L33" s="13"/>
    </row>
    <row r="34" spans="1:12" x14ac:dyDescent="0.25">
      <c r="A34" s="16" t="s">
        <v>35</v>
      </c>
      <c r="B34" s="56">
        <f>M28</f>
        <v>49863.937577789882</v>
      </c>
      <c r="C34" s="56">
        <f>O27</f>
        <v>15080.335782702961</v>
      </c>
      <c r="D34" s="56">
        <f t="shared" ref="D34:D35" si="10">B34+C34</f>
        <v>64944.273360492843</v>
      </c>
      <c r="E34" s="13"/>
      <c r="F34" s="13"/>
      <c r="G34" s="13"/>
      <c r="H34" s="13"/>
      <c r="I34" s="13"/>
      <c r="J34" s="21"/>
      <c r="K34" s="21"/>
      <c r="L34" s="13"/>
    </row>
    <row r="35" spans="1:12" x14ac:dyDescent="0.25">
      <c r="A35" s="22" t="s">
        <v>17</v>
      </c>
      <c r="B35" s="53">
        <f>B34+B33</f>
        <v>455249.30808055768</v>
      </c>
      <c r="C35" s="53">
        <f t="shared" ref="C35" si="11">C34+C33</f>
        <v>15080.335782702961</v>
      </c>
      <c r="D35" s="53">
        <f t="shared" si="10"/>
        <v>470329.64386326063</v>
      </c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8" spans="1:12" x14ac:dyDescent="0.25">
      <c r="A38" s="12" t="s">
        <v>163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14"/>
      <c r="B39" s="14" t="s">
        <v>18</v>
      </c>
      <c r="C39" s="14" t="s">
        <v>19</v>
      </c>
      <c r="D39" s="14" t="s">
        <v>127</v>
      </c>
      <c r="E39" s="15"/>
      <c r="F39" s="15"/>
      <c r="G39" s="15"/>
      <c r="H39" s="13"/>
    </row>
    <row r="40" spans="1:12" x14ac:dyDescent="0.25">
      <c r="A40" s="16" t="s">
        <v>22</v>
      </c>
      <c r="B40" s="19" t="s">
        <v>20</v>
      </c>
      <c r="C40" s="20">
        <f>SUM(D40:D40)</f>
        <v>1</v>
      </c>
      <c r="D40" s="20">
        <v>1</v>
      </c>
      <c r="E40" s="21"/>
      <c r="F40" s="21"/>
      <c r="G40" s="21"/>
      <c r="H40" s="13"/>
    </row>
    <row r="41" spans="1:12" x14ac:dyDescent="0.25">
      <c r="A41" s="22" t="s">
        <v>17</v>
      </c>
      <c r="B41" s="23" t="s">
        <v>21</v>
      </c>
      <c r="C41" s="24">
        <f>SUM(D41:D41)</f>
        <v>470329.64386326063</v>
      </c>
      <c r="D41" s="24">
        <f>D40*($O$28+$M$22)</f>
        <v>470329.64386326063</v>
      </c>
      <c r="E41" s="13"/>
      <c r="F41" s="13"/>
      <c r="G41" s="13"/>
      <c r="H41" s="13"/>
    </row>
    <row r="42" spans="1:1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4" spans="1:12" x14ac:dyDescent="0.25">
      <c r="A44" s="12" t="s">
        <v>164</v>
      </c>
      <c r="B44" s="13"/>
      <c r="C44" s="13"/>
      <c r="D44" s="13"/>
      <c r="E44" s="13"/>
      <c r="F44" s="13"/>
      <c r="G44" s="13"/>
      <c r="H44" s="13"/>
    </row>
    <row r="45" spans="1:12" x14ac:dyDescent="0.25">
      <c r="A45" s="14"/>
      <c r="B45" s="14" t="s">
        <v>18</v>
      </c>
      <c r="C45" s="14" t="s">
        <v>19</v>
      </c>
      <c r="D45" s="14" t="str">
        <f>D39</f>
        <v>Rate 16</v>
      </c>
    </row>
    <row r="46" spans="1:12" x14ac:dyDescent="0.25">
      <c r="A46" s="16" t="s">
        <v>24</v>
      </c>
      <c r="B46" s="17" t="s">
        <v>130</v>
      </c>
      <c r="C46" s="18">
        <f>SUM(D46:D46)</f>
        <v>95824</v>
      </c>
      <c r="D46" s="18">
        <f>'Load Forecast'!D7</f>
        <v>95824</v>
      </c>
    </row>
    <row r="47" spans="1:12" x14ac:dyDescent="0.25">
      <c r="A47" s="16" t="s">
        <v>22</v>
      </c>
      <c r="B47" s="114" t="s">
        <v>20</v>
      </c>
      <c r="C47" s="20">
        <f>SUM(D47:D47)</f>
        <v>1</v>
      </c>
      <c r="D47" s="25">
        <f>D40</f>
        <v>1</v>
      </c>
    </row>
    <row r="48" spans="1:12" x14ac:dyDescent="0.25">
      <c r="A48" s="26" t="s">
        <v>17</v>
      </c>
      <c r="B48" s="27" t="s">
        <v>21</v>
      </c>
      <c r="C48" s="57">
        <f>SUM(D48:D48)</f>
        <v>470330.44777599996</v>
      </c>
      <c r="D48" s="28">
        <f>D46*D49*B56/100</f>
        <v>470330.44777599996</v>
      </c>
    </row>
    <row r="49" spans="1:4" x14ac:dyDescent="0.25">
      <c r="A49" s="22" t="s">
        <v>23</v>
      </c>
      <c r="B49" s="23" t="s">
        <v>131</v>
      </c>
      <c r="C49" s="29"/>
      <c r="D49" s="29">
        <f>ROUND(D41/D46*100/B56,4)</f>
        <v>4.1246</v>
      </c>
    </row>
    <row r="51" spans="1:4" x14ac:dyDescent="0.25">
      <c r="A51" s="58" t="s">
        <v>158</v>
      </c>
      <c r="B51" s="140">
        <v>44154</v>
      </c>
      <c r="C51" s="58"/>
    </row>
    <row r="52" spans="1:4" x14ac:dyDescent="0.25">
      <c r="A52" s="58" t="s">
        <v>159</v>
      </c>
      <c r="B52" s="140">
        <v>49632</v>
      </c>
      <c r="C52" s="58" t="s">
        <v>165</v>
      </c>
    </row>
    <row r="54" spans="1:4" x14ac:dyDescent="0.25">
      <c r="A54" s="58" t="s">
        <v>160</v>
      </c>
      <c r="B54" s="140">
        <v>46023</v>
      </c>
    </row>
    <row r="55" spans="1:4" x14ac:dyDescent="0.25">
      <c r="A55" s="58" t="s">
        <v>161</v>
      </c>
      <c r="B55" s="140">
        <f>B52</f>
        <v>49632</v>
      </c>
    </row>
    <row r="56" spans="1:4" x14ac:dyDescent="0.25">
      <c r="A56" s="58" t="s">
        <v>162</v>
      </c>
      <c r="B56" s="141">
        <v>119</v>
      </c>
    </row>
    <row r="57" spans="1:4" x14ac:dyDescent="0.25">
      <c r="A57" s="58"/>
      <c r="B57" s="140"/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6YNFE3WTN53P-2032442789-1491</_dlc_DocId>
    <_dlc_DocIdUrl xmlns="2bc3004b-9ad1-483e-becf-bfd5ad8c6084">
      <Url>https://epcorweb/en-ca/departments/natgas/sites/ON/ONReg/_layouts/15/DocIdRedir.aspx?ID=6YNFE3WTN53P-2032442789-1491</Url>
      <Description>6YNFE3WTN53P-2032442789-1491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0D72353-3813-4448-8C89-85C332DDE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5439dcb1-57cb-40ed-87e6-3a760137f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7372A-094C-469B-900D-C2462FF8E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386503-EB7C-497A-B47A-1F8E240A2856}">
  <ds:schemaRefs>
    <ds:schemaRef ds:uri="http://schemas.openxmlformats.org/package/2006/metadata/core-properties"/>
    <ds:schemaRef ds:uri="5439dcb1-57cb-40ed-87e6-3a760137f3f8"/>
    <ds:schemaRef ds:uri="http://schemas.microsoft.com/office/2006/metadata/properties"/>
    <ds:schemaRef ds:uri="http://purl.org/dc/dcmitype/"/>
    <ds:schemaRef ds:uri="http://schemas.microsoft.com/office/2006/documentManagement/types"/>
    <ds:schemaRef ds:uri="2bc3004b-9ad1-483e-becf-bfd5ad8c6084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A986EE0-454F-4433-AD87-B9903AF2359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Summary</vt:lpstr>
      <vt:lpstr>ECVA</vt:lpstr>
      <vt:lpstr>CIACVA</vt:lpstr>
      <vt:lpstr>MTVA</vt:lpstr>
      <vt:lpstr>ORDA</vt:lpstr>
      <vt:lpstr>CVVA</vt:lpstr>
      <vt:lpstr>UFGVA</vt:lpstr>
      <vt:lpstr>S&amp;TVA</vt:lpstr>
      <vt:lpstr>TVA</vt:lpstr>
      <vt:lpstr>Load Forecast</vt:lpstr>
      <vt:lpstr>Staff 4i</vt:lpstr>
      <vt:lpstr>Staff 15</vt:lpstr>
      <vt:lpstr>CIACVA!Print_Area</vt:lpstr>
      <vt:lpstr>CVVA!Print_Area</vt:lpstr>
      <vt:lpstr>ECVA!Print_Area</vt:lpstr>
      <vt:lpstr>MTVA!Print_Area</vt:lpstr>
      <vt:lpstr>ORDA!Print_Area</vt:lpstr>
      <vt:lpstr>'S&amp;TVA'!Print_Area</vt:lpstr>
      <vt:lpstr>TVA!Print_Area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Leung, George</dc:creator>
  <cp:lastModifiedBy>Hesselink, Tim</cp:lastModifiedBy>
  <cp:lastPrinted>2025-06-26T13:56:35Z</cp:lastPrinted>
  <dcterms:created xsi:type="dcterms:W3CDTF">2021-09-07T13:08:27Z</dcterms:created>
  <dcterms:modified xsi:type="dcterms:W3CDTF">2025-10-31T17:57:31Z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71c2a04c-0da2-4310-8fff-9317d2bfff58</vt:lpwstr>
  </property>
</Properties>
</file>