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https://epcor4-my.sharepoint.com/personal/thesselink_epcor_com/Documents/H_DRIVE/ENGLP/IRM/EB-2025-0178 - Southern Bruce/Staff IR/Revised/"/>
    </mc:Choice>
  </mc:AlternateContent>
  <xr:revisionPtr revIDLastSave="2" documentId="13_ncr:1_{6C2C9125-0D7E-429A-86FB-2AB2CE4F9770}" xr6:coauthVersionLast="47" xr6:coauthVersionMax="47" xr10:uidLastSave="{314229D6-A761-4F2A-A93B-F3555F2B94E8}"/>
  <workbookProtection workbookAlgorithmName="SHA-512" workbookHashValue="AuF1JuBu0aB8zJlPcRKyFtwWh37wI7wZ1Cwf5QATKhAhkc1n6AaWVWgcqczGUHQeWSaagnKus1GD1T8Y65JOQA==" workbookSaltValue="4Xuf922eA0m7n/DLq3+dFg==" workbookSpinCount="100000" lockStructure="1"/>
  <bookViews>
    <workbookView xWindow="-120" yWindow="-120" windowWidth="29040" windowHeight="15720" xr2:uid="{00000000-000D-0000-FFFF-FFFF00000000}"/>
  </bookViews>
  <sheets>
    <sheet name="TVA - Continuity" sheetId="22" r:id="rId1"/>
    <sheet name="S&amp;TVA - Continuity" sheetId="21" r:id="rId2"/>
    <sheet name="S&amp;TVA 2024" sheetId="9" state="hidden" r:id="rId3"/>
    <sheet name="S&amp;TVA 2023" sheetId="8" state="hidden" r:id="rId4"/>
    <sheet name="S&amp;TVA 2022" sheetId="6" state="hidden" r:id="rId5"/>
    <sheet name="S&amp;TVA 2021" sheetId="4" state="hidden" r:id="rId6"/>
    <sheet name="S&amp;TVA Q4 2020" sheetId="3" state="hidden" r:id="rId7"/>
    <sheet name="S&amp;TVA per CIP model" sheetId="10" state="hidden" r:id="rId8"/>
    <sheet name="Invoice Breakdown" sheetId="12" state="hidden" r:id="rId9"/>
    <sheet name="Allocation" sheetId="15" r:id="rId10"/>
    <sheet name="Accounting Order" sheetId="17" state="hidden" r:id="rId11"/>
    <sheet name="CNG" sheetId="19" state="hidden" r:id="rId12"/>
    <sheet name="Upstream Recovery" sheetId="20" r:id="rId13"/>
    <sheet name="Upstream Allocation" sheetId="24" r:id="rId14"/>
    <sheet name="Allocation Example" sheetId="29" state="hidden" r:id="rId15"/>
    <sheet name="Staff3a" sheetId="30" r:id="rId16"/>
    <sheet name="Staff7_TVA" sheetId="25" r:id="rId17"/>
    <sheet name="Staff7_STVA" sheetId="26" r:id="rId18"/>
    <sheet name="Staff7_Summary" sheetId="27" r:id="rId19"/>
    <sheet name="Staff16_TVA" sheetId="31" r:id="rId20"/>
    <sheet name="Staff16_STVA" sheetId="32" r:id="rId21"/>
    <sheet name="Staff16_Summary" sheetId="33" r:id="rId22"/>
    <sheet name="2020 ECNG" sheetId="18" state="hidden" r:id="rId23"/>
  </sheets>
  <definedNames>
    <definedName name="inflation">'S&amp;TVA per CIP model'!$E$11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33" l="1"/>
  <c r="B29" i="33"/>
  <c r="D29" i="33" s="1"/>
  <c r="B28" i="33"/>
  <c r="B27" i="33"/>
  <c r="B26" i="33"/>
  <c r="C30" i="33"/>
  <c r="D30" i="33" s="1"/>
  <c r="C29" i="33"/>
  <c r="C28" i="33"/>
  <c r="D28" i="33" s="1"/>
  <c r="C27" i="33"/>
  <c r="C26" i="33"/>
  <c r="D25" i="33"/>
  <c r="D17" i="33"/>
  <c r="D18" i="33"/>
  <c r="D19" i="33"/>
  <c r="D20" i="33"/>
  <c r="D21" i="33"/>
  <c r="D16" i="33"/>
  <c r="C22" i="33"/>
  <c r="D22" i="33" s="1"/>
  <c r="C18" i="33"/>
  <c r="C19" i="33"/>
  <c r="C21" i="33"/>
  <c r="C20" i="33"/>
  <c r="C17" i="33"/>
  <c r="B22" i="33"/>
  <c r="B21" i="33"/>
  <c r="B20" i="33"/>
  <c r="B19" i="33"/>
  <c r="B18" i="33"/>
  <c r="B17" i="33"/>
  <c r="BO31" i="32"/>
  <c r="BM31" i="32"/>
  <c r="BL31" i="32"/>
  <c r="BK31" i="32"/>
  <c r="BJ31" i="32"/>
  <c r="BI31" i="32"/>
  <c r="BH31" i="32"/>
  <c r="BG31" i="32"/>
  <c r="BF31" i="32"/>
  <c r="BE31" i="32"/>
  <c r="BD31" i="32"/>
  <c r="BC31" i="32"/>
  <c r="BB31" i="32"/>
  <c r="AZ31" i="32"/>
  <c r="AY31" i="32"/>
  <c r="AX31" i="32"/>
  <c r="AW31" i="32"/>
  <c r="AV31" i="32"/>
  <c r="AU31" i="32"/>
  <c r="AT31" i="32"/>
  <c r="AS31" i="32"/>
  <c r="AR31" i="32"/>
  <c r="AQ31" i="32"/>
  <c r="AP31" i="32"/>
  <c r="AO31" i="32"/>
  <c r="AM31" i="32"/>
  <c r="AL31" i="32"/>
  <c r="AK31" i="32"/>
  <c r="AJ31" i="32"/>
  <c r="AI31" i="32"/>
  <c r="AH31" i="32"/>
  <c r="AG31" i="32"/>
  <c r="AF31" i="32"/>
  <c r="AE31" i="32"/>
  <c r="AD31" i="32"/>
  <c r="AC31" i="32"/>
  <c r="AB31" i="32"/>
  <c r="Z31" i="32"/>
  <c r="Y31" i="32"/>
  <c r="X31" i="32"/>
  <c r="W31" i="32"/>
  <c r="V31" i="32"/>
  <c r="U31" i="32"/>
  <c r="T31" i="32"/>
  <c r="S31" i="32"/>
  <c r="R31" i="32"/>
  <c r="Q31" i="32"/>
  <c r="P31" i="32"/>
  <c r="O31" i="32"/>
  <c r="M31" i="32"/>
  <c r="L31" i="32"/>
  <c r="K31" i="32"/>
  <c r="J31" i="32"/>
  <c r="I31" i="32"/>
  <c r="H31" i="32"/>
  <c r="G31" i="32"/>
  <c r="F31" i="32"/>
  <c r="E31" i="32"/>
  <c r="D31" i="32"/>
  <c r="C31" i="32"/>
  <c r="B31" i="32"/>
  <c r="BO31" i="31"/>
  <c r="BK31" i="31"/>
  <c r="BH31" i="31"/>
  <c r="BE31" i="31"/>
  <c r="BB31" i="31"/>
  <c r="AX31" i="31"/>
  <c r="AY31" i="31" s="1"/>
  <c r="AZ31" i="31" s="1"/>
  <c r="AU31" i="31"/>
  <c r="AV31" i="31" s="1"/>
  <c r="AW31" i="31" s="1"/>
  <c r="AR31" i="31"/>
  <c r="AS31" i="31" s="1"/>
  <c r="AT31" i="31" s="1"/>
  <c r="AO31" i="31"/>
  <c r="AK31" i="31"/>
  <c r="AH31" i="31"/>
  <c r="AE31" i="31"/>
  <c r="AB31" i="31"/>
  <c r="X31" i="31"/>
  <c r="Y31" i="31" s="1"/>
  <c r="Z31" i="31" s="1"/>
  <c r="U31" i="31"/>
  <c r="R31" i="31"/>
  <c r="O31" i="31"/>
  <c r="K31" i="31"/>
  <c r="H31" i="31"/>
  <c r="E31" i="31"/>
  <c r="B31" i="31"/>
  <c r="BL31" i="31"/>
  <c r="BM31" i="31" s="1"/>
  <c r="BI31" i="31"/>
  <c r="BJ31" i="31" s="1"/>
  <c r="BG31" i="31"/>
  <c r="BF31" i="31"/>
  <c r="BC31" i="31"/>
  <c r="BD31" i="31" s="1"/>
  <c r="AP31" i="31"/>
  <c r="AQ31" i="31" s="1"/>
  <c r="AL31" i="31"/>
  <c r="AM31" i="31" s="1"/>
  <c r="AI31" i="31"/>
  <c r="AJ31" i="31" s="1"/>
  <c r="AF31" i="31"/>
  <c r="AG31" i="31" s="1"/>
  <c r="AC31" i="31"/>
  <c r="AD31" i="31" s="1"/>
  <c r="V31" i="31"/>
  <c r="W31" i="31" s="1"/>
  <c r="S31" i="31"/>
  <c r="T31" i="31" s="1"/>
  <c r="P31" i="31"/>
  <c r="Q31" i="31" s="1"/>
  <c r="L31" i="31"/>
  <c r="M31" i="31" s="1"/>
  <c r="I31" i="31"/>
  <c r="J31" i="31" s="1"/>
  <c r="F31" i="31"/>
  <c r="G31" i="31" s="1"/>
  <c r="C31" i="31"/>
  <c r="D31" i="31" s="1"/>
  <c r="B9" i="33"/>
  <c r="B8" i="33"/>
  <c r="B7" i="33"/>
  <c r="B40" i="32"/>
  <c r="J37" i="32"/>
  <c r="B30" i="32"/>
  <c r="BC26" i="32"/>
  <c r="O26" i="32"/>
  <c r="BM24" i="32"/>
  <c r="BL24" i="32"/>
  <c r="BK24" i="32"/>
  <c r="BJ24" i="32"/>
  <c r="BI24" i="32"/>
  <c r="BH24" i="32"/>
  <c r="BG24" i="32"/>
  <c r="BF24" i="32"/>
  <c r="BE24" i="32"/>
  <c r="BD24" i="32"/>
  <c r="BC24" i="32"/>
  <c r="BB24" i="32"/>
  <c r="AZ24" i="32"/>
  <c r="AY24" i="32"/>
  <c r="AX24" i="32"/>
  <c r="AW24" i="32"/>
  <c r="AV24" i="32"/>
  <c r="AU24" i="32"/>
  <c r="AT24" i="32"/>
  <c r="AS24" i="32"/>
  <c r="AR24" i="32"/>
  <c r="AQ24" i="32"/>
  <c r="AP24" i="32"/>
  <c r="AO24" i="32"/>
  <c r="AM24" i="32"/>
  <c r="AL24" i="32"/>
  <c r="AK24" i="32"/>
  <c r="AJ24" i="32"/>
  <c r="AI24" i="32"/>
  <c r="AH24" i="32"/>
  <c r="AG24" i="32"/>
  <c r="AF24" i="32"/>
  <c r="AE24" i="32"/>
  <c r="AD24" i="32"/>
  <c r="AN24" i="32" s="1"/>
  <c r="AC24" i="32"/>
  <c r="AB24" i="32"/>
  <c r="Z24" i="32"/>
  <c r="Y24" i="32"/>
  <c r="X24" i="32"/>
  <c r="W24" i="32"/>
  <c r="V24" i="32"/>
  <c r="U24" i="32"/>
  <c r="T24" i="32"/>
  <c r="S24" i="32"/>
  <c r="R24" i="32"/>
  <c r="Q24" i="32"/>
  <c r="P24" i="32"/>
  <c r="O24" i="32"/>
  <c r="M24" i="32"/>
  <c r="L24" i="32"/>
  <c r="K24" i="32"/>
  <c r="J24" i="32"/>
  <c r="I24" i="32"/>
  <c r="H24" i="32"/>
  <c r="G24" i="32"/>
  <c r="F24" i="32"/>
  <c r="N24" i="32" s="1"/>
  <c r="E24" i="32"/>
  <c r="D24" i="32"/>
  <c r="C24" i="32"/>
  <c r="B24" i="32"/>
  <c r="BC23" i="32"/>
  <c r="BD23" i="32" s="1"/>
  <c r="BD26" i="32" s="1"/>
  <c r="BB23" i="32"/>
  <c r="AO23" i="32"/>
  <c r="AB23" i="32"/>
  <c r="AB26" i="32" s="1"/>
  <c r="O23" i="32"/>
  <c r="B23" i="32"/>
  <c r="B26" i="32" s="1"/>
  <c r="U18" i="32"/>
  <c r="B17" i="32"/>
  <c r="BM11" i="32"/>
  <c r="BM37" i="32" s="1"/>
  <c r="BL11" i="32"/>
  <c r="BL37" i="32" s="1"/>
  <c r="BK11" i="32"/>
  <c r="BK37" i="32" s="1"/>
  <c r="BJ11" i="32"/>
  <c r="BJ37" i="32" s="1"/>
  <c r="BI11" i="32"/>
  <c r="BI37" i="32" s="1"/>
  <c r="BH11" i="32"/>
  <c r="BH37" i="32" s="1"/>
  <c r="BG11" i="32"/>
  <c r="BG37" i="32" s="1"/>
  <c r="BF11" i="32"/>
  <c r="BF37" i="32" s="1"/>
  <c r="BE11" i="32"/>
  <c r="BE37" i="32" s="1"/>
  <c r="BD11" i="32"/>
  <c r="BD37" i="32" s="1"/>
  <c r="BC11" i="32"/>
  <c r="BC37" i="32" s="1"/>
  <c r="BB11" i="32"/>
  <c r="BB37" i="32" s="1"/>
  <c r="AZ11" i="32"/>
  <c r="AZ37" i="32" s="1"/>
  <c r="AY11" i="32"/>
  <c r="AY37" i="32" s="1"/>
  <c r="AX11" i="32"/>
  <c r="AX37" i="32" s="1"/>
  <c r="AW11" i="32"/>
  <c r="AW37" i="32" s="1"/>
  <c r="AV11" i="32"/>
  <c r="AV37" i="32" s="1"/>
  <c r="AU11" i="32"/>
  <c r="AU37" i="32" s="1"/>
  <c r="AT11" i="32"/>
  <c r="AS11" i="32"/>
  <c r="AS37" i="32" s="1"/>
  <c r="AR11" i="32"/>
  <c r="AR37" i="32" s="1"/>
  <c r="AQ11" i="32"/>
  <c r="AQ37" i="32" s="1"/>
  <c r="AP11" i="32"/>
  <c r="AP37" i="32" s="1"/>
  <c r="AO11" i="32"/>
  <c r="AM11" i="32"/>
  <c r="AM37" i="32" s="1"/>
  <c r="AL11" i="32"/>
  <c r="AK11" i="32"/>
  <c r="AK37" i="32" s="1"/>
  <c r="AJ11" i="32"/>
  <c r="AJ37" i="32" s="1"/>
  <c r="AI11" i="32"/>
  <c r="AI37" i="32" s="1"/>
  <c r="AH11" i="32"/>
  <c r="AH37" i="32" s="1"/>
  <c r="AG11" i="32"/>
  <c r="AG37" i="32" s="1"/>
  <c r="AF11" i="32"/>
  <c r="AF37" i="32" s="1"/>
  <c r="AE11" i="32"/>
  <c r="AE37" i="32" s="1"/>
  <c r="AD11" i="32"/>
  <c r="AC11" i="32"/>
  <c r="AC37" i="32" s="1"/>
  <c r="AB11" i="32"/>
  <c r="AB37" i="32" s="1"/>
  <c r="Z11" i="32"/>
  <c r="Z37" i="32" s="1"/>
  <c r="Y11" i="32"/>
  <c r="Y37" i="32" s="1"/>
  <c r="X11" i="32"/>
  <c r="X37" i="32" s="1"/>
  <c r="W11" i="32"/>
  <c r="W37" i="32" s="1"/>
  <c r="V11" i="32"/>
  <c r="V37" i="32" s="1"/>
  <c r="U11" i="32"/>
  <c r="U37" i="32" s="1"/>
  <c r="T11" i="32"/>
  <c r="T37" i="32" s="1"/>
  <c r="S11" i="32"/>
  <c r="S37" i="32" s="1"/>
  <c r="R11" i="32"/>
  <c r="R37" i="32" s="1"/>
  <c r="Q11" i="32"/>
  <c r="Q37" i="32" s="1"/>
  <c r="P11" i="32"/>
  <c r="P37" i="32" s="1"/>
  <c r="O11" i="32"/>
  <c r="O37" i="32" s="1"/>
  <c r="M11" i="32"/>
  <c r="M37" i="32" s="1"/>
  <c r="L11" i="32"/>
  <c r="L37" i="32" s="1"/>
  <c r="K11" i="32"/>
  <c r="K37" i="32" s="1"/>
  <c r="J11" i="32"/>
  <c r="I11" i="32"/>
  <c r="I37" i="32" s="1"/>
  <c r="H11" i="32"/>
  <c r="H37" i="32" s="1"/>
  <c r="G11" i="32"/>
  <c r="G37" i="32" s="1"/>
  <c r="F11" i="32"/>
  <c r="F37" i="32" s="1"/>
  <c r="E11" i="32"/>
  <c r="E37" i="32" s="1"/>
  <c r="D11" i="32"/>
  <c r="D37" i="32" s="1"/>
  <c r="C11" i="32"/>
  <c r="B11" i="32"/>
  <c r="B37" i="32" s="1"/>
  <c r="AZ9" i="32"/>
  <c r="AX9" i="32"/>
  <c r="AP9" i="32"/>
  <c r="R9" i="32"/>
  <c r="J9" i="32"/>
  <c r="BM8" i="32"/>
  <c r="BL8" i="32"/>
  <c r="BK8" i="32"/>
  <c r="BJ8" i="32"/>
  <c r="BI8" i="32"/>
  <c r="BH8" i="32"/>
  <c r="BG8" i="32"/>
  <c r="BF8" i="32"/>
  <c r="BE8" i="32"/>
  <c r="BD8" i="32"/>
  <c r="BC8" i="32"/>
  <c r="BB8" i="32"/>
  <c r="BN8" i="32" s="1"/>
  <c r="BA8" i="32"/>
  <c r="AN8" i="32"/>
  <c r="AA8" i="32"/>
  <c r="N8" i="32"/>
  <c r="BM7" i="32"/>
  <c r="BL7" i="32"/>
  <c r="BK7" i="32"/>
  <c r="BJ7" i="32"/>
  <c r="BI7" i="32"/>
  <c r="BH7" i="32"/>
  <c r="BH9" i="32" s="1"/>
  <c r="BG7" i="32"/>
  <c r="BF7" i="32"/>
  <c r="BE7" i="32"/>
  <c r="BD7" i="32"/>
  <c r="BC7" i="32"/>
  <c r="BB7" i="32"/>
  <c r="BN7" i="32" s="1"/>
  <c r="AZ7" i="32"/>
  <c r="AY7" i="32"/>
  <c r="AX7" i="32"/>
  <c r="AW7" i="32"/>
  <c r="AV7" i="32"/>
  <c r="AU7" i="32"/>
  <c r="AT7" i="32"/>
  <c r="AS7" i="32"/>
  <c r="AR7" i="32"/>
  <c r="AR9" i="32" s="1"/>
  <c r="AQ7" i="32"/>
  <c r="AP7" i="32"/>
  <c r="AO7" i="32"/>
  <c r="BA7" i="32" s="1"/>
  <c r="AM7" i="32"/>
  <c r="AL7" i="32"/>
  <c r="AK7" i="32"/>
  <c r="AJ7" i="32"/>
  <c r="AJ9" i="32" s="1"/>
  <c r="AI7" i="32"/>
  <c r="AH7" i="32"/>
  <c r="AG7" i="32"/>
  <c r="AF7" i="32"/>
  <c r="AE7" i="32"/>
  <c r="AD7" i="32"/>
  <c r="AC7" i="32"/>
  <c r="AB7" i="32"/>
  <c r="Z7" i="32"/>
  <c r="Y7" i="32"/>
  <c r="X7" i="32"/>
  <c r="W7" i="32"/>
  <c r="V7" i="32"/>
  <c r="U7" i="32"/>
  <c r="T7" i="32"/>
  <c r="T9" i="32" s="1"/>
  <c r="S7" i="32"/>
  <c r="R7" i="32"/>
  <c r="Q7" i="32"/>
  <c r="P7" i="32"/>
  <c r="O7" i="32"/>
  <c r="AA7" i="32" s="1"/>
  <c r="M7" i="32"/>
  <c r="L7" i="32"/>
  <c r="K7" i="32"/>
  <c r="J7" i="32"/>
  <c r="I7" i="32"/>
  <c r="H7" i="32"/>
  <c r="G7" i="32"/>
  <c r="F7" i="32"/>
  <c r="N7" i="32" s="1"/>
  <c r="E7" i="32"/>
  <c r="D7" i="32"/>
  <c r="C7" i="32"/>
  <c r="B7" i="32"/>
  <c r="BM6" i="32"/>
  <c r="BL6" i="32"/>
  <c r="BK6" i="32"/>
  <c r="BJ6" i="32"/>
  <c r="BI6" i="32"/>
  <c r="BH6" i="32"/>
  <c r="BG6" i="32"/>
  <c r="BF6" i="32"/>
  <c r="BE6" i="32"/>
  <c r="BD6" i="32"/>
  <c r="BC6" i="32"/>
  <c r="BN6" i="32" s="1"/>
  <c r="BB6" i="32"/>
  <c r="AZ6" i="32"/>
  <c r="AY6" i="32"/>
  <c r="AX6" i="32"/>
  <c r="AW6" i="32"/>
  <c r="AV6" i="32"/>
  <c r="AU6" i="32"/>
  <c r="AT6" i="32"/>
  <c r="AS6" i="32"/>
  <c r="BA6" i="32" s="1"/>
  <c r="AR6" i="32"/>
  <c r="AQ6" i="32"/>
  <c r="AP6" i="32"/>
  <c r="AO6" i="32"/>
  <c r="AM6" i="32"/>
  <c r="AL6" i="32"/>
  <c r="AK6" i="32"/>
  <c r="AJ6" i="32"/>
  <c r="AI6" i="32"/>
  <c r="AH6" i="32"/>
  <c r="AG6" i="32"/>
  <c r="AF6" i="32"/>
  <c r="AE6" i="32"/>
  <c r="AN6" i="32" s="1"/>
  <c r="AD6" i="32"/>
  <c r="AC6" i="32"/>
  <c r="AB6" i="32"/>
  <c r="Z6" i="32"/>
  <c r="Y6" i="32"/>
  <c r="X6" i="32"/>
  <c r="W6" i="32"/>
  <c r="V6" i="32"/>
  <c r="U6" i="32"/>
  <c r="T6" i="32"/>
  <c r="S6" i="32"/>
  <c r="R6" i="32"/>
  <c r="Q6" i="32"/>
  <c r="P6" i="32"/>
  <c r="O6" i="32"/>
  <c r="M6" i="32"/>
  <c r="L6" i="32"/>
  <c r="K6" i="32"/>
  <c r="J6" i="32"/>
  <c r="I6" i="32"/>
  <c r="H6" i="32"/>
  <c r="G6" i="32"/>
  <c r="F6" i="32"/>
  <c r="E6" i="32"/>
  <c r="D6" i="32"/>
  <c r="C6" i="32"/>
  <c r="B6" i="32"/>
  <c r="BM5" i="32"/>
  <c r="BL5" i="32"/>
  <c r="BJ5" i="32"/>
  <c r="BH5" i="32"/>
  <c r="BG5" i="32"/>
  <c r="BE5" i="32"/>
  <c r="BD5" i="32"/>
  <c r="BB5" i="32"/>
  <c r="AZ5" i="32"/>
  <c r="AY5" i="32"/>
  <c r="AW5" i="32"/>
  <c r="AV5" i="32"/>
  <c r="AV9" i="32" s="1"/>
  <c r="AT5" i="32"/>
  <c r="AR5" i="32"/>
  <c r="AQ5" i="32"/>
  <c r="AO5" i="32"/>
  <c r="AK5" i="32"/>
  <c r="AJ5" i="32"/>
  <c r="AI5" i="32"/>
  <c r="AF5" i="32"/>
  <c r="AC5" i="32"/>
  <c r="AB5" i="32"/>
  <c r="X5" i="32"/>
  <c r="X9" i="32" s="1"/>
  <c r="V5" i="32"/>
  <c r="T5" i="32"/>
  <c r="S5" i="32"/>
  <c r="P5" i="32"/>
  <c r="M5" i="32"/>
  <c r="L5" i="32"/>
  <c r="L9" i="32" s="1"/>
  <c r="K5" i="32"/>
  <c r="H5" i="32"/>
  <c r="H9" i="32" s="1"/>
  <c r="F5" i="32"/>
  <c r="E5" i="32"/>
  <c r="D5" i="32"/>
  <c r="D9" i="32" s="1"/>
  <c r="C5" i="32"/>
  <c r="B5" i="32"/>
  <c r="BM4" i="32"/>
  <c r="BL4" i="32"/>
  <c r="BK4" i="32"/>
  <c r="BJ4" i="32"/>
  <c r="BI4" i="32"/>
  <c r="BH4" i="32"/>
  <c r="BG4" i="32"/>
  <c r="BG9" i="32" s="1"/>
  <c r="BF4" i="32"/>
  <c r="BF5" i="32" s="1"/>
  <c r="BE4" i="32"/>
  <c r="BD4" i="32"/>
  <c r="BC4" i="32"/>
  <c r="BB4" i="32"/>
  <c r="AZ4" i="32"/>
  <c r="AY4" i="32"/>
  <c r="AY9" i="32" s="1"/>
  <c r="AX4" i="32"/>
  <c r="AX5" i="32" s="1"/>
  <c r="AW4" i="32"/>
  <c r="AV4" i="32"/>
  <c r="AU4" i="32"/>
  <c r="AT4" i="32"/>
  <c r="AS4" i="32"/>
  <c r="AR4" i="32"/>
  <c r="AQ4" i="32"/>
  <c r="AQ9" i="32" s="1"/>
  <c r="AP4" i="32"/>
  <c r="AP5" i="32" s="1"/>
  <c r="AO4" i="32"/>
  <c r="AM4" i="32"/>
  <c r="AL4" i="32"/>
  <c r="AK4" i="32"/>
  <c r="AJ4" i="32"/>
  <c r="AI4" i="32"/>
  <c r="AI9" i="32" s="1"/>
  <c r="AH4" i="32"/>
  <c r="AG4" i="32"/>
  <c r="AF4" i="32"/>
  <c r="AE4" i="32"/>
  <c r="AD4" i="32"/>
  <c r="AC4" i="32"/>
  <c r="AB4" i="32"/>
  <c r="Z4" i="32"/>
  <c r="Y4" i="32"/>
  <c r="X4" i="32"/>
  <c r="W4" i="32"/>
  <c r="V4" i="32"/>
  <c r="U4" i="32"/>
  <c r="T4" i="32"/>
  <c r="S4" i="32"/>
  <c r="S9" i="32" s="1"/>
  <c r="R4" i="32"/>
  <c r="R5" i="32" s="1"/>
  <c r="Q4" i="32"/>
  <c r="P4" i="32"/>
  <c r="O4" i="32"/>
  <c r="M4" i="32"/>
  <c r="L4" i="32"/>
  <c r="K4" i="32"/>
  <c r="K9" i="32" s="1"/>
  <c r="J4" i="32"/>
  <c r="J5" i="32" s="1"/>
  <c r="I4" i="32"/>
  <c r="H4" i="32"/>
  <c r="G4" i="32"/>
  <c r="F4" i="32"/>
  <c r="E4" i="32"/>
  <c r="E9" i="32" s="1"/>
  <c r="D4" i="32"/>
  <c r="C4" i="32"/>
  <c r="C9" i="32" s="1"/>
  <c r="B4" i="32"/>
  <c r="B40" i="31"/>
  <c r="BF37" i="31"/>
  <c r="B30" i="31"/>
  <c r="BC26" i="31"/>
  <c r="BB26" i="31"/>
  <c r="O26" i="31"/>
  <c r="B26" i="31"/>
  <c r="BM24" i="31"/>
  <c r="BL24" i="31"/>
  <c r="BK24" i="31"/>
  <c r="BJ24" i="31"/>
  <c r="BI24" i="31"/>
  <c r="BH24" i="31"/>
  <c r="BG24" i="31"/>
  <c r="BF24" i="31"/>
  <c r="BE24" i="31"/>
  <c r="BD24" i="31"/>
  <c r="BC24" i="31"/>
  <c r="BB24" i="31"/>
  <c r="AZ24" i="31"/>
  <c r="AY24" i="31"/>
  <c r="AX24" i="31"/>
  <c r="AW24" i="31"/>
  <c r="AV24" i="31"/>
  <c r="AU24" i="31"/>
  <c r="AT24" i="31"/>
  <c r="AS24" i="31"/>
  <c r="AR24" i="31"/>
  <c r="AQ24" i="31"/>
  <c r="AP24" i="31"/>
  <c r="AO24" i="31"/>
  <c r="AM24" i="31"/>
  <c r="AL24" i="31"/>
  <c r="AK24" i="31"/>
  <c r="AJ24" i="31"/>
  <c r="AI24" i="31"/>
  <c r="AH24" i="31"/>
  <c r="AG24" i="31"/>
  <c r="AF24" i="31"/>
  <c r="AN24" i="31" s="1"/>
  <c r="AE24" i="31"/>
  <c r="AD24" i="31"/>
  <c r="AC24" i="31"/>
  <c r="AB24" i="31"/>
  <c r="Z24" i="31"/>
  <c r="Y24" i="31"/>
  <c r="X24" i="31"/>
  <c r="W24" i="31"/>
  <c r="V24" i="31"/>
  <c r="U24" i="31"/>
  <c r="T24" i="31"/>
  <c r="S24" i="31"/>
  <c r="R24" i="31"/>
  <c r="Q24" i="31"/>
  <c r="P24" i="31"/>
  <c r="AA24" i="31" s="1"/>
  <c r="O24" i="31"/>
  <c r="M24" i="31"/>
  <c r="L24" i="31"/>
  <c r="K24" i="31"/>
  <c r="J24" i="31"/>
  <c r="I24" i="31"/>
  <c r="H24" i="31"/>
  <c r="G24" i="31"/>
  <c r="F24" i="31"/>
  <c r="E24" i="31"/>
  <c r="D24" i="31"/>
  <c r="C24" i="31"/>
  <c r="B24" i="31"/>
  <c r="BD23" i="31"/>
  <c r="BD26" i="31" s="1"/>
  <c r="BC23" i="31"/>
  <c r="BB23" i="31"/>
  <c r="AP23" i="31"/>
  <c r="AO23" i="31"/>
  <c r="AC23" i="31"/>
  <c r="AB23" i="31"/>
  <c r="Q23" i="31"/>
  <c r="P23" i="31"/>
  <c r="O23" i="31"/>
  <c r="B23" i="31"/>
  <c r="BO18" i="31"/>
  <c r="BO18" i="32" s="1"/>
  <c r="BK18" i="31"/>
  <c r="BH18" i="31"/>
  <c r="BE18" i="31"/>
  <c r="BB18" i="31"/>
  <c r="AZ18" i="31"/>
  <c r="AY18" i="31"/>
  <c r="AX18" i="31"/>
  <c r="AX18" i="32" s="1"/>
  <c r="AV18" i="31"/>
  <c r="AU18" i="31"/>
  <c r="AU18" i="32" s="1"/>
  <c r="AR18" i="31"/>
  <c r="AS18" i="31" s="1"/>
  <c r="AO18" i="31"/>
  <c r="AK18" i="31"/>
  <c r="AH18" i="31"/>
  <c r="AF18" i="31"/>
  <c r="AE18" i="31"/>
  <c r="AB18" i="31"/>
  <c r="AB18" i="32" s="1"/>
  <c r="Y18" i="31"/>
  <c r="X18" i="31"/>
  <c r="X18" i="32" s="1"/>
  <c r="W18" i="31"/>
  <c r="W18" i="32" s="1"/>
  <c r="V18" i="31"/>
  <c r="U18" i="31"/>
  <c r="R18" i="31"/>
  <c r="O18" i="31"/>
  <c r="K18" i="31"/>
  <c r="H18" i="31"/>
  <c r="E18" i="31"/>
  <c r="B18" i="31"/>
  <c r="B17" i="31"/>
  <c r="BH13" i="31"/>
  <c r="AZ13" i="31"/>
  <c r="Y13" i="31"/>
  <c r="T13" i="31"/>
  <c r="BM11" i="31"/>
  <c r="BL11" i="31"/>
  <c r="BL37" i="31" s="1"/>
  <c r="BK11" i="31"/>
  <c r="BK37" i="31" s="1"/>
  <c r="BJ11" i="31"/>
  <c r="BJ37" i="31" s="1"/>
  <c r="BI11" i="31"/>
  <c r="BI37" i="31" s="1"/>
  <c r="BH11" i="31"/>
  <c r="BH37" i="31" s="1"/>
  <c r="BG11" i="31"/>
  <c r="BG37" i="31" s="1"/>
  <c r="BF11" i="31"/>
  <c r="BE11" i="31"/>
  <c r="BD11" i="31"/>
  <c r="BD37" i="31" s="1"/>
  <c r="BC11" i="31"/>
  <c r="BC37" i="31" s="1"/>
  <c r="BB11" i="31"/>
  <c r="BB37" i="31" s="1"/>
  <c r="AZ11" i="31"/>
  <c r="AZ37" i="31" s="1"/>
  <c r="AY11" i="31"/>
  <c r="AX11" i="31"/>
  <c r="AX37" i="31" s="1"/>
  <c r="AW11" i="31"/>
  <c r="AW37" i="31" s="1"/>
  <c r="AV11" i="31"/>
  <c r="AV37" i="31" s="1"/>
  <c r="AU11" i="31"/>
  <c r="AT11" i="31"/>
  <c r="AT37" i="31" s="1"/>
  <c r="AS11" i="31"/>
  <c r="AS37" i="31" s="1"/>
  <c r="AR11" i="31"/>
  <c r="BA11" i="31" s="1"/>
  <c r="AQ11" i="31"/>
  <c r="AP11" i="31"/>
  <c r="AP37" i="31" s="1"/>
  <c r="AO11" i="31"/>
  <c r="AO37" i="31" s="1"/>
  <c r="AM11" i="31"/>
  <c r="AL11" i="31"/>
  <c r="AL37" i="31" s="1"/>
  <c r="AK11" i="31"/>
  <c r="AK37" i="31" s="1"/>
  <c r="AJ11" i="31"/>
  <c r="AJ37" i="31" s="1"/>
  <c r="AI11" i="31"/>
  <c r="AH11" i="31"/>
  <c r="AH37" i="31" s="1"/>
  <c r="AG11" i="31"/>
  <c r="AG37" i="31" s="1"/>
  <c r="AF11" i="31"/>
  <c r="AF37" i="31" s="1"/>
  <c r="AE11" i="31"/>
  <c r="AD11" i="31"/>
  <c r="AD37" i="31" s="1"/>
  <c r="AC11" i="31"/>
  <c r="AC37" i="31" s="1"/>
  <c r="AB11" i="31"/>
  <c r="AB37" i="31" s="1"/>
  <c r="Z11" i="31"/>
  <c r="Z37" i="31" s="1"/>
  <c r="Y11" i="31"/>
  <c r="Y37" i="31" s="1"/>
  <c r="X11" i="31"/>
  <c r="W11" i="31"/>
  <c r="V11" i="31"/>
  <c r="V37" i="31" s="1"/>
  <c r="U11" i="31"/>
  <c r="U37" i="31" s="1"/>
  <c r="T11" i="31"/>
  <c r="T37" i="31" s="1"/>
  <c r="S11" i="31"/>
  <c r="R11" i="31"/>
  <c r="R37" i="31" s="1"/>
  <c r="Q11" i="31"/>
  <c r="Q37" i="31" s="1"/>
  <c r="P11" i="31"/>
  <c r="O11" i="31"/>
  <c r="M11" i="31"/>
  <c r="M37" i="31" s="1"/>
  <c r="L11" i="31"/>
  <c r="L37" i="31" s="1"/>
  <c r="K11" i="31"/>
  <c r="J11" i="31"/>
  <c r="J37" i="31" s="1"/>
  <c r="I11" i="31"/>
  <c r="I37" i="31" s="1"/>
  <c r="H11" i="31"/>
  <c r="H37" i="31" s="1"/>
  <c r="G11" i="31"/>
  <c r="F11" i="31"/>
  <c r="F37" i="31" s="1"/>
  <c r="E11" i="31"/>
  <c r="E37" i="31" s="1"/>
  <c r="D11" i="31"/>
  <c r="D37" i="31" s="1"/>
  <c r="C11" i="31"/>
  <c r="B11" i="31"/>
  <c r="B37" i="31" s="1"/>
  <c r="BI9" i="31"/>
  <c r="BF9" i="31"/>
  <c r="AX9" i="31"/>
  <c r="AP9" i="31"/>
  <c r="AK9" i="31"/>
  <c r="AI9" i="31"/>
  <c r="AC9" i="31"/>
  <c r="AC36" i="31" s="1"/>
  <c r="AC38" i="31" s="1"/>
  <c r="Y9" i="31"/>
  <c r="U9" i="31"/>
  <c r="U13" i="31" s="1"/>
  <c r="R9" i="31"/>
  <c r="Q9" i="31"/>
  <c r="Q36" i="31" s="1"/>
  <c r="Q38" i="31" s="1"/>
  <c r="E9" i="31"/>
  <c r="C9" i="31"/>
  <c r="BN8" i="31"/>
  <c r="BA8" i="31"/>
  <c r="AN8" i="31"/>
  <c r="AA8" i="31"/>
  <c r="N8" i="31"/>
  <c r="BN7" i="31"/>
  <c r="BA7" i="31"/>
  <c r="AN7" i="31"/>
  <c r="AA7" i="31"/>
  <c r="N7" i="31"/>
  <c r="BM6" i="31"/>
  <c r="BL6" i="31"/>
  <c r="BK6" i="31"/>
  <c r="BJ6" i="31"/>
  <c r="BI6" i="31"/>
  <c r="BH6" i="31"/>
  <c r="BG6" i="31"/>
  <c r="BF6" i="31"/>
  <c r="BE6" i="31"/>
  <c r="BD6" i="31"/>
  <c r="BC6" i="31"/>
  <c r="BB6" i="31"/>
  <c r="BN6" i="31" s="1"/>
  <c r="AZ6" i="31"/>
  <c r="AY6" i="31"/>
  <c r="AX6" i="31"/>
  <c r="AW6" i="31"/>
  <c r="AV6" i="31"/>
  <c r="AU6" i="31"/>
  <c r="AT6" i="31"/>
  <c r="AS6" i="31"/>
  <c r="AR6" i="31"/>
  <c r="AQ6" i="31"/>
  <c r="AP6" i="31"/>
  <c r="AO6" i="31"/>
  <c r="BA6" i="31" s="1"/>
  <c r="AM6" i="31"/>
  <c r="AL6" i="31"/>
  <c r="AK6" i="31"/>
  <c r="AJ6" i="31"/>
  <c r="AI6" i="31"/>
  <c r="AH6" i="31"/>
  <c r="AG6" i="31"/>
  <c r="AG9" i="31" s="1"/>
  <c r="AF6" i="31"/>
  <c r="AN6" i="31" s="1"/>
  <c r="AE6" i="31"/>
  <c r="AD6" i="31"/>
  <c r="AC6" i="31"/>
  <c r="AB6" i="31"/>
  <c r="Z6" i="31"/>
  <c r="Y6" i="31"/>
  <c r="X6" i="31"/>
  <c r="W6" i="31"/>
  <c r="V6" i="31"/>
  <c r="U6" i="31"/>
  <c r="T6" i="31"/>
  <c r="S6" i="31"/>
  <c r="R6" i="31"/>
  <c r="Q6" i="31"/>
  <c r="P6" i="31"/>
  <c r="O6" i="31"/>
  <c r="M6" i="31"/>
  <c r="L6" i="31"/>
  <c r="K6" i="31"/>
  <c r="J6" i="31"/>
  <c r="I6" i="31"/>
  <c r="H6" i="31"/>
  <c r="G6" i="31"/>
  <c r="F6" i="31"/>
  <c r="E6" i="31"/>
  <c r="D6" i="31"/>
  <c r="C6" i="31"/>
  <c r="B6" i="31"/>
  <c r="N6" i="31" s="1"/>
  <c r="BM5" i="31"/>
  <c r="BM9" i="31" s="1"/>
  <c r="BL5" i="31"/>
  <c r="BL9" i="31" s="1"/>
  <c r="BL13" i="31" s="1"/>
  <c r="BK5" i="31"/>
  <c r="BK9" i="31" s="1"/>
  <c r="BJ5" i="31"/>
  <c r="BJ9" i="31" s="1"/>
  <c r="BI5" i="31"/>
  <c r="BH5" i="31"/>
  <c r="BH9" i="31" s="1"/>
  <c r="BG5" i="31"/>
  <c r="BG9" i="31" s="1"/>
  <c r="BF5" i="31"/>
  <c r="BE5" i="31"/>
  <c r="BE9" i="31" s="1"/>
  <c r="BD5" i="31"/>
  <c r="BD9" i="31" s="1"/>
  <c r="BD36" i="31" s="1"/>
  <c r="BD38" i="31" s="1"/>
  <c r="BC5" i="31"/>
  <c r="BC9" i="31" s="1"/>
  <c r="BB5" i="31"/>
  <c r="BB9" i="31" s="1"/>
  <c r="AZ5" i="31"/>
  <c r="AZ9" i="31" s="1"/>
  <c r="AY5" i="31"/>
  <c r="AY9" i="31" s="1"/>
  <c r="AX5" i="31"/>
  <c r="AW5" i="31"/>
  <c r="AW9" i="31" s="1"/>
  <c r="AV5" i="31"/>
  <c r="AV9" i="31" s="1"/>
  <c r="AU5" i="31"/>
  <c r="AU9" i="31" s="1"/>
  <c r="AT5" i="31"/>
  <c r="AT9" i="31" s="1"/>
  <c r="AS5" i="31"/>
  <c r="AS9" i="31" s="1"/>
  <c r="AR5" i="31"/>
  <c r="AR9" i="31" s="1"/>
  <c r="AQ5" i="31"/>
  <c r="AQ9" i="31" s="1"/>
  <c r="AP5" i="31"/>
  <c r="AO5" i="31"/>
  <c r="BA5" i="31" s="1"/>
  <c r="BA9" i="31" s="1"/>
  <c r="AM5" i="31"/>
  <c r="AM9" i="31" s="1"/>
  <c r="AL5" i="31"/>
  <c r="AL9" i="31" s="1"/>
  <c r="AK5" i="31"/>
  <c r="AJ5" i="31"/>
  <c r="AI5" i="31"/>
  <c r="AH5" i="31"/>
  <c r="AH9" i="31" s="1"/>
  <c r="AG5" i="31"/>
  <c r="AF5" i="31"/>
  <c r="AF9" i="31" s="1"/>
  <c r="AE5" i="31"/>
  <c r="AE9" i="31" s="1"/>
  <c r="AD5" i="31"/>
  <c r="AD9" i="31" s="1"/>
  <c r="AC5" i="31"/>
  <c r="AB5" i="31"/>
  <c r="Z5" i="31"/>
  <c r="Z9" i="31" s="1"/>
  <c r="Y5" i="31"/>
  <c r="X5" i="31"/>
  <c r="X9" i="31" s="1"/>
  <c r="W5" i="31"/>
  <c r="W9" i="31" s="1"/>
  <c r="V5" i="31"/>
  <c r="V9" i="31" s="1"/>
  <c r="U5" i="31"/>
  <c r="T5" i="31"/>
  <c r="T9" i="31" s="1"/>
  <c r="S5" i="31"/>
  <c r="S9" i="31" s="1"/>
  <c r="R5" i="31"/>
  <c r="Q5" i="31"/>
  <c r="P5" i="31"/>
  <c r="P9" i="31" s="1"/>
  <c r="P36" i="31" s="1"/>
  <c r="O5" i="31"/>
  <c r="O9" i="31" s="1"/>
  <c r="M5" i="31"/>
  <c r="M9" i="31" s="1"/>
  <c r="L5" i="31"/>
  <c r="L9" i="31" s="1"/>
  <c r="K5" i="31"/>
  <c r="K9" i="31" s="1"/>
  <c r="J5" i="31"/>
  <c r="J9" i="31" s="1"/>
  <c r="I5" i="31"/>
  <c r="I9" i="31" s="1"/>
  <c r="H5" i="31"/>
  <c r="H9" i="31" s="1"/>
  <c r="H13" i="31" s="1"/>
  <c r="G5" i="31"/>
  <c r="G9" i="31" s="1"/>
  <c r="F5" i="31"/>
  <c r="F9" i="31" s="1"/>
  <c r="E5" i="31"/>
  <c r="D5" i="31"/>
  <c r="D9" i="31" s="1"/>
  <c r="C5" i="31"/>
  <c r="B5" i="31"/>
  <c r="N5" i="31" s="1"/>
  <c r="BN4" i="31"/>
  <c r="BA4" i="31"/>
  <c r="AN4" i="31"/>
  <c r="AA4" i="31"/>
  <c r="N4" i="31"/>
  <c r="N5" i="21"/>
  <c r="D26" i="33" l="1"/>
  <c r="B31" i="33"/>
  <c r="C31" i="33"/>
  <c r="D27" i="33"/>
  <c r="AQ13" i="31"/>
  <c r="BN9" i="31"/>
  <c r="I13" i="31"/>
  <c r="Z13" i="31"/>
  <c r="J13" i="31"/>
  <c r="S13" i="31"/>
  <c r="AS13" i="31"/>
  <c r="BB36" i="31"/>
  <c r="BB13" i="31"/>
  <c r="BJ13" i="31"/>
  <c r="BG13" i="31"/>
  <c r="AH13" i="31"/>
  <c r="BC36" i="31"/>
  <c r="BC38" i="31" s="1"/>
  <c r="BC13" i="31"/>
  <c r="AS18" i="32"/>
  <c r="AT18" i="31"/>
  <c r="G13" i="31"/>
  <c r="AY13" i="31"/>
  <c r="K13" i="31"/>
  <c r="AT13" i="31"/>
  <c r="BK13" i="31"/>
  <c r="AG13" i="31"/>
  <c r="AD13" i="31"/>
  <c r="AL13" i="31"/>
  <c r="AU13" i="31"/>
  <c r="N9" i="31"/>
  <c r="M13" i="31"/>
  <c r="V13" i="31"/>
  <c r="AE13" i="31"/>
  <c r="AM13" i="31"/>
  <c r="BE13" i="31"/>
  <c r="BM13" i="31"/>
  <c r="AA9" i="31"/>
  <c r="F13" i="31"/>
  <c r="O36" i="31"/>
  <c r="O13" i="31"/>
  <c r="W13" i="31"/>
  <c r="AW13" i="31"/>
  <c r="R13" i="31"/>
  <c r="Q13" i="31"/>
  <c r="AZ18" i="32"/>
  <c r="Q9" i="32"/>
  <c r="Q5" i="32"/>
  <c r="AH5" i="32"/>
  <c r="AH9" i="32"/>
  <c r="AQ13" i="32"/>
  <c r="AY13" i="32"/>
  <c r="BN5" i="31"/>
  <c r="AO9" i="31"/>
  <c r="N11" i="31"/>
  <c r="AC13" i="31"/>
  <c r="BI13" i="31"/>
  <c r="L18" i="31"/>
  <c r="K18" i="32"/>
  <c r="BB18" i="32"/>
  <c r="BC18" i="31"/>
  <c r="AB26" i="31"/>
  <c r="AX13" i="31"/>
  <c r="AN11" i="31"/>
  <c r="BE18" i="32"/>
  <c r="BF18" i="31"/>
  <c r="AC26" i="31"/>
  <c r="AD23" i="31"/>
  <c r="P37" i="31"/>
  <c r="AA11" i="31"/>
  <c r="X37" i="31"/>
  <c r="BE37" i="31"/>
  <c r="BN37" i="31" s="1"/>
  <c r="BM37" i="31"/>
  <c r="AF13" i="31"/>
  <c r="BA24" i="31"/>
  <c r="B33" i="31"/>
  <c r="B34" i="31" s="1"/>
  <c r="B27" i="31"/>
  <c r="AP36" i="31"/>
  <c r="AP38" i="31" s="1"/>
  <c r="AP13" i="31"/>
  <c r="Y18" i="32"/>
  <c r="Z18" i="31"/>
  <c r="AR18" i="32"/>
  <c r="BE23" i="31"/>
  <c r="BE36" i="31" s="1"/>
  <c r="BE38" i="31" s="1"/>
  <c r="AA5" i="31"/>
  <c r="AB9" i="31"/>
  <c r="AJ9" i="31"/>
  <c r="B9" i="31"/>
  <c r="BN11" i="31"/>
  <c r="L13" i="31"/>
  <c r="AR13" i="31"/>
  <c r="BK18" i="32"/>
  <c r="BL18" i="31"/>
  <c r="AO26" i="31"/>
  <c r="AR37" i="31"/>
  <c r="J13" i="32"/>
  <c r="P38" i="31"/>
  <c r="C36" i="31"/>
  <c r="C38" i="31" s="1"/>
  <c r="C13" i="31"/>
  <c r="X13" i="31"/>
  <c r="AI13" i="31"/>
  <c r="BD13" i="31"/>
  <c r="AF18" i="32"/>
  <c r="AG18" i="31"/>
  <c r="AQ23" i="31"/>
  <c r="AQ36" i="31" s="1"/>
  <c r="AQ38" i="31" s="1"/>
  <c r="AP26" i="31"/>
  <c r="Y5" i="32"/>
  <c r="Y9" i="32" s="1"/>
  <c r="R13" i="32"/>
  <c r="BF13" i="31"/>
  <c r="D13" i="31"/>
  <c r="B18" i="32"/>
  <c r="C18" i="31"/>
  <c r="AH18" i="32"/>
  <c r="AI18" i="31"/>
  <c r="P26" i="31"/>
  <c r="AN9" i="31"/>
  <c r="AA6" i="31"/>
  <c r="E13" i="31"/>
  <c r="P13" i="31"/>
  <c r="AK13" i="31"/>
  <c r="AV13" i="31"/>
  <c r="E18" i="32"/>
  <c r="F18" i="31"/>
  <c r="V18" i="32"/>
  <c r="Q26" i="31"/>
  <c r="R23" i="31"/>
  <c r="BG13" i="32"/>
  <c r="AN5" i="31"/>
  <c r="C37" i="31"/>
  <c r="N37" i="31" s="1"/>
  <c r="K37" i="31"/>
  <c r="S37" i="31"/>
  <c r="AI37" i="31"/>
  <c r="AQ37" i="31"/>
  <c r="BA37" i="31" s="1"/>
  <c r="AY37" i="31"/>
  <c r="O18" i="32"/>
  <c r="P18" i="31"/>
  <c r="I5" i="32"/>
  <c r="I9" i="32" s="1"/>
  <c r="Z5" i="32"/>
  <c r="Z9" i="32"/>
  <c r="AI13" i="32"/>
  <c r="D13" i="32"/>
  <c r="BH13" i="32"/>
  <c r="AP13" i="32"/>
  <c r="B9" i="32"/>
  <c r="N4" i="32"/>
  <c r="S13" i="32"/>
  <c r="AN4" i="32"/>
  <c r="AS5" i="32"/>
  <c r="BA5" i="32" s="1"/>
  <c r="AS9" i="32"/>
  <c r="BA4" i="32"/>
  <c r="BI5" i="32"/>
  <c r="BI9" i="32"/>
  <c r="AR13" i="32"/>
  <c r="AX13" i="32"/>
  <c r="R18" i="32"/>
  <c r="AK18" i="32"/>
  <c r="AL18" i="31"/>
  <c r="AV18" i="32"/>
  <c r="N24" i="31"/>
  <c r="C36" i="32"/>
  <c r="C13" i="32"/>
  <c r="K13" i="32"/>
  <c r="AV13" i="32"/>
  <c r="AN7" i="32"/>
  <c r="AB9" i="32"/>
  <c r="AJ13" i="32"/>
  <c r="BH18" i="32"/>
  <c r="S18" i="31"/>
  <c r="AW18" i="31"/>
  <c r="BN24" i="31"/>
  <c r="U5" i="32"/>
  <c r="U9" i="32" s="1"/>
  <c r="AD5" i="32"/>
  <c r="AL9" i="32"/>
  <c r="AL5" i="32"/>
  <c r="AU5" i="32"/>
  <c r="AU9" i="32" s="1"/>
  <c r="BC5" i="32"/>
  <c r="BN5" i="32" s="1"/>
  <c r="BN4" i="32"/>
  <c r="BK5" i="32"/>
  <c r="BK9" i="32" s="1"/>
  <c r="T13" i="32"/>
  <c r="H18" i="32"/>
  <c r="G37" i="31"/>
  <c r="O37" i="31"/>
  <c r="W37" i="31"/>
  <c r="AE37" i="31"/>
  <c r="AN37" i="31" s="1"/>
  <c r="AM37" i="31"/>
  <c r="AU37" i="31"/>
  <c r="I18" i="31"/>
  <c r="AC18" i="31"/>
  <c r="AO18" i="32"/>
  <c r="AP18" i="31"/>
  <c r="BI18" i="31"/>
  <c r="E13" i="32"/>
  <c r="M9" i="32"/>
  <c r="C37" i="32"/>
  <c r="N11" i="32"/>
  <c r="AE18" i="32"/>
  <c r="AY18" i="32"/>
  <c r="C23" i="31"/>
  <c r="L13" i="32"/>
  <c r="X13" i="32"/>
  <c r="AC9" i="32"/>
  <c r="AK9" i="32"/>
  <c r="AT9" i="32"/>
  <c r="BB9" i="32"/>
  <c r="BJ9" i="32"/>
  <c r="P9" i="32"/>
  <c r="BL9" i="32"/>
  <c r="F9" i="32"/>
  <c r="V9" i="32"/>
  <c r="AE5" i="32"/>
  <c r="AE9" i="32" s="1"/>
  <c r="AM5" i="32"/>
  <c r="AM9" i="32" s="1"/>
  <c r="N6" i="32"/>
  <c r="AZ13" i="32"/>
  <c r="G5" i="32"/>
  <c r="N5" i="32" s="1"/>
  <c r="AA4" i="32"/>
  <c r="O5" i="32"/>
  <c r="W5" i="32"/>
  <c r="W9" i="32" s="1"/>
  <c r="AO9" i="32"/>
  <c r="AW9" i="32"/>
  <c r="BE9" i="32"/>
  <c r="BM9" i="32"/>
  <c r="AF9" i="32"/>
  <c r="BD9" i="32"/>
  <c r="BF9" i="32"/>
  <c r="AO37" i="32"/>
  <c r="BA11" i="32"/>
  <c r="AG5" i="32"/>
  <c r="AG9" i="32" s="1"/>
  <c r="H13" i="32"/>
  <c r="AA6" i="32"/>
  <c r="AA11" i="32"/>
  <c r="N37" i="32"/>
  <c r="BN11" i="32"/>
  <c r="BA24" i="32"/>
  <c r="BN24" i="32"/>
  <c r="B33" i="32"/>
  <c r="B34" i="32" s="1"/>
  <c r="B27" i="32"/>
  <c r="BE23" i="32"/>
  <c r="AA24" i="32"/>
  <c r="AD37" i="32"/>
  <c r="AL37" i="32"/>
  <c r="AN37" i="32" s="1"/>
  <c r="AT37" i="32"/>
  <c r="BN37" i="32"/>
  <c r="AA37" i="32"/>
  <c r="AN11" i="32"/>
  <c r="P23" i="32"/>
  <c r="AO26" i="32"/>
  <c r="AP23" i="32"/>
  <c r="AP36" i="32" s="1"/>
  <c r="AP38" i="32" s="1"/>
  <c r="BB26" i="32"/>
  <c r="B11" i="33"/>
  <c r="C11" i="33" s="1"/>
  <c r="D11" i="33" s="1"/>
  <c r="C23" i="32"/>
  <c r="AC23" i="32"/>
  <c r="BM11" i="30"/>
  <c r="BM14" i="30" s="1"/>
  <c r="BM6" i="21" s="1"/>
  <c r="BL11" i="30"/>
  <c r="BL14" i="30" s="1"/>
  <c r="BL6" i="21" s="1"/>
  <c r="BK11" i="30"/>
  <c r="BJ11" i="30"/>
  <c r="BI11" i="30"/>
  <c r="BH11" i="30"/>
  <c r="BG11" i="30"/>
  <c r="BG14" i="30" s="1"/>
  <c r="BG6" i="21" s="1"/>
  <c r="BF11" i="30"/>
  <c r="BF14" i="30" s="1"/>
  <c r="BF6" i="21" s="1"/>
  <c r="BE11" i="30"/>
  <c r="BE14" i="30" s="1"/>
  <c r="BE6" i="21" s="1"/>
  <c r="BD11" i="30"/>
  <c r="BD14" i="30" s="1"/>
  <c r="BD6" i="21" s="1"/>
  <c r="BC11" i="30"/>
  <c r="BB11" i="30"/>
  <c r="AZ11" i="30"/>
  <c r="AZ14" i="30" s="1"/>
  <c r="AZ6" i="21" s="1"/>
  <c r="AY11" i="30"/>
  <c r="AX11" i="30"/>
  <c r="AW11" i="30"/>
  <c r="AW14" i="30" s="1"/>
  <c r="AW6" i="21" s="1"/>
  <c r="AV11" i="30"/>
  <c r="AV14" i="30" s="1"/>
  <c r="AV6" i="21" s="1"/>
  <c r="AU11" i="30"/>
  <c r="AU14" i="30" s="1"/>
  <c r="AU6" i="21" s="1"/>
  <c r="AT11" i="30"/>
  <c r="AT14" i="30" s="1"/>
  <c r="AT6" i="21" s="1"/>
  <c r="AS11" i="30"/>
  <c r="AS14" i="30" s="1"/>
  <c r="AS6" i="21" s="1"/>
  <c r="AR11" i="30"/>
  <c r="AR14" i="30" s="1"/>
  <c r="AR6" i="21" s="1"/>
  <c r="AQ11" i="30"/>
  <c r="AP11" i="30"/>
  <c r="AP14" i="30" s="1"/>
  <c r="AP6" i="21" s="1"/>
  <c r="AO11" i="30"/>
  <c r="AM11" i="30"/>
  <c r="AM14" i="30" s="1"/>
  <c r="AM6" i="21" s="1"/>
  <c r="AL11" i="30"/>
  <c r="AL14" i="30" s="1"/>
  <c r="AL6" i="21" s="1"/>
  <c r="AK11" i="30"/>
  <c r="AJ11" i="30"/>
  <c r="AI11" i="30"/>
  <c r="AH11" i="30"/>
  <c r="AG11" i="30"/>
  <c r="AG14" i="30" s="1"/>
  <c r="AG6" i="21" s="1"/>
  <c r="AF11" i="30"/>
  <c r="AF14" i="30" s="1"/>
  <c r="AF6" i="21" s="1"/>
  <c r="AE11" i="30"/>
  <c r="AE14" i="30" s="1"/>
  <c r="AE6" i="21" s="1"/>
  <c r="AD11" i="30"/>
  <c r="AD14" i="30" s="1"/>
  <c r="AD6" i="21" s="1"/>
  <c r="AC11" i="30"/>
  <c r="AB11" i="30"/>
  <c r="M11" i="30"/>
  <c r="M14" i="30" s="1"/>
  <c r="M6" i="21" s="1"/>
  <c r="L11" i="30"/>
  <c r="K11" i="30"/>
  <c r="N11" i="30" s="1"/>
  <c r="P11" i="30"/>
  <c r="P14" i="30" s="1"/>
  <c r="P6" i="21" s="1"/>
  <c r="Q11" i="30"/>
  <c r="Q14" i="30" s="1"/>
  <c r="Q6" i="21" s="1"/>
  <c r="R11" i="30"/>
  <c r="R14" i="30" s="1"/>
  <c r="R6" i="21" s="1"/>
  <c r="S11" i="30"/>
  <c r="T11" i="30"/>
  <c r="U11" i="30"/>
  <c r="V11" i="30"/>
  <c r="V14" i="30" s="1"/>
  <c r="V6" i="21" s="1"/>
  <c r="W11" i="30"/>
  <c r="W14" i="30" s="1"/>
  <c r="W6" i="21" s="1"/>
  <c r="X11" i="30"/>
  <c r="X14" i="30" s="1"/>
  <c r="X6" i="21" s="1"/>
  <c r="Y11" i="30"/>
  <c r="Y14" i="30" s="1"/>
  <c r="Y6" i="21" s="1"/>
  <c r="Z11" i="30"/>
  <c r="Z14" i="30" s="1"/>
  <c r="Z6" i="21" s="1"/>
  <c r="O11" i="30"/>
  <c r="O14" i="30" s="1"/>
  <c r="O6" i="21" s="1"/>
  <c r="L14" i="30"/>
  <c r="L6" i="21" s="1"/>
  <c r="J14" i="30"/>
  <c r="J6" i="21" s="1"/>
  <c r="I14" i="30"/>
  <c r="I6" i="21" s="1"/>
  <c r="H14" i="30"/>
  <c r="H6" i="21" s="1"/>
  <c r="G14" i="30"/>
  <c r="G6" i="21" s="1"/>
  <c r="F14" i="30"/>
  <c r="F6" i="21" s="1"/>
  <c r="E14" i="30"/>
  <c r="E6" i="21" s="1"/>
  <c r="D14" i="30"/>
  <c r="D6" i="21" s="1"/>
  <c r="C14" i="30"/>
  <c r="C6" i="21" s="1"/>
  <c r="B14" i="30"/>
  <c r="B6" i="21" s="1"/>
  <c r="BK14" i="30"/>
  <c r="BK6" i="21" s="1"/>
  <c r="BJ14" i="30"/>
  <c r="BJ6" i="21" s="1"/>
  <c r="BI14" i="30"/>
  <c r="BI6" i="21" s="1"/>
  <c r="BH14" i="30"/>
  <c r="BH6" i="21" s="1"/>
  <c r="BC14" i="30"/>
  <c r="BC6" i="21" s="1"/>
  <c r="BB14" i="30"/>
  <c r="BB6" i="21" s="1"/>
  <c r="AY14" i="30"/>
  <c r="AY6" i="21" s="1"/>
  <c r="AX14" i="30"/>
  <c r="AX6" i="21" s="1"/>
  <c r="AQ14" i="30"/>
  <c r="AQ6" i="21" s="1"/>
  <c r="AK14" i="30"/>
  <c r="AK6" i="21" s="1"/>
  <c r="AJ14" i="30"/>
  <c r="AJ6" i="21" s="1"/>
  <c r="AI14" i="30"/>
  <c r="AI6" i="21" s="1"/>
  <c r="AH14" i="30"/>
  <c r="AH6" i="21" s="1"/>
  <c r="AC14" i="30"/>
  <c r="AC6" i="21" s="1"/>
  <c r="AB14" i="30"/>
  <c r="AB6" i="21" s="1"/>
  <c r="S14" i="30"/>
  <c r="S6" i="21" s="1"/>
  <c r="T14" i="30"/>
  <c r="T6" i="21" s="1"/>
  <c r="U14" i="30"/>
  <c r="U6" i="21" s="1"/>
  <c r="D31" i="33" l="1"/>
  <c r="AG13" i="32"/>
  <c r="AM13" i="32"/>
  <c r="AE13" i="32"/>
  <c r="W13" i="32"/>
  <c r="Y13" i="32"/>
  <c r="U13" i="32"/>
  <c r="BK13" i="32"/>
  <c r="AU13" i="32"/>
  <c r="I13" i="32"/>
  <c r="BA9" i="32"/>
  <c r="BF18" i="32"/>
  <c r="BG18" i="31"/>
  <c r="AD23" i="32"/>
  <c r="AC26" i="32"/>
  <c r="BJ13" i="32"/>
  <c r="AH13" i="32"/>
  <c r="S23" i="31"/>
  <c r="R26" i="31"/>
  <c r="B12" i="33"/>
  <c r="BA37" i="32"/>
  <c r="AT13" i="32"/>
  <c r="C26" i="31"/>
  <c r="D23" i="31"/>
  <c r="M13" i="32"/>
  <c r="AB36" i="32"/>
  <c r="AB13" i="32"/>
  <c r="AO36" i="31"/>
  <c r="AO13" i="31"/>
  <c r="BN13" i="31"/>
  <c r="Z13" i="32"/>
  <c r="AC18" i="32"/>
  <c r="AD18" i="31"/>
  <c r="BC9" i="32"/>
  <c r="AG18" i="32"/>
  <c r="C26" i="32"/>
  <c r="D23" i="32"/>
  <c r="P26" i="32"/>
  <c r="Q23" i="32"/>
  <c r="BF13" i="32"/>
  <c r="V13" i="32"/>
  <c r="AK13" i="32"/>
  <c r="AW18" i="32"/>
  <c r="Z18" i="32"/>
  <c r="AA13" i="31"/>
  <c r="BB38" i="31"/>
  <c r="AB36" i="31"/>
  <c r="AB13" i="31"/>
  <c r="AP26" i="32"/>
  <c r="AQ23" i="32"/>
  <c r="AW13" i="32"/>
  <c r="AS13" i="32"/>
  <c r="BL18" i="32"/>
  <c r="BM18" i="31"/>
  <c r="BC18" i="32"/>
  <c r="BD18" i="31"/>
  <c r="BE26" i="32"/>
  <c r="BF23" i="32"/>
  <c r="BD36" i="32"/>
  <c r="BD38" i="32" s="1"/>
  <c r="BD13" i="32"/>
  <c r="AA5" i="32"/>
  <c r="F13" i="32"/>
  <c r="AC36" i="32"/>
  <c r="AC38" i="32" s="1"/>
  <c r="AC13" i="32"/>
  <c r="AL13" i="32"/>
  <c r="S18" i="32"/>
  <c r="T18" i="31"/>
  <c r="P18" i="32"/>
  <c r="Q18" i="31"/>
  <c r="Q13" i="32"/>
  <c r="R36" i="31"/>
  <c r="R38" i="31" s="1"/>
  <c r="O38" i="31"/>
  <c r="G9" i="32"/>
  <c r="BE26" i="31"/>
  <c r="BF23" i="31"/>
  <c r="AO36" i="32"/>
  <c r="AO13" i="32"/>
  <c r="BB36" i="32"/>
  <c r="BB13" i="32"/>
  <c r="C38" i="32"/>
  <c r="AF13" i="32"/>
  <c r="AA9" i="32"/>
  <c r="BI18" i="32"/>
  <c r="BJ18" i="31"/>
  <c r="AN5" i="32"/>
  <c r="AN9" i="32" s="1"/>
  <c r="BI13" i="32"/>
  <c r="N9" i="32"/>
  <c r="F18" i="32"/>
  <c r="G18" i="31"/>
  <c r="AI18" i="32"/>
  <c r="AJ18" i="31"/>
  <c r="B36" i="31"/>
  <c r="B13" i="31"/>
  <c r="AE23" i="31"/>
  <c r="AD26" i="31"/>
  <c r="L18" i="32"/>
  <c r="M18" i="31"/>
  <c r="AD36" i="31"/>
  <c r="AD38" i="31" s="1"/>
  <c r="AT18" i="32"/>
  <c r="BE36" i="32"/>
  <c r="BE38" i="32" s="1"/>
  <c r="BE13" i="32"/>
  <c r="P36" i="32"/>
  <c r="P38" i="32" s="1"/>
  <c r="P13" i="32"/>
  <c r="C18" i="32"/>
  <c r="C29" i="32" s="1"/>
  <c r="D18" i="31"/>
  <c r="C29" i="31"/>
  <c r="I18" i="32"/>
  <c r="J18" i="31"/>
  <c r="AL18" i="32"/>
  <c r="AM18" i="31"/>
  <c r="BM13" i="32"/>
  <c r="O9" i="32"/>
  <c r="BL13" i="32"/>
  <c r="AP18" i="32"/>
  <c r="AQ18" i="31"/>
  <c r="AA37" i="31"/>
  <c r="BN9" i="32"/>
  <c r="AD9" i="32"/>
  <c r="B36" i="32"/>
  <c r="B13" i="32"/>
  <c r="AR23" i="31"/>
  <c r="AQ26" i="31"/>
  <c r="AJ13" i="31"/>
  <c r="K14" i="30"/>
  <c r="K6" i="21" s="1"/>
  <c r="N6" i="21" s="1"/>
  <c r="BA11" i="30"/>
  <c r="BN6" i="21"/>
  <c r="AN6" i="21"/>
  <c r="AN11" i="30"/>
  <c r="AA6" i="21"/>
  <c r="AO14" i="30"/>
  <c r="AO6" i="21" s="1"/>
  <c r="BA6" i="21" s="1"/>
  <c r="BN11" i="30"/>
  <c r="N14" i="30"/>
  <c r="AN14" i="30"/>
  <c r="AA11" i="30"/>
  <c r="BN14" i="30"/>
  <c r="AA14" i="30"/>
  <c r="C30" i="31" l="1"/>
  <c r="C30" i="32"/>
  <c r="BA13" i="32"/>
  <c r="G13" i="32"/>
  <c r="AD18" i="32"/>
  <c r="AQ26" i="32"/>
  <c r="AR23" i="32"/>
  <c r="AQ36" i="32"/>
  <c r="AQ38" i="32" s="1"/>
  <c r="AO38" i="31"/>
  <c r="AM18" i="32"/>
  <c r="D18" i="32"/>
  <c r="G18" i="32"/>
  <c r="D26" i="32"/>
  <c r="E23" i="32"/>
  <c r="D36" i="32"/>
  <c r="D38" i="32" s="1"/>
  <c r="AD36" i="32"/>
  <c r="AD38" i="32" s="1"/>
  <c r="AD13" i="32"/>
  <c r="T18" i="32"/>
  <c r="D26" i="31"/>
  <c r="E23" i="31"/>
  <c r="D36" i="31"/>
  <c r="D38" i="31" s="1"/>
  <c r="J18" i="32"/>
  <c r="BJ18" i="32"/>
  <c r="AB38" i="31"/>
  <c r="C33" i="31"/>
  <c r="C34" i="31" s="1"/>
  <c r="C27" i="31"/>
  <c r="AD26" i="32"/>
  <c r="AE23" i="32"/>
  <c r="O36" i="32"/>
  <c r="O13" i="32"/>
  <c r="BD18" i="32"/>
  <c r="Q26" i="32"/>
  <c r="R23" i="32"/>
  <c r="BA13" i="31"/>
  <c r="BM18" i="32"/>
  <c r="AQ18" i="32"/>
  <c r="Q36" i="32"/>
  <c r="Q38" i="32" s="1"/>
  <c r="BG18" i="32"/>
  <c r="M18" i="32"/>
  <c r="AO38" i="32"/>
  <c r="AR26" i="31"/>
  <c r="AS23" i="31"/>
  <c r="AR36" i="31"/>
  <c r="AR38" i="31" s="1"/>
  <c r="AN13" i="31"/>
  <c r="C33" i="32"/>
  <c r="C34" i="32" s="1"/>
  <c r="C27" i="32"/>
  <c r="S26" i="31"/>
  <c r="T23" i="31"/>
  <c r="S36" i="31"/>
  <c r="AF23" i="31"/>
  <c r="AE26" i="31"/>
  <c r="AE36" i="31"/>
  <c r="AE38" i="31" s="1"/>
  <c r="B20" i="32"/>
  <c r="B21" i="32" s="1"/>
  <c r="N13" i="32"/>
  <c r="B14" i="32"/>
  <c r="B20" i="31"/>
  <c r="B21" i="31" s="1"/>
  <c r="N13" i="31"/>
  <c r="B14" i="31"/>
  <c r="AJ18" i="32"/>
  <c r="BN13" i="32"/>
  <c r="BG23" i="31"/>
  <c r="BF26" i="31"/>
  <c r="BF36" i="31"/>
  <c r="Q18" i="32"/>
  <c r="BC36" i="32"/>
  <c r="BC38" i="32" s="1"/>
  <c r="BC13" i="32"/>
  <c r="AB38" i="32"/>
  <c r="B38" i="32"/>
  <c r="B38" i="31"/>
  <c r="BB38" i="32"/>
  <c r="BF26" i="32"/>
  <c r="BG23" i="32"/>
  <c r="BF36" i="32"/>
  <c r="BF38" i="32" s="1"/>
  <c r="BO11" i="30"/>
  <c r="BA14" i="30"/>
  <c r="BO14" i="30"/>
  <c r="S38" i="31" l="1"/>
  <c r="C16" i="32"/>
  <c r="C14" i="32"/>
  <c r="BG26" i="32"/>
  <c r="BH23" i="32"/>
  <c r="BG36" i="32"/>
  <c r="T26" i="31"/>
  <c r="U23" i="31"/>
  <c r="T36" i="31"/>
  <c r="T38" i="31" s="1"/>
  <c r="AA13" i="32"/>
  <c r="F23" i="32"/>
  <c r="E26" i="32"/>
  <c r="E36" i="32"/>
  <c r="E38" i="32" s="1"/>
  <c r="BF38" i="31"/>
  <c r="AN13" i="32"/>
  <c r="O38" i="32"/>
  <c r="D29" i="31"/>
  <c r="D27" i="32"/>
  <c r="E29" i="32" s="1"/>
  <c r="B42" i="31"/>
  <c r="B42" i="32"/>
  <c r="C16" i="31"/>
  <c r="C14" i="31"/>
  <c r="R26" i="32"/>
  <c r="S23" i="32"/>
  <c r="R36" i="32"/>
  <c r="R38" i="32" s="1"/>
  <c r="D29" i="32"/>
  <c r="D33" i="32" s="1"/>
  <c r="D34" i="32" s="1"/>
  <c r="AS26" i="31"/>
  <c r="AT23" i="31"/>
  <c r="AS36" i="31"/>
  <c r="BH23" i="31"/>
  <c r="BG26" i="31"/>
  <c r="BG36" i="31"/>
  <c r="BG38" i="31" s="1"/>
  <c r="AR26" i="32"/>
  <c r="AS23" i="32"/>
  <c r="AR36" i="32"/>
  <c r="AF26" i="31"/>
  <c r="AG23" i="31"/>
  <c r="AF36" i="31"/>
  <c r="AF23" i="32"/>
  <c r="AE26" i="32"/>
  <c r="AE36" i="32"/>
  <c r="E26" i="31"/>
  <c r="F23" i="31"/>
  <c r="E36" i="31"/>
  <c r="D33" i="31"/>
  <c r="D34" i="31" s="1"/>
  <c r="D27" i="31"/>
  <c r="E29" i="31" s="1"/>
  <c r="BN6" i="30"/>
  <c r="BN5" i="30"/>
  <c r="BA6" i="30"/>
  <c r="BA5" i="30"/>
  <c r="AN6" i="30"/>
  <c r="AN5" i="30"/>
  <c r="AA6" i="30"/>
  <c r="AA5" i="30"/>
  <c r="AA7" i="30" s="1"/>
  <c r="O7" i="30"/>
  <c r="P7" i="30"/>
  <c r="Q7" i="30"/>
  <c r="R7" i="30"/>
  <c r="S7" i="30"/>
  <c r="T7" i="30"/>
  <c r="U7" i="30"/>
  <c r="V7" i="30"/>
  <c r="W7" i="30"/>
  <c r="X7" i="30"/>
  <c r="Y7" i="30"/>
  <c r="Z7" i="30"/>
  <c r="AB7" i="30"/>
  <c r="AC7" i="30"/>
  <c r="AD7" i="30"/>
  <c r="AE7" i="30"/>
  <c r="AF7" i="30"/>
  <c r="AG7" i="30"/>
  <c r="AH7" i="30"/>
  <c r="AI7" i="30"/>
  <c r="AJ7" i="30"/>
  <c r="AK7" i="30"/>
  <c r="AL7" i="30"/>
  <c r="AM7" i="30"/>
  <c r="AO7" i="30"/>
  <c r="AP7" i="30"/>
  <c r="AQ7" i="30"/>
  <c r="AR7" i="30"/>
  <c r="AS7" i="30"/>
  <c r="AT7" i="30"/>
  <c r="AU7" i="30"/>
  <c r="AV7" i="30"/>
  <c r="AW7" i="30"/>
  <c r="AX7" i="30"/>
  <c r="AY7" i="30"/>
  <c r="AZ7" i="30"/>
  <c r="BB7" i="30"/>
  <c r="BC7" i="30"/>
  <c r="BD7" i="30"/>
  <c r="BE7" i="30"/>
  <c r="BF7" i="30"/>
  <c r="BG7" i="30"/>
  <c r="BH7" i="30"/>
  <c r="BI7" i="30"/>
  <c r="BJ7" i="30"/>
  <c r="BK7" i="30"/>
  <c r="BL7" i="30"/>
  <c r="BM7" i="30"/>
  <c r="C7" i="30"/>
  <c r="D7" i="30"/>
  <c r="E7" i="30"/>
  <c r="F7" i="30"/>
  <c r="G7" i="30"/>
  <c r="H7" i="30"/>
  <c r="I7" i="30"/>
  <c r="J7" i="30"/>
  <c r="K7" i="30"/>
  <c r="L7" i="30"/>
  <c r="M7" i="30"/>
  <c r="B7" i="30"/>
  <c r="N6" i="30"/>
  <c r="N5" i="30"/>
  <c r="D16" i="31" l="1"/>
  <c r="D14" i="31"/>
  <c r="B43" i="32"/>
  <c r="BG38" i="32"/>
  <c r="AS38" i="31"/>
  <c r="BH26" i="32"/>
  <c r="BI23" i="32"/>
  <c r="BH36" i="32"/>
  <c r="BH38" i="32" s="1"/>
  <c r="C40" i="31"/>
  <c r="C17" i="31"/>
  <c r="C20" i="31"/>
  <c r="C21" i="31" s="1"/>
  <c r="AE38" i="32"/>
  <c r="S26" i="32"/>
  <c r="T23" i="32"/>
  <c r="S36" i="32"/>
  <c r="S38" i="32" s="1"/>
  <c r="U26" i="31"/>
  <c r="V23" i="31"/>
  <c r="U36" i="31"/>
  <c r="E38" i="31"/>
  <c r="D30" i="31"/>
  <c r="E30" i="31" s="1"/>
  <c r="F26" i="32"/>
  <c r="G23" i="32"/>
  <c r="F36" i="32"/>
  <c r="AG26" i="31"/>
  <c r="AH23" i="31"/>
  <c r="AG36" i="31"/>
  <c r="AG38" i="31" s="1"/>
  <c r="E33" i="32"/>
  <c r="E34" i="32" s="1"/>
  <c r="E27" i="32"/>
  <c r="F29" i="32" s="1"/>
  <c r="G23" i="31"/>
  <c r="F26" i="31"/>
  <c r="F36" i="31"/>
  <c r="F38" i="31" s="1"/>
  <c r="AR38" i="32"/>
  <c r="D30" i="32"/>
  <c r="E30" i="32" s="1"/>
  <c r="B43" i="31"/>
  <c r="D16" i="32"/>
  <c r="D14" i="32"/>
  <c r="BH26" i="31"/>
  <c r="BI23" i="31"/>
  <c r="BH36" i="31"/>
  <c r="AF38" i="31"/>
  <c r="AF26" i="32"/>
  <c r="AG23" i="32"/>
  <c r="AF36" i="32"/>
  <c r="AF38" i="32" s="1"/>
  <c r="AU23" i="31"/>
  <c r="AT26" i="31"/>
  <c r="AT36" i="31"/>
  <c r="AT38" i="31" s="1"/>
  <c r="E33" i="31"/>
  <c r="E34" i="31" s="1"/>
  <c r="E27" i="31"/>
  <c r="F29" i="31" s="1"/>
  <c r="AT23" i="32"/>
  <c r="AS26" i="32"/>
  <c r="AS36" i="32"/>
  <c r="AS38" i="32" s="1"/>
  <c r="C40" i="32"/>
  <c r="C17" i="32"/>
  <c r="C20" i="32"/>
  <c r="C21" i="32" s="1"/>
  <c r="BO5" i="30"/>
  <c r="N7" i="30"/>
  <c r="BO6" i="30"/>
  <c r="AN7" i="30"/>
  <c r="BA7" i="30"/>
  <c r="BN7" i="30"/>
  <c r="F30" i="31" l="1"/>
  <c r="E16" i="32"/>
  <c r="E14" i="32"/>
  <c r="AT26" i="32"/>
  <c r="AU23" i="32"/>
  <c r="AT36" i="32"/>
  <c r="U38" i="31"/>
  <c r="D40" i="32"/>
  <c r="D42" i="32" s="1"/>
  <c r="D17" i="32"/>
  <c r="D20" i="32"/>
  <c r="D21" i="32" s="1"/>
  <c r="AG26" i="32"/>
  <c r="AH23" i="32"/>
  <c r="AG36" i="32"/>
  <c r="AG38" i="32" s="1"/>
  <c r="F33" i="31"/>
  <c r="F34" i="31" s="1"/>
  <c r="F27" i="31"/>
  <c r="G29" i="31" s="1"/>
  <c r="G30" i="31" s="1"/>
  <c r="BJ23" i="32"/>
  <c r="BI26" i="32"/>
  <c r="BI36" i="32"/>
  <c r="C42" i="31"/>
  <c r="E16" i="31"/>
  <c r="E14" i="31"/>
  <c r="W23" i="31"/>
  <c r="V26" i="31"/>
  <c r="V36" i="31"/>
  <c r="V38" i="31" s="1"/>
  <c r="F30" i="32"/>
  <c r="G26" i="31"/>
  <c r="H23" i="31"/>
  <c r="G36" i="31"/>
  <c r="G38" i="31" s="1"/>
  <c r="F38" i="32"/>
  <c r="T26" i="32"/>
  <c r="U23" i="32"/>
  <c r="T36" i="32"/>
  <c r="BH38" i="31"/>
  <c r="H23" i="32"/>
  <c r="G26" i="32"/>
  <c r="G36" i="32"/>
  <c r="G38" i="32" s="1"/>
  <c r="C42" i="32"/>
  <c r="AU26" i="31"/>
  <c r="AV23" i="31"/>
  <c r="AU36" i="31"/>
  <c r="BI26" i="31"/>
  <c r="BJ23" i="31"/>
  <c r="BI36" i="31"/>
  <c r="BI38" i="31" s="1"/>
  <c r="AI23" i="31"/>
  <c r="AH26" i="31"/>
  <c r="AH36" i="31"/>
  <c r="F27" i="32"/>
  <c r="G29" i="32" s="1"/>
  <c r="F33" i="32"/>
  <c r="F34" i="32" s="1"/>
  <c r="D40" i="31"/>
  <c r="D42" i="31" s="1"/>
  <c r="D17" i="31"/>
  <c r="D20" i="31"/>
  <c r="D21" i="31" s="1"/>
  <c r="BO7" i="30"/>
  <c r="D21" i="29"/>
  <c r="C21" i="29"/>
  <c r="AM11" i="22"/>
  <c r="AU38" i="31" l="1"/>
  <c r="C43" i="31"/>
  <c r="D43" i="31" s="1"/>
  <c r="H26" i="31"/>
  <c r="I23" i="31"/>
  <c r="H36" i="31"/>
  <c r="D43" i="32"/>
  <c r="E40" i="32"/>
  <c r="E42" i="32" s="1"/>
  <c r="E43" i="32" s="1"/>
  <c r="E17" i="32"/>
  <c r="E20" i="32"/>
  <c r="E21" i="32" s="1"/>
  <c r="H26" i="32"/>
  <c r="I23" i="32"/>
  <c r="H36" i="32"/>
  <c r="H38" i="32" s="1"/>
  <c r="T38" i="32"/>
  <c r="G33" i="31"/>
  <c r="G34" i="31" s="1"/>
  <c r="G27" i="31"/>
  <c r="H29" i="31" s="1"/>
  <c r="H30" i="31" s="1"/>
  <c r="W26" i="31"/>
  <c r="X23" i="31"/>
  <c r="W36" i="31"/>
  <c r="W38" i="31" s="1"/>
  <c r="AH26" i="32"/>
  <c r="AI23" i="32"/>
  <c r="AH36" i="32"/>
  <c r="AH38" i="32" s="1"/>
  <c r="G30" i="32"/>
  <c r="AI26" i="31"/>
  <c r="AJ23" i="31"/>
  <c r="AI36" i="31"/>
  <c r="AI38" i="31" s="1"/>
  <c r="V23" i="32"/>
  <c r="U26" i="32"/>
  <c r="U36" i="32"/>
  <c r="U38" i="32" s="1"/>
  <c r="C43" i="32"/>
  <c r="F16" i="31"/>
  <c r="F14" i="31"/>
  <c r="AV26" i="31"/>
  <c r="AW23" i="31"/>
  <c r="AV36" i="31"/>
  <c r="AV38" i="31" s="1"/>
  <c r="BJ26" i="32"/>
  <c r="BK23" i="32"/>
  <c r="BJ36" i="32"/>
  <c r="BJ38" i="32" s="1"/>
  <c r="AH38" i="31"/>
  <c r="G27" i="32"/>
  <c r="H29" i="32" s="1"/>
  <c r="H30" i="32" s="1"/>
  <c r="G33" i="32"/>
  <c r="G34" i="32" s="1"/>
  <c r="BK23" i="31"/>
  <c r="BJ26" i="31"/>
  <c r="BJ36" i="31"/>
  <c r="E40" i="31"/>
  <c r="E17" i="31"/>
  <c r="E20" i="31"/>
  <c r="E21" i="31" s="1"/>
  <c r="AT38" i="32"/>
  <c r="BI38" i="32"/>
  <c r="AV23" i="32"/>
  <c r="AU26" i="32"/>
  <c r="AU36" i="32"/>
  <c r="AU38" i="32" s="1"/>
  <c r="F16" i="32"/>
  <c r="F14" i="32"/>
  <c r="C17" i="29"/>
  <c r="B10" i="29"/>
  <c r="B11" i="29"/>
  <c r="D8" i="29"/>
  <c r="B8" i="29"/>
  <c r="B13" i="29"/>
  <c r="C13" i="29" s="1"/>
  <c r="B15" i="29"/>
  <c r="L18" i="26"/>
  <c r="L31" i="26" s="1"/>
  <c r="U18" i="26"/>
  <c r="U31" i="26" s="1"/>
  <c r="AD18" i="26"/>
  <c r="AD31" i="26" s="1"/>
  <c r="AL18" i="26"/>
  <c r="AL31" i="26" s="1"/>
  <c r="AU18" i="26"/>
  <c r="AU31" i="26" s="1"/>
  <c r="BD18" i="26"/>
  <c r="BD31" i="26" s="1"/>
  <c r="X31" i="25"/>
  <c r="AX31" i="25"/>
  <c r="BO18" i="25"/>
  <c r="BO31" i="25" s="1"/>
  <c r="BK18" i="25"/>
  <c r="BK31" i="25" s="1"/>
  <c r="BH18" i="25"/>
  <c r="BH31" i="25" s="1"/>
  <c r="BE18" i="25"/>
  <c r="BE18" i="26" s="1"/>
  <c r="BE31" i="26" s="1"/>
  <c r="BB18" i="25"/>
  <c r="BC18" i="25" s="1"/>
  <c r="BD18" i="25" s="1"/>
  <c r="BD31" i="25" s="1"/>
  <c r="AX18" i="25"/>
  <c r="AY18" i="25" s="1"/>
  <c r="AZ18" i="25" s="1"/>
  <c r="AZ31" i="25" s="1"/>
  <c r="AU18" i="25"/>
  <c r="AV18" i="25" s="1"/>
  <c r="AW18" i="25" s="1"/>
  <c r="AW18" i="26" s="1"/>
  <c r="AW31" i="26" s="1"/>
  <c r="AR18" i="25"/>
  <c r="AR31" i="25" s="1"/>
  <c r="AO18" i="25"/>
  <c r="AO18" i="26" s="1"/>
  <c r="AO31" i="26" s="1"/>
  <c r="AS18" i="25"/>
  <c r="AT18" i="25" s="1"/>
  <c r="AT31" i="25" s="1"/>
  <c r="AK18" i="25"/>
  <c r="AL18" i="25" s="1"/>
  <c r="AM18" i="25" s="1"/>
  <c r="AM18" i="26" s="1"/>
  <c r="AM31" i="26" s="1"/>
  <c r="AH18" i="25"/>
  <c r="AH31" i="25" s="1"/>
  <c r="AE18" i="25"/>
  <c r="AE18" i="26" s="1"/>
  <c r="AE31" i="26" s="1"/>
  <c r="AB18" i="25"/>
  <c r="AB31" i="25" s="1"/>
  <c r="AI18" i="25"/>
  <c r="AJ18" i="25" s="1"/>
  <c r="AJ31" i="25" s="1"/>
  <c r="AC18" i="25"/>
  <c r="AD18" i="25" s="1"/>
  <c r="AD31" i="25" s="1"/>
  <c r="X18" i="25"/>
  <c r="X18" i="26" s="1"/>
  <c r="X31" i="26" s="1"/>
  <c r="U18" i="25"/>
  <c r="V18" i="25" s="1"/>
  <c r="R18" i="25"/>
  <c r="R31" i="25" s="1"/>
  <c r="O18" i="25"/>
  <c r="O18" i="26" s="1"/>
  <c r="O31" i="26" s="1"/>
  <c r="Y18" i="25"/>
  <c r="Z18" i="25" s="1"/>
  <c r="Z31" i="25" s="1"/>
  <c r="S18" i="25"/>
  <c r="T18" i="25" s="1"/>
  <c r="T31" i="25" s="1"/>
  <c r="K18" i="25"/>
  <c r="K31" i="25" s="1"/>
  <c r="H18" i="25"/>
  <c r="H31" i="25" s="1"/>
  <c r="E18" i="25"/>
  <c r="E18" i="26" s="1"/>
  <c r="E31" i="26" s="1"/>
  <c r="F18" i="25"/>
  <c r="G18" i="25" s="1"/>
  <c r="G31" i="25" s="1"/>
  <c r="L18" i="25"/>
  <c r="M18" i="25" s="1"/>
  <c r="M18" i="26" s="1"/>
  <c r="M31" i="26" s="1"/>
  <c r="C18" i="25"/>
  <c r="D18" i="25" s="1"/>
  <c r="B18" i="25"/>
  <c r="B18" i="26" s="1"/>
  <c r="B31" i="26" s="1"/>
  <c r="B40" i="26"/>
  <c r="B30" i="26"/>
  <c r="BB26" i="26"/>
  <c r="BM24" i="26"/>
  <c r="BL24" i="26"/>
  <c r="BK24" i="26"/>
  <c r="BJ24" i="26"/>
  <c r="BI24" i="26"/>
  <c r="BH24" i="26"/>
  <c r="BG24" i="26"/>
  <c r="BF24" i="26"/>
  <c r="BE24" i="26"/>
  <c r="BD24" i="26"/>
  <c r="BC24" i="26"/>
  <c r="BB24" i="26"/>
  <c r="AZ24" i="26"/>
  <c r="AY24" i="26"/>
  <c r="AX24" i="26"/>
  <c r="AW24" i="26"/>
  <c r="AV24" i="26"/>
  <c r="AU24" i="26"/>
  <c r="AT24" i="26"/>
  <c r="AS24" i="26"/>
  <c r="AR24" i="26"/>
  <c r="AQ24" i="26"/>
  <c r="AP24" i="26"/>
  <c r="AO24" i="26"/>
  <c r="AM24" i="26"/>
  <c r="AL24" i="26"/>
  <c r="AK24" i="26"/>
  <c r="AJ24" i="26"/>
  <c r="AI24" i="26"/>
  <c r="AH24" i="26"/>
  <c r="AG24" i="26"/>
  <c r="AF24" i="26"/>
  <c r="AE24" i="26"/>
  <c r="AD24" i="26"/>
  <c r="AC24" i="26"/>
  <c r="AB24" i="26"/>
  <c r="Z24" i="26"/>
  <c r="Y24" i="26"/>
  <c r="X24" i="26"/>
  <c r="W24" i="26"/>
  <c r="V24" i="26"/>
  <c r="U24" i="26"/>
  <c r="T24" i="26"/>
  <c r="S24" i="26"/>
  <c r="R24" i="26"/>
  <c r="Q24" i="26"/>
  <c r="P24" i="26"/>
  <c r="O24" i="26"/>
  <c r="AA24" i="26" s="1"/>
  <c r="M24" i="26"/>
  <c r="L24" i="26"/>
  <c r="K24" i="26"/>
  <c r="J24" i="26"/>
  <c r="I24" i="26"/>
  <c r="H24" i="26"/>
  <c r="G24" i="26"/>
  <c r="F24" i="26"/>
  <c r="N24" i="26" s="1"/>
  <c r="E24" i="26"/>
  <c r="D24" i="26"/>
  <c r="C24" i="26"/>
  <c r="B24" i="26"/>
  <c r="BC23" i="26"/>
  <c r="BB23" i="26"/>
  <c r="AO23" i="26"/>
  <c r="AB23" i="26"/>
  <c r="AB26" i="26" s="1"/>
  <c r="P23" i="26"/>
  <c r="O23" i="26"/>
  <c r="B23" i="26"/>
  <c r="B26" i="26" s="1"/>
  <c r="B17" i="26"/>
  <c r="BM11" i="26"/>
  <c r="BM37" i="26" s="1"/>
  <c r="BL11" i="26"/>
  <c r="BL37" i="26" s="1"/>
  <c r="BK11" i="26"/>
  <c r="BJ11" i="26"/>
  <c r="BI11" i="26"/>
  <c r="BI37" i="26" s="1"/>
  <c r="BH11" i="26"/>
  <c r="BH37" i="26" s="1"/>
  <c r="BG11" i="26"/>
  <c r="BG37" i="26" s="1"/>
  <c r="BF11" i="26"/>
  <c r="BF37" i="26" s="1"/>
  <c r="BE11" i="26"/>
  <c r="BE37" i="26" s="1"/>
  <c r="BD11" i="26"/>
  <c r="BD37" i="26" s="1"/>
  <c r="BC11" i="26"/>
  <c r="BB11" i="26"/>
  <c r="AZ11" i="26"/>
  <c r="AZ37" i="26" s="1"/>
  <c r="AY11" i="26"/>
  <c r="AY37" i="26" s="1"/>
  <c r="AX11" i="26"/>
  <c r="AX37" i="26" s="1"/>
  <c r="AW11" i="26"/>
  <c r="AW37" i="26" s="1"/>
  <c r="AV11" i="26"/>
  <c r="AV37" i="26" s="1"/>
  <c r="AU11" i="26"/>
  <c r="AT11" i="26"/>
  <c r="AS11" i="26"/>
  <c r="AS37" i="26" s="1"/>
  <c r="AR11" i="26"/>
  <c r="AR37" i="26" s="1"/>
  <c r="AQ11" i="26"/>
  <c r="AQ37" i="26" s="1"/>
  <c r="AP11" i="26"/>
  <c r="AP37" i="26" s="1"/>
  <c r="AO11" i="26"/>
  <c r="AM11" i="26"/>
  <c r="AM37" i="26" s="1"/>
  <c r="AL11" i="26"/>
  <c r="AK11" i="26"/>
  <c r="AK37" i="26" s="1"/>
  <c r="AJ11" i="26"/>
  <c r="AJ37" i="26" s="1"/>
  <c r="AI11" i="26"/>
  <c r="AI37" i="26" s="1"/>
  <c r="AH11" i="26"/>
  <c r="AH37" i="26" s="1"/>
  <c r="AG11" i="26"/>
  <c r="AG37" i="26" s="1"/>
  <c r="AF11" i="26"/>
  <c r="AF37" i="26" s="1"/>
  <c r="AE11" i="26"/>
  <c r="AE37" i="26" s="1"/>
  <c r="AD11" i="26"/>
  <c r="AC11" i="26"/>
  <c r="AC37" i="26" s="1"/>
  <c r="AB11" i="26"/>
  <c r="AB37" i="26" s="1"/>
  <c r="Z11" i="26"/>
  <c r="Z37" i="26" s="1"/>
  <c r="Y11" i="26"/>
  <c r="Y37" i="26" s="1"/>
  <c r="X11" i="26"/>
  <c r="X37" i="26" s="1"/>
  <c r="W11" i="26"/>
  <c r="W37" i="26" s="1"/>
  <c r="V11" i="26"/>
  <c r="V37" i="26" s="1"/>
  <c r="U11" i="26"/>
  <c r="U37" i="26" s="1"/>
  <c r="T11" i="26"/>
  <c r="T37" i="26" s="1"/>
  <c r="S11" i="26"/>
  <c r="S37" i="26" s="1"/>
  <c r="R11" i="26"/>
  <c r="R37" i="26" s="1"/>
  <c r="Q11" i="26"/>
  <c r="Q37" i="26" s="1"/>
  <c r="P11" i="26"/>
  <c r="P37" i="26" s="1"/>
  <c r="O11" i="26"/>
  <c r="O37" i="26" s="1"/>
  <c r="M11" i="26"/>
  <c r="M37" i="26" s="1"/>
  <c r="L11" i="26"/>
  <c r="L37" i="26" s="1"/>
  <c r="K11" i="26"/>
  <c r="K37" i="26" s="1"/>
  <c r="J11" i="26"/>
  <c r="J37" i="26" s="1"/>
  <c r="I11" i="26"/>
  <c r="I37" i="26" s="1"/>
  <c r="H11" i="26"/>
  <c r="H37" i="26" s="1"/>
  <c r="G11" i="26"/>
  <c r="G37" i="26" s="1"/>
  <c r="F11" i="26"/>
  <c r="F37" i="26" s="1"/>
  <c r="E11" i="26"/>
  <c r="E37" i="26" s="1"/>
  <c r="D11" i="26"/>
  <c r="D37" i="26" s="1"/>
  <c r="C11" i="26"/>
  <c r="C37" i="26" s="1"/>
  <c r="B11" i="26"/>
  <c r="AI9" i="26"/>
  <c r="AH9" i="26"/>
  <c r="Z9" i="26"/>
  <c r="C9" i="26"/>
  <c r="B9" i="26"/>
  <c r="BM8" i="26"/>
  <c r="BL8" i="26"/>
  <c r="BK8" i="26"/>
  <c r="BJ8" i="26"/>
  <c r="BI8" i="26"/>
  <c r="BH8" i="26"/>
  <c r="BG8" i="26"/>
  <c r="BG9" i="26" s="1"/>
  <c r="BF8" i="26"/>
  <c r="BE8" i="26"/>
  <c r="BD8" i="26"/>
  <c r="BC8" i="26"/>
  <c r="BB8" i="26"/>
  <c r="BA8" i="26"/>
  <c r="AN8" i="26"/>
  <c r="AA8" i="26"/>
  <c r="N8" i="26"/>
  <c r="BM7" i="26"/>
  <c r="BL7" i="26"/>
  <c r="BK7" i="26"/>
  <c r="BJ7" i="26"/>
  <c r="BI7" i="26"/>
  <c r="BH7" i="26"/>
  <c r="BG7" i="26"/>
  <c r="BF7" i="26"/>
  <c r="BN7" i="26" s="1"/>
  <c r="BE7" i="26"/>
  <c r="BD7" i="26"/>
  <c r="BC7" i="26"/>
  <c r="BB7" i="26"/>
  <c r="AZ7" i="26"/>
  <c r="AY7" i="26"/>
  <c r="AX7" i="26"/>
  <c r="AW7" i="26"/>
  <c r="AV7" i="26"/>
  <c r="AU7" i="26"/>
  <c r="AT7" i="26"/>
  <c r="AS7" i="26"/>
  <c r="BA7" i="26" s="1"/>
  <c r="AR7" i="26"/>
  <c r="AQ7" i="26"/>
  <c r="AP7" i="26"/>
  <c r="AO7" i="26"/>
  <c r="AM7" i="26"/>
  <c r="AL7" i="26"/>
  <c r="AK7" i="26"/>
  <c r="AJ7" i="26"/>
  <c r="AI7" i="26"/>
  <c r="AH7" i="26"/>
  <c r="AG7" i="26"/>
  <c r="AF7" i="26"/>
  <c r="AE7" i="26"/>
  <c r="AD7" i="26"/>
  <c r="AC7" i="26"/>
  <c r="AB7" i="26"/>
  <c r="AN7" i="26" s="1"/>
  <c r="Z7" i="26"/>
  <c r="Y7" i="26"/>
  <c r="X7" i="26"/>
  <c r="W7" i="26"/>
  <c r="V7" i="26"/>
  <c r="U7" i="26"/>
  <c r="T7" i="26"/>
  <c r="S7" i="26"/>
  <c r="AA7" i="26" s="1"/>
  <c r="R7" i="26"/>
  <c r="Q7" i="26"/>
  <c r="P7" i="26"/>
  <c r="O7" i="26"/>
  <c r="M7" i="26"/>
  <c r="L7" i="26"/>
  <c r="K7" i="26"/>
  <c r="J7" i="26"/>
  <c r="I7" i="26"/>
  <c r="H7" i="26"/>
  <c r="G7" i="26"/>
  <c r="F7" i="26"/>
  <c r="E7" i="26"/>
  <c r="D7" i="26"/>
  <c r="C7" i="26"/>
  <c r="B7" i="26"/>
  <c r="BM6" i="26"/>
  <c r="BL6" i="26"/>
  <c r="BK6" i="26"/>
  <c r="BJ6" i="26"/>
  <c r="BI6" i="26"/>
  <c r="BH6" i="26"/>
  <c r="BG6" i="26"/>
  <c r="BF6" i="26"/>
  <c r="BE6" i="26"/>
  <c r="BD6" i="26"/>
  <c r="BC6" i="26"/>
  <c r="BB6" i="26"/>
  <c r="BN6" i="26" s="1"/>
  <c r="AZ6" i="26"/>
  <c r="AY6" i="26"/>
  <c r="AX6" i="26"/>
  <c r="AW6" i="26"/>
  <c r="AV6" i="26"/>
  <c r="AU6" i="26"/>
  <c r="AT6" i="26"/>
  <c r="AS6" i="26"/>
  <c r="BA6" i="26" s="1"/>
  <c r="AR6" i="26"/>
  <c r="AQ6" i="26"/>
  <c r="AP6" i="26"/>
  <c r="AO6" i="26"/>
  <c r="AM6" i="26"/>
  <c r="AL6" i="26"/>
  <c r="AK6" i="26"/>
  <c r="AJ6" i="26"/>
  <c r="AI6" i="26"/>
  <c r="AH6" i="26"/>
  <c r="AG6" i="26"/>
  <c r="AF6" i="26"/>
  <c r="AE6" i="26"/>
  <c r="AD6" i="26"/>
  <c r="AC6" i="26"/>
  <c r="AB6" i="26"/>
  <c r="Z6" i="26"/>
  <c r="Y6" i="26"/>
  <c r="X6" i="26"/>
  <c r="W6" i="26"/>
  <c r="V6" i="26"/>
  <c r="U6" i="26"/>
  <c r="T6" i="26"/>
  <c r="S6" i="26"/>
  <c r="R6" i="26"/>
  <c r="Q6" i="26"/>
  <c r="P6" i="26"/>
  <c r="O6" i="26"/>
  <c r="M6" i="26"/>
  <c r="L6" i="26"/>
  <c r="K6" i="26"/>
  <c r="J6" i="26"/>
  <c r="I6" i="26"/>
  <c r="H6" i="26"/>
  <c r="G6" i="26"/>
  <c r="F6" i="26"/>
  <c r="E6" i="26"/>
  <c r="N6" i="26" s="1"/>
  <c r="D6" i="26"/>
  <c r="C6" i="26"/>
  <c r="B6" i="26"/>
  <c r="BJ5" i="26"/>
  <c r="BB5" i="26"/>
  <c r="AU5" i="26"/>
  <c r="AT5" i="26"/>
  <c r="AL5" i="26"/>
  <c r="AD5" i="26"/>
  <c r="V5" i="26"/>
  <c r="F5" i="26"/>
  <c r="E5" i="26"/>
  <c r="D5" i="26"/>
  <c r="C5" i="26"/>
  <c r="B5" i="26"/>
  <c r="BM4" i="26"/>
  <c r="BL4" i="26"/>
  <c r="BK4" i="26"/>
  <c r="BK5" i="26" s="1"/>
  <c r="BJ4" i="26"/>
  <c r="BI4" i="26"/>
  <c r="BI5" i="26" s="1"/>
  <c r="BH4" i="26"/>
  <c r="BH5" i="26" s="1"/>
  <c r="BG4" i="26"/>
  <c r="BG5" i="26" s="1"/>
  <c r="BF4" i="26"/>
  <c r="BF5" i="26" s="1"/>
  <c r="BF9" i="26" s="1"/>
  <c r="BE4" i="26"/>
  <c r="BD4" i="26"/>
  <c r="BC4" i="26"/>
  <c r="BC5" i="26" s="1"/>
  <c r="BB4" i="26"/>
  <c r="AZ4" i="26"/>
  <c r="AZ5" i="26" s="1"/>
  <c r="AY4" i="26"/>
  <c r="AY5" i="26" s="1"/>
  <c r="AY9" i="26" s="1"/>
  <c r="AX4" i="26"/>
  <c r="AX5" i="26" s="1"/>
  <c r="AX9" i="26" s="1"/>
  <c r="AW4" i="26"/>
  <c r="AV4" i="26"/>
  <c r="AU4" i="26"/>
  <c r="AT4" i="26"/>
  <c r="AT9" i="26" s="1"/>
  <c r="AS4" i="26"/>
  <c r="AS5" i="26" s="1"/>
  <c r="AR4" i="26"/>
  <c r="AR5" i="26" s="1"/>
  <c r="AQ4" i="26"/>
  <c r="AQ5" i="26" s="1"/>
  <c r="AQ9" i="26" s="1"/>
  <c r="AP4" i="26"/>
  <c r="AP5" i="26" s="1"/>
  <c r="AP9" i="26" s="1"/>
  <c r="AO4" i="26"/>
  <c r="AM4" i="26"/>
  <c r="AM5" i="26" s="1"/>
  <c r="AL4" i="26"/>
  <c r="AK4" i="26"/>
  <c r="AK5" i="26" s="1"/>
  <c r="AJ4" i="26"/>
  <c r="AJ5" i="26" s="1"/>
  <c r="AI4" i="26"/>
  <c r="AI5" i="26" s="1"/>
  <c r="AH4" i="26"/>
  <c r="AH5" i="26" s="1"/>
  <c r="AG4" i="26"/>
  <c r="AF4" i="26"/>
  <c r="AE4" i="26"/>
  <c r="AE5" i="26" s="1"/>
  <c r="AD4" i="26"/>
  <c r="AC4" i="26"/>
  <c r="AC5" i="26" s="1"/>
  <c r="AB4" i="26"/>
  <c r="AB5" i="26" s="1"/>
  <c r="Z4" i="26"/>
  <c r="Z5" i="26" s="1"/>
  <c r="Y4" i="26"/>
  <c r="X4" i="26"/>
  <c r="W4" i="26"/>
  <c r="V4" i="26"/>
  <c r="U4" i="26"/>
  <c r="U5" i="26" s="1"/>
  <c r="T4" i="26"/>
  <c r="T5" i="26" s="1"/>
  <c r="S4" i="26"/>
  <c r="S5" i="26" s="1"/>
  <c r="S9" i="26" s="1"/>
  <c r="R4" i="26"/>
  <c r="R5" i="26" s="1"/>
  <c r="R9" i="26" s="1"/>
  <c r="Q4" i="26"/>
  <c r="P4" i="26"/>
  <c r="O4" i="26"/>
  <c r="M4" i="26"/>
  <c r="M5" i="26" s="1"/>
  <c r="L4" i="26"/>
  <c r="L5" i="26" s="1"/>
  <c r="K4" i="26"/>
  <c r="K5" i="26" s="1"/>
  <c r="K9" i="26" s="1"/>
  <c r="J4" i="26"/>
  <c r="J5" i="26" s="1"/>
  <c r="J9" i="26" s="1"/>
  <c r="I4" i="26"/>
  <c r="H4" i="26"/>
  <c r="G4" i="26"/>
  <c r="F4" i="26"/>
  <c r="F9" i="26" s="1"/>
  <c r="E4" i="26"/>
  <c r="D4" i="26"/>
  <c r="D9" i="26" s="1"/>
  <c r="C4" i="26"/>
  <c r="B4" i="26"/>
  <c r="B40" i="25"/>
  <c r="AV37" i="25"/>
  <c r="AU37" i="25"/>
  <c r="B30" i="25"/>
  <c r="BB26" i="25"/>
  <c r="BM24" i="25"/>
  <c r="BL24" i="25"/>
  <c r="BK24" i="25"/>
  <c r="BJ24" i="25"/>
  <c r="BI24" i="25"/>
  <c r="BH24" i="25"/>
  <c r="BG24" i="25"/>
  <c r="BF24" i="25"/>
  <c r="BN24" i="25" s="1"/>
  <c r="BE24" i="25"/>
  <c r="BD24" i="25"/>
  <c r="BC24" i="25"/>
  <c r="BB24" i="25"/>
  <c r="AZ24" i="25"/>
  <c r="AY24" i="25"/>
  <c r="AX24" i="25"/>
  <c r="AW24" i="25"/>
  <c r="AV24" i="25"/>
  <c r="AU24" i="25"/>
  <c r="AT24" i="25"/>
  <c r="AS24" i="25"/>
  <c r="AR24" i="25"/>
  <c r="AQ24" i="25"/>
  <c r="AP24" i="25"/>
  <c r="AO24" i="25"/>
  <c r="BA24" i="25" s="1"/>
  <c r="AM24" i="25"/>
  <c r="AL24" i="25"/>
  <c r="AK24" i="25"/>
  <c r="AJ24" i="25"/>
  <c r="AI24" i="25"/>
  <c r="AH24" i="25"/>
  <c r="AG24" i="25"/>
  <c r="AF24" i="25"/>
  <c r="AE24" i="25"/>
  <c r="AD24" i="25"/>
  <c r="AC24" i="25"/>
  <c r="AB24" i="25"/>
  <c r="Z24" i="25"/>
  <c r="Y24" i="25"/>
  <c r="X24" i="25"/>
  <c r="W24" i="25"/>
  <c r="V24" i="25"/>
  <c r="U24" i="25"/>
  <c r="T24" i="25"/>
  <c r="S24" i="25"/>
  <c r="R24" i="25"/>
  <c r="Q24" i="25"/>
  <c r="P24" i="25"/>
  <c r="P37" i="25" s="1"/>
  <c r="O24" i="25"/>
  <c r="M24" i="25"/>
  <c r="L24" i="25"/>
  <c r="K24" i="25"/>
  <c r="J24" i="25"/>
  <c r="I24" i="25"/>
  <c r="H24" i="25"/>
  <c r="G24" i="25"/>
  <c r="F24" i="25"/>
  <c r="E24" i="25"/>
  <c r="D24" i="25"/>
  <c r="C24" i="25"/>
  <c r="B24" i="25"/>
  <c r="BB23" i="25"/>
  <c r="BC23" i="25" s="1"/>
  <c r="BC26" i="25" s="1"/>
  <c r="AO23" i="25"/>
  <c r="AP23" i="25" s="1"/>
  <c r="AC23" i="25"/>
  <c r="AB23" i="25"/>
  <c r="AB26" i="25" s="1"/>
  <c r="P23" i="25"/>
  <c r="P26" i="25" s="1"/>
  <c r="O23" i="25"/>
  <c r="B23" i="25"/>
  <c r="C23" i="25" s="1"/>
  <c r="B17" i="25"/>
  <c r="BM11" i="25"/>
  <c r="BL11" i="25"/>
  <c r="BL37" i="25" s="1"/>
  <c r="BK11" i="25"/>
  <c r="BK37" i="25" s="1"/>
  <c r="BJ11" i="25"/>
  <c r="BJ37" i="25" s="1"/>
  <c r="BI11" i="25"/>
  <c r="BI37" i="25" s="1"/>
  <c r="BH11" i="25"/>
  <c r="BH37" i="25" s="1"/>
  <c r="BG11" i="25"/>
  <c r="BG37" i="25" s="1"/>
  <c r="BF11" i="25"/>
  <c r="BE11" i="25"/>
  <c r="BD11" i="25"/>
  <c r="BN11" i="25" s="1"/>
  <c r="BC11" i="25"/>
  <c r="BC37" i="25" s="1"/>
  <c r="BB11" i="25"/>
  <c r="BB37" i="25" s="1"/>
  <c r="AZ11" i="25"/>
  <c r="AZ37" i="25" s="1"/>
  <c r="AY11" i="25"/>
  <c r="AY37" i="25" s="1"/>
  <c r="AX11" i="25"/>
  <c r="AW11" i="25"/>
  <c r="AV11" i="25"/>
  <c r="AU11" i="25"/>
  <c r="AT11" i="25"/>
  <c r="AT37" i="25" s="1"/>
  <c r="AS11" i="25"/>
  <c r="AS37" i="25" s="1"/>
  <c r="AR11" i="25"/>
  <c r="AR37" i="25" s="1"/>
  <c r="AQ11" i="25"/>
  <c r="AQ37" i="25" s="1"/>
  <c r="AP11" i="25"/>
  <c r="BA11" i="25" s="1"/>
  <c r="AO11" i="25"/>
  <c r="AM11" i="25"/>
  <c r="AM37" i="25" s="1"/>
  <c r="AL11" i="25"/>
  <c r="AL37" i="25" s="1"/>
  <c r="AK11" i="25"/>
  <c r="AK37" i="25" s="1"/>
  <c r="AJ11" i="25"/>
  <c r="AJ37" i="25" s="1"/>
  <c r="AI11" i="25"/>
  <c r="AI37" i="25" s="1"/>
  <c r="AH11" i="25"/>
  <c r="AH37" i="25" s="1"/>
  <c r="AG11" i="25"/>
  <c r="AF11" i="25"/>
  <c r="AF37" i="25" s="1"/>
  <c r="AE11" i="25"/>
  <c r="AE37" i="25" s="1"/>
  <c r="AD11" i="25"/>
  <c r="AD37" i="25" s="1"/>
  <c r="AC11" i="25"/>
  <c r="AC37" i="25" s="1"/>
  <c r="AB11" i="25"/>
  <c r="AB37" i="25" s="1"/>
  <c r="Z11" i="25"/>
  <c r="Z37" i="25" s="1"/>
  <c r="Y11" i="25"/>
  <c r="Y37" i="25" s="1"/>
  <c r="X11" i="25"/>
  <c r="X37" i="25" s="1"/>
  <c r="W11" i="25"/>
  <c r="W37" i="25" s="1"/>
  <c r="V11" i="25"/>
  <c r="V37" i="25" s="1"/>
  <c r="U11" i="25"/>
  <c r="U37" i="25" s="1"/>
  <c r="T11" i="25"/>
  <c r="T37" i="25" s="1"/>
  <c r="S11" i="25"/>
  <c r="S37" i="25" s="1"/>
  <c r="R11" i="25"/>
  <c r="R37" i="25" s="1"/>
  <c r="Q11" i="25"/>
  <c r="Q37" i="25" s="1"/>
  <c r="P11" i="25"/>
  <c r="O11" i="25"/>
  <c r="M11" i="25"/>
  <c r="M37" i="25" s="1"/>
  <c r="L11" i="25"/>
  <c r="L37" i="25" s="1"/>
  <c r="K11" i="25"/>
  <c r="K37" i="25" s="1"/>
  <c r="J11" i="25"/>
  <c r="J37" i="25" s="1"/>
  <c r="I11" i="25"/>
  <c r="I37" i="25" s="1"/>
  <c r="H11" i="25"/>
  <c r="H37" i="25" s="1"/>
  <c r="G11" i="25"/>
  <c r="G37" i="25" s="1"/>
  <c r="F11" i="25"/>
  <c r="F37" i="25" s="1"/>
  <c r="E11" i="25"/>
  <c r="E37" i="25" s="1"/>
  <c r="D11" i="25"/>
  <c r="D37" i="25" s="1"/>
  <c r="C11" i="25"/>
  <c r="C37" i="25" s="1"/>
  <c r="B11" i="25"/>
  <c r="B37" i="25" s="1"/>
  <c r="BI9" i="25"/>
  <c r="BH9" i="25"/>
  <c r="BG9" i="25"/>
  <c r="AZ9" i="25"/>
  <c r="AZ13" i="25" s="1"/>
  <c r="AY9" i="25"/>
  <c r="AY13" i="25" s="1"/>
  <c r="AS9" i="25"/>
  <c r="AR9" i="25"/>
  <c r="AQ9" i="25"/>
  <c r="AQ13" i="25" s="1"/>
  <c r="AK9" i="25"/>
  <c r="AJ9" i="25"/>
  <c r="AJ13" i="25" s="1"/>
  <c r="AI9" i="25"/>
  <c r="AC9" i="25"/>
  <c r="AB9" i="25"/>
  <c r="AB36" i="25" s="1"/>
  <c r="AB38" i="25" s="1"/>
  <c r="U9" i="25"/>
  <c r="T9" i="25"/>
  <c r="S9" i="25"/>
  <c r="S13" i="25" s="1"/>
  <c r="M9" i="25"/>
  <c r="L9" i="25"/>
  <c r="L13" i="25" s="1"/>
  <c r="K9" i="25"/>
  <c r="E9" i="25"/>
  <c r="E13" i="25" s="1"/>
  <c r="D9" i="25"/>
  <c r="D13" i="25" s="1"/>
  <c r="C9" i="25"/>
  <c r="BN8" i="25"/>
  <c r="BA8" i="25"/>
  <c r="AN8" i="25"/>
  <c r="AA8" i="25"/>
  <c r="N8" i="25"/>
  <c r="BN7" i="25"/>
  <c r="BA7" i="25"/>
  <c r="AN7" i="25"/>
  <c r="AA7" i="25"/>
  <c r="N7" i="25"/>
  <c r="BM6" i="25"/>
  <c r="BL6" i="25"/>
  <c r="BK6" i="25"/>
  <c r="BJ6" i="25"/>
  <c r="BI6" i="25"/>
  <c r="BH6" i="25"/>
  <c r="BG6" i="25"/>
  <c r="BF6" i="25"/>
  <c r="BE6" i="25"/>
  <c r="BD6" i="25"/>
  <c r="BC6" i="25"/>
  <c r="BB6" i="25"/>
  <c r="BN6" i="25" s="1"/>
  <c r="AZ6" i="25"/>
  <c r="AY6" i="25"/>
  <c r="AX6" i="25"/>
  <c r="AW6" i="25"/>
  <c r="AV6" i="25"/>
  <c r="AU6" i="25"/>
  <c r="AT6" i="25"/>
  <c r="AS6" i="25"/>
  <c r="AR6" i="25"/>
  <c r="AQ6" i="25"/>
  <c r="AP6" i="25"/>
  <c r="AO6" i="25"/>
  <c r="BA6" i="25" s="1"/>
  <c r="AM6" i="25"/>
  <c r="AL6" i="25"/>
  <c r="AK6" i="25"/>
  <c r="AJ6" i="25"/>
  <c r="AI6" i="25"/>
  <c r="AH6" i="25"/>
  <c r="AG6" i="25"/>
  <c r="AF6" i="25"/>
  <c r="AE6" i="25"/>
  <c r="AN6" i="25" s="1"/>
  <c r="AD6" i="25"/>
  <c r="AC6" i="25"/>
  <c r="AB6" i="25"/>
  <c r="Z6" i="25"/>
  <c r="Y6" i="25"/>
  <c r="X6" i="25"/>
  <c r="W6" i="25"/>
  <c r="V6" i="25"/>
  <c r="U6" i="25"/>
  <c r="T6" i="25"/>
  <c r="S6" i="25"/>
  <c r="R6" i="25"/>
  <c r="Q6" i="25"/>
  <c r="P6" i="25"/>
  <c r="O6" i="25"/>
  <c r="AA6" i="25" s="1"/>
  <c r="M6" i="25"/>
  <c r="L6" i="25"/>
  <c r="K6" i="25"/>
  <c r="J6" i="25"/>
  <c r="I6" i="25"/>
  <c r="H6" i="25"/>
  <c r="G6" i="25"/>
  <c r="F6" i="25"/>
  <c r="N6" i="25" s="1"/>
  <c r="E6" i="25"/>
  <c r="D6" i="25"/>
  <c r="C6" i="25"/>
  <c r="B6" i="25"/>
  <c r="BM5" i="25"/>
  <c r="BM9" i="25" s="1"/>
  <c r="BL5" i="25"/>
  <c r="BL9" i="25" s="1"/>
  <c r="BK5" i="25"/>
  <c r="BK9" i="25" s="1"/>
  <c r="BJ5" i="25"/>
  <c r="BJ9" i="25" s="1"/>
  <c r="BI5" i="25"/>
  <c r="BH5" i="25"/>
  <c r="BG5" i="25"/>
  <c r="BF5" i="25"/>
  <c r="BF9" i="25" s="1"/>
  <c r="BE5" i="25"/>
  <c r="BE9" i="25" s="1"/>
  <c r="BD5" i="25"/>
  <c r="BD9" i="25" s="1"/>
  <c r="BC5" i="25"/>
  <c r="BC9" i="25" s="1"/>
  <c r="BB5" i="25"/>
  <c r="BB9" i="25" s="1"/>
  <c r="AZ5" i="25"/>
  <c r="AY5" i="25"/>
  <c r="AX5" i="25"/>
  <c r="AX9" i="25" s="1"/>
  <c r="AW5" i="25"/>
  <c r="AW9" i="25" s="1"/>
  <c r="AV5" i="25"/>
  <c r="AV9" i="25" s="1"/>
  <c r="AU5" i="25"/>
  <c r="AU9" i="25" s="1"/>
  <c r="AT5" i="25"/>
  <c r="AT9" i="25" s="1"/>
  <c r="AS5" i="25"/>
  <c r="AR5" i="25"/>
  <c r="AQ5" i="25"/>
  <c r="AP5" i="25"/>
  <c r="AP9" i="25" s="1"/>
  <c r="AO5" i="25"/>
  <c r="BA5" i="25" s="1"/>
  <c r="AM5" i="25"/>
  <c r="AM9" i="25" s="1"/>
  <c r="AL5" i="25"/>
  <c r="AL9" i="25" s="1"/>
  <c r="AK5" i="25"/>
  <c r="AJ5" i="25"/>
  <c r="AI5" i="25"/>
  <c r="AH5" i="25"/>
  <c r="AH9" i="25" s="1"/>
  <c r="AG5" i="25"/>
  <c r="AG9" i="25" s="1"/>
  <c r="AF5" i="25"/>
  <c r="AN5" i="25" s="1"/>
  <c r="AE5" i="25"/>
  <c r="AE9" i="25" s="1"/>
  <c r="AD5" i="25"/>
  <c r="AD9" i="25" s="1"/>
  <c r="AC5" i="25"/>
  <c r="AB5" i="25"/>
  <c r="Z5" i="25"/>
  <c r="Z9" i="25" s="1"/>
  <c r="Y5" i="25"/>
  <c r="Y9" i="25" s="1"/>
  <c r="X5" i="25"/>
  <c r="X9" i="25" s="1"/>
  <c r="W5" i="25"/>
  <c r="W9" i="25" s="1"/>
  <c r="V5" i="25"/>
  <c r="V9" i="25" s="1"/>
  <c r="U5" i="25"/>
  <c r="T5" i="25"/>
  <c r="S5" i="25"/>
  <c r="R5" i="25"/>
  <c r="R9" i="25" s="1"/>
  <c r="Q5" i="25"/>
  <c r="Q9" i="25" s="1"/>
  <c r="P5" i="25"/>
  <c r="P9" i="25" s="1"/>
  <c r="O5" i="25"/>
  <c r="O9" i="25" s="1"/>
  <c r="M5" i="25"/>
  <c r="L5" i="25"/>
  <c r="K5" i="25"/>
  <c r="J5" i="25"/>
  <c r="J9" i="25" s="1"/>
  <c r="I5" i="25"/>
  <c r="I9" i="25" s="1"/>
  <c r="H5" i="25"/>
  <c r="H9" i="25" s="1"/>
  <c r="G5" i="25"/>
  <c r="G9" i="25" s="1"/>
  <c r="F5" i="25"/>
  <c r="F9" i="25" s="1"/>
  <c r="E5" i="25"/>
  <c r="D5" i="25"/>
  <c r="C5" i="25"/>
  <c r="B5" i="25"/>
  <c r="B9" i="25" s="1"/>
  <c r="BN4" i="25"/>
  <c r="BA4" i="25"/>
  <c r="AN4" i="25"/>
  <c r="AA4" i="25"/>
  <c r="N4" i="25"/>
  <c r="G16" i="32" l="1"/>
  <c r="G14" i="32"/>
  <c r="AJ26" i="31"/>
  <c r="AK23" i="31"/>
  <c r="AJ36" i="31"/>
  <c r="AJ38" i="31" s="1"/>
  <c r="X26" i="31"/>
  <c r="Y23" i="31"/>
  <c r="X36" i="31"/>
  <c r="X38" i="31" s="1"/>
  <c r="H27" i="32"/>
  <c r="I29" i="32" s="1"/>
  <c r="I30" i="32" s="1"/>
  <c r="H33" i="32"/>
  <c r="H34" i="32" s="1"/>
  <c r="BK26" i="31"/>
  <c r="BL23" i="31"/>
  <c r="BK36" i="31"/>
  <c r="BK38" i="31" s="1"/>
  <c r="F40" i="32"/>
  <c r="F42" i="32" s="1"/>
  <c r="F43" i="32" s="1"/>
  <c r="F17" i="32"/>
  <c r="F20" i="32"/>
  <c r="F21" i="32" s="1"/>
  <c r="AV26" i="32"/>
  <c r="AW23" i="32"/>
  <c r="AV36" i="32"/>
  <c r="AV38" i="32" s="1"/>
  <c r="E42" i="31"/>
  <c r="AW26" i="31"/>
  <c r="AX23" i="31"/>
  <c r="AW36" i="31"/>
  <c r="AW38" i="31" s="1"/>
  <c r="I26" i="32"/>
  <c r="J23" i="32"/>
  <c r="I36" i="32"/>
  <c r="I38" i="32" s="1"/>
  <c r="BL23" i="32"/>
  <c r="BK26" i="32"/>
  <c r="BK36" i="32"/>
  <c r="BK38" i="32" s="1"/>
  <c r="G16" i="31"/>
  <c r="G14" i="31"/>
  <c r="F17" i="31"/>
  <c r="F40" i="31"/>
  <c r="F42" i="31" s="1"/>
  <c r="F20" i="31"/>
  <c r="F21" i="31" s="1"/>
  <c r="H38" i="31"/>
  <c r="V26" i="32"/>
  <c r="W23" i="32"/>
  <c r="V36" i="32"/>
  <c r="V38" i="32" s="1"/>
  <c r="AI26" i="32"/>
  <c r="AJ23" i="32"/>
  <c r="AI36" i="32"/>
  <c r="I26" i="31"/>
  <c r="J23" i="31"/>
  <c r="I36" i="31"/>
  <c r="I38" i="31" s="1"/>
  <c r="BJ38" i="31"/>
  <c r="H33" i="31"/>
  <c r="H34" i="31" s="1"/>
  <c r="H27" i="31"/>
  <c r="I29" i="31" s="1"/>
  <c r="D9" i="29"/>
  <c r="D14" i="29"/>
  <c r="C15" i="29"/>
  <c r="C14" i="29"/>
  <c r="C8" i="29"/>
  <c r="C9" i="29" s="1"/>
  <c r="C10" i="29" s="1"/>
  <c r="D15" i="29"/>
  <c r="D10" i="29"/>
  <c r="D11" i="29"/>
  <c r="W18" i="25"/>
  <c r="V18" i="26"/>
  <c r="V31" i="26" s="1"/>
  <c r="V31" i="25"/>
  <c r="D18" i="26"/>
  <c r="D31" i="26" s="1"/>
  <c r="D31" i="25"/>
  <c r="BF18" i="25"/>
  <c r="B31" i="25"/>
  <c r="AW31" i="25"/>
  <c r="AO31" i="25"/>
  <c r="O31" i="25"/>
  <c r="F31" i="25"/>
  <c r="BK18" i="26"/>
  <c r="BK31" i="26" s="1"/>
  <c r="BC18" i="26"/>
  <c r="BC31" i="26" s="1"/>
  <c r="AT18" i="26"/>
  <c r="AT31" i="26" s="1"/>
  <c r="AK18" i="26"/>
  <c r="AK31" i="26" s="1"/>
  <c r="AC18" i="26"/>
  <c r="AC31" i="26" s="1"/>
  <c r="T18" i="26"/>
  <c r="T31" i="26" s="1"/>
  <c r="K18" i="26"/>
  <c r="K31" i="26" s="1"/>
  <c r="C18" i="26"/>
  <c r="C31" i="26" s="1"/>
  <c r="BI18" i="25"/>
  <c r="BE31" i="25"/>
  <c r="AV31" i="25"/>
  <c r="AM31" i="25"/>
  <c r="AE31" i="25"/>
  <c r="M31" i="25"/>
  <c r="E31" i="25"/>
  <c r="BB18" i="26"/>
  <c r="BB31" i="26" s="1"/>
  <c r="AS18" i="26"/>
  <c r="AS31" i="26" s="1"/>
  <c r="AJ18" i="26"/>
  <c r="AJ31" i="26" s="1"/>
  <c r="AB18" i="26"/>
  <c r="AB31" i="26" s="1"/>
  <c r="S18" i="26"/>
  <c r="S31" i="26" s="1"/>
  <c r="BO18" i="26"/>
  <c r="BO31" i="26" s="1"/>
  <c r="AP18" i="25"/>
  <c r="BL18" i="25"/>
  <c r="AU31" i="25"/>
  <c r="AL31" i="25"/>
  <c r="U31" i="25"/>
  <c r="L31" i="25"/>
  <c r="AZ18" i="26"/>
  <c r="AZ31" i="26" s="1"/>
  <c r="AR18" i="26"/>
  <c r="AR31" i="26" s="1"/>
  <c r="AI18" i="26"/>
  <c r="AI31" i="26" s="1"/>
  <c r="Z18" i="26"/>
  <c r="Z31" i="26" s="1"/>
  <c r="R18" i="26"/>
  <c r="R31" i="26" s="1"/>
  <c r="P18" i="25"/>
  <c r="BC31" i="25"/>
  <c r="AK31" i="25"/>
  <c r="AC31" i="25"/>
  <c r="C31" i="25"/>
  <c r="BH18" i="26"/>
  <c r="BH31" i="26" s="1"/>
  <c r="AY18" i="26"/>
  <c r="AY31" i="26" s="1"/>
  <c r="AH18" i="26"/>
  <c r="AH31" i="26" s="1"/>
  <c r="Y18" i="26"/>
  <c r="Y31" i="26" s="1"/>
  <c r="H18" i="26"/>
  <c r="H31" i="26" s="1"/>
  <c r="AF18" i="25"/>
  <c r="BB31" i="25"/>
  <c r="AS31" i="25"/>
  <c r="S31" i="25"/>
  <c r="AX18" i="26"/>
  <c r="AX31" i="26" s="1"/>
  <c r="G18" i="26"/>
  <c r="G31" i="26" s="1"/>
  <c r="I18" i="25"/>
  <c r="AI31" i="25"/>
  <c r="F18" i="26"/>
  <c r="F31" i="26" s="1"/>
  <c r="AY31" i="25"/>
  <c r="Y31" i="25"/>
  <c r="AV18" i="26"/>
  <c r="AV31" i="26" s="1"/>
  <c r="Z13" i="25"/>
  <c r="BB36" i="25"/>
  <c r="BB13" i="25"/>
  <c r="D23" i="25"/>
  <c r="C26" i="25"/>
  <c r="AT13" i="25"/>
  <c r="AU13" i="25"/>
  <c r="BE13" i="25"/>
  <c r="AL13" i="25"/>
  <c r="B36" i="25"/>
  <c r="B13" i="25"/>
  <c r="BJ13" i="25"/>
  <c r="AN37" i="25"/>
  <c r="BK13" i="25"/>
  <c r="AD13" i="25"/>
  <c r="BL13" i="25"/>
  <c r="V13" i="25"/>
  <c r="AV13" i="25"/>
  <c r="O36" i="25"/>
  <c r="O13" i="25"/>
  <c r="AW13" i="25"/>
  <c r="BF13" i="25"/>
  <c r="G13" i="25"/>
  <c r="X13" i="25"/>
  <c r="AX13" i="25"/>
  <c r="I13" i="25"/>
  <c r="J13" i="25"/>
  <c r="BC36" i="25"/>
  <c r="BC38" i="25" s="1"/>
  <c r="BC13" i="25"/>
  <c r="BD13" i="25"/>
  <c r="N9" i="25"/>
  <c r="AE13" i="25"/>
  <c r="AM13" i="25"/>
  <c r="BM13" i="25"/>
  <c r="F13" i="25"/>
  <c r="W13" i="25"/>
  <c r="AN9" i="25"/>
  <c r="P13" i="25"/>
  <c r="P36" i="25"/>
  <c r="P38" i="25" s="1"/>
  <c r="AG13" i="25"/>
  <c r="AP36" i="25"/>
  <c r="AP13" i="25"/>
  <c r="AP26" i="25"/>
  <c r="AQ23" i="25"/>
  <c r="BA9" i="25"/>
  <c r="H13" i="25"/>
  <c r="Q36" i="25"/>
  <c r="Q38" i="25" s="1"/>
  <c r="Q13" i="25"/>
  <c r="Y13" i="25"/>
  <c r="AH13" i="25"/>
  <c r="R13" i="25"/>
  <c r="W5" i="26"/>
  <c r="W9" i="26" s="1"/>
  <c r="BN5" i="25"/>
  <c r="BN9" i="25" s="1"/>
  <c r="M13" i="25"/>
  <c r="Q23" i="25"/>
  <c r="G5" i="26"/>
  <c r="P5" i="26"/>
  <c r="P9" i="26" s="1"/>
  <c r="X5" i="26"/>
  <c r="X9" i="26" s="1"/>
  <c r="BF13" i="26"/>
  <c r="U13" i="25"/>
  <c r="BI13" i="25"/>
  <c r="AF9" i="26"/>
  <c r="AF5" i="26"/>
  <c r="C13" i="26"/>
  <c r="AA5" i="25"/>
  <c r="AA9" i="25" s="1"/>
  <c r="N11" i="25"/>
  <c r="AC26" i="25"/>
  <c r="AD23" i="25"/>
  <c r="BD37" i="25"/>
  <c r="BN37" i="25" s="1"/>
  <c r="AP13" i="26"/>
  <c r="AX13" i="26"/>
  <c r="AH13" i="26"/>
  <c r="AC36" i="25"/>
  <c r="AC38" i="25" s="1"/>
  <c r="AC13" i="25"/>
  <c r="AV9" i="26"/>
  <c r="AV5" i="26"/>
  <c r="AF9" i="25"/>
  <c r="AB13" i="25"/>
  <c r="BD23" i="25"/>
  <c r="N24" i="25"/>
  <c r="AN24" i="25"/>
  <c r="R13" i="26"/>
  <c r="AQ13" i="26"/>
  <c r="AY13" i="26"/>
  <c r="AI13" i="26"/>
  <c r="AA11" i="25"/>
  <c r="AK13" i="25"/>
  <c r="C13" i="25"/>
  <c r="AA4" i="26"/>
  <c r="AO9" i="25"/>
  <c r="AN11" i="25"/>
  <c r="J13" i="26"/>
  <c r="S13" i="26"/>
  <c r="O26" i="25"/>
  <c r="AA24" i="25"/>
  <c r="F13" i="26"/>
  <c r="AN4" i="26"/>
  <c r="BM9" i="26"/>
  <c r="BG13" i="26"/>
  <c r="N5" i="25"/>
  <c r="AG37" i="25"/>
  <c r="AO37" i="25"/>
  <c r="AW37" i="25"/>
  <c r="BE37" i="25"/>
  <c r="BM37" i="25"/>
  <c r="AR13" i="25"/>
  <c r="K13" i="26"/>
  <c r="B37" i="26"/>
  <c r="N37" i="26" s="1"/>
  <c r="N11" i="26"/>
  <c r="D36" i="25"/>
  <c r="D38" i="25" s="1"/>
  <c r="K13" i="25"/>
  <c r="AI13" i="25"/>
  <c r="BH13" i="25"/>
  <c r="B26" i="25"/>
  <c r="O37" i="25"/>
  <c r="AA37" i="25" s="1"/>
  <c r="B36" i="26"/>
  <c r="B13" i="26"/>
  <c r="AS13" i="25"/>
  <c r="C36" i="25"/>
  <c r="C38" i="25" s="1"/>
  <c r="AQ36" i="25"/>
  <c r="AQ38" i="25" s="1"/>
  <c r="N37" i="25"/>
  <c r="AP37" i="25"/>
  <c r="AX37" i="25"/>
  <c r="BF37" i="25"/>
  <c r="T13" i="25"/>
  <c r="BG13" i="25"/>
  <c r="AO26" i="25"/>
  <c r="O5" i="26"/>
  <c r="H5" i="26"/>
  <c r="H9" i="26" s="1"/>
  <c r="AA6" i="26"/>
  <c r="AT37" i="26"/>
  <c r="N7" i="26"/>
  <c r="N4" i="26"/>
  <c r="BB9" i="26"/>
  <c r="BJ9" i="26"/>
  <c r="AO37" i="26"/>
  <c r="BA11" i="26"/>
  <c r="BN11" i="26"/>
  <c r="D13" i="26"/>
  <c r="AD9" i="26"/>
  <c r="AL9" i="26"/>
  <c r="AT13" i="26"/>
  <c r="BC9" i="26"/>
  <c r="BK9" i="26"/>
  <c r="AN6" i="26"/>
  <c r="Z13" i="26"/>
  <c r="E9" i="26"/>
  <c r="V9" i="26"/>
  <c r="AE9" i="26"/>
  <c r="AM9" i="26"/>
  <c r="AU9" i="26"/>
  <c r="BD5" i="26"/>
  <c r="BN5" i="26" s="1"/>
  <c r="BL5" i="26"/>
  <c r="BL9" i="26" s="1"/>
  <c r="BN8" i="26"/>
  <c r="L9" i="26"/>
  <c r="T9" i="26"/>
  <c r="AB9" i="26"/>
  <c r="AJ9" i="26"/>
  <c r="AR9" i="26"/>
  <c r="AZ9" i="26"/>
  <c r="BH9" i="26"/>
  <c r="AA11" i="26"/>
  <c r="B33" i="26"/>
  <c r="B34" i="26" s="1"/>
  <c r="B27" i="26"/>
  <c r="C29" i="26" s="1"/>
  <c r="BC26" i="26"/>
  <c r="BN4" i="26"/>
  <c r="I5" i="26"/>
  <c r="I9" i="26" s="1"/>
  <c r="Q5" i="26"/>
  <c r="Q9" i="26" s="1"/>
  <c r="Y5" i="26"/>
  <c r="Y9" i="26" s="1"/>
  <c r="AG5" i="26"/>
  <c r="AG9" i="26" s="1"/>
  <c r="AO5" i="26"/>
  <c r="BA5" i="26" s="1"/>
  <c r="AW5" i="26"/>
  <c r="AW9" i="26" s="1"/>
  <c r="BE5" i="26"/>
  <c r="BE9" i="26" s="1"/>
  <c r="BM5" i="26"/>
  <c r="M9" i="26"/>
  <c r="U9" i="26"/>
  <c r="AC9" i="26"/>
  <c r="AK9" i="26"/>
  <c r="AS9" i="26"/>
  <c r="BI9" i="26"/>
  <c r="BD23" i="26"/>
  <c r="BA24" i="26"/>
  <c r="AD37" i="26"/>
  <c r="AN37" i="26" s="1"/>
  <c r="AL37" i="26"/>
  <c r="BB37" i="26"/>
  <c r="BJ37" i="26"/>
  <c r="O26" i="26"/>
  <c r="BA4" i="26"/>
  <c r="BA9" i="26" s="1"/>
  <c r="AA37" i="26"/>
  <c r="AU37" i="26"/>
  <c r="BC37" i="26"/>
  <c r="BK37" i="26"/>
  <c r="P26" i="26"/>
  <c r="Q23" i="26"/>
  <c r="AN11" i="26"/>
  <c r="AN24" i="26"/>
  <c r="BN24" i="26"/>
  <c r="AP23" i="26"/>
  <c r="C23" i="26"/>
  <c r="AO26" i="26"/>
  <c r="AC23" i="26"/>
  <c r="C27" i="9"/>
  <c r="D27" i="9" s="1"/>
  <c r="C35" i="9"/>
  <c r="D35" i="9"/>
  <c r="E35" i="9" s="1"/>
  <c r="G35" i="9"/>
  <c r="H35" i="9" s="1"/>
  <c r="I35" i="9" s="1"/>
  <c r="C37" i="9"/>
  <c r="D37" i="9" s="1"/>
  <c r="E37" i="9" s="1"/>
  <c r="G37" i="9"/>
  <c r="H37" i="9"/>
  <c r="I37" i="9" s="1"/>
  <c r="J37" i="9" s="1"/>
  <c r="K37" i="9" s="1"/>
  <c r="L37" i="9" s="1"/>
  <c r="M37" i="9" s="1"/>
  <c r="B44" i="9"/>
  <c r="B45" i="9" s="1"/>
  <c r="C44" i="9"/>
  <c r="C45" i="9" s="1"/>
  <c r="B46" i="9"/>
  <c r="C46" i="9"/>
  <c r="C50" i="9" s="1"/>
  <c r="M47" i="9"/>
  <c r="K48" i="9"/>
  <c r="L48" i="9"/>
  <c r="M48" i="9"/>
  <c r="B49" i="9"/>
  <c r="P51" i="9" s="1"/>
  <c r="C49" i="9"/>
  <c r="D49" i="9"/>
  <c r="D52" i="9" s="1"/>
  <c r="E49" i="9"/>
  <c r="F49" i="9"/>
  <c r="G49" i="9"/>
  <c r="H49" i="9"/>
  <c r="I49" i="9"/>
  <c r="J49" i="9"/>
  <c r="K49" i="9"/>
  <c r="L49" i="9"/>
  <c r="L52" i="9" s="1"/>
  <c r="M49" i="9"/>
  <c r="B50" i="9"/>
  <c r="B52" i="9"/>
  <c r="B54" i="9" s="1"/>
  <c r="B55" i="9" s="1"/>
  <c r="C52" i="9"/>
  <c r="C54" i="9" s="1"/>
  <c r="E52" i="9"/>
  <c r="F52" i="9"/>
  <c r="G52" i="9"/>
  <c r="G54" i="9" s="1"/>
  <c r="H52" i="9"/>
  <c r="H54" i="9" s="1"/>
  <c r="I52" i="9"/>
  <c r="J52" i="9"/>
  <c r="J54" i="9" s="1"/>
  <c r="K52" i="9"/>
  <c r="K54" i="9" s="1"/>
  <c r="M52" i="9"/>
  <c r="B53" i="9"/>
  <c r="C53" i="9"/>
  <c r="D53" i="9"/>
  <c r="E53" i="9"/>
  <c r="F53" i="9"/>
  <c r="G53" i="9"/>
  <c r="H53" i="9"/>
  <c r="I53" i="9"/>
  <c r="J53" i="9"/>
  <c r="K53" i="9"/>
  <c r="L53" i="9"/>
  <c r="M53" i="9"/>
  <c r="E54" i="9"/>
  <c r="F54" i="9"/>
  <c r="I54" i="9"/>
  <c r="M54" i="9"/>
  <c r="B59" i="9"/>
  <c r="C59" i="9"/>
  <c r="D59" i="9"/>
  <c r="E59" i="9"/>
  <c r="E64" i="9" s="1"/>
  <c r="F59" i="9"/>
  <c r="F66" i="9" s="1"/>
  <c r="G59" i="9"/>
  <c r="H59" i="9"/>
  <c r="H64" i="9" s="1"/>
  <c r="I59" i="9"/>
  <c r="I64" i="9" s="1"/>
  <c r="J59" i="9"/>
  <c r="K59" i="9"/>
  <c r="L59" i="9"/>
  <c r="M59" i="9"/>
  <c r="M64" i="9" s="1"/>
  <c r="N59" i="9"/>
  <c r="B63" i="9"/>
  <c r="C63" i="9"/>
  <c r="D63" i="9"/>
  <c r="N63" i="9" s="1"/>
  <c r="E63" i="9"/>
  <c r="F63" i="9"/>
  <c r="G63" i="9"/>
  <c r="H63" i="9"/>
  <c r="I63" i="9"/>
  <c r="I65" i="9" s="1"/>
  <c r="J63" i="9"/>
  <c r="K63" i="9"/>
  <c r="L63" i="9"/>
  <c r="M63" i="9"/>
  <c r="B64" i="9"/>
  <c r="C64" i="9"/>
  <c r="D64" i="9"/>
  <c r="G64" i="9"/>
  <c r="J64" i="9"/>
  <c r="K64" i="9"/>
  <c r="L64" i="9"/>
  <c r="B65" i="9"/>
  <c r="C65" i="9"/>
  <c r="E65" i="9"/>
  <c r="F65" i="9"/>
  <c r="G65" i="9"/>
  <c r="G86" i="9" s="1"/>
  <c r="H65" i="9"/>
  <c r="J86" i="9" s="1"/>
  <c r="J65" i="9"/>
  <c r="K65" i="9"/>
  <c r="M65" i="9"/>
  <c r="B66" i="9"/>
  <c r="B73" i="9" s="1"/>
  <c r="C72" i="9" s="1"/>
  <c r="C66" i="9"/>
  <c r="D87" i="9" s="1"/>
  <c r="D66" i="9"/>
  <c r="G66" i="9"/>
  <c r="H66" i="9"/>
  <c r="J66" i="9"/>
  <c r="K66" i="9"/>
  <c r="L66" i="9"/>
  <c r="B72" i="9"/>
  <c r="B75" i="9"/>
  <c r="B78" i="9" s="1"/>
  <c r="C75" i="9"/>
  <c r="D75" i="9"/>
  <c r="E75" i="9"/>
  <c r="F75" i="9"/>
  <c r="G75" i="9"/>
  <c r="H75" i="9"/>
  <c r="I75" i="9"/>
  <c r="J75" i="9"/>
  <c r="K75" i="9"/>
  <c r="L75" i="9"/>
  <c r="M75" i="9"/>
  <c r="B132" i="9"/>
  <c r="C132" i="9" s="1"/>
  <c r="P132" i="9"/>
  <c r="P52" i="9" s="1"/>
  <c r="P53" i="9" s="1"/>
  <c r="BC32" i="21"/>
  <c r="BD32" i="21" s="1"/>
  <c r="AP32" i="21"/>
  <c r="AC32" i="21"/>
  <c r="AD32" i="21" s="1"/>
  <c r="P32" i="21"/>
  <c r="Q32" i="21" s="1"/>
  <c r="C32" i="21"/>
  <c r="BC19" i="21"/>
  <c r="BD19" i="21" s="1"/>
  <c r="AP19" i="21"/>
  <c r="AQ19" i="21" s="1"/>
  <c r="AC19" i="21"/>
  <c r="AD19" i="21" s="1"/>
  <c r="P19" i="21"/>
  <c r="Q19" i="21" s="1"/>
  <c r="C19" i="21"/>
  <c r="D19" i="21" s="1"/>
  <c r="BC31" i="22"/>
  <c r="BD31" i="22" s="1"/>
  <c r="AP31" i="22"/>
  <c r="AC31" i="22"/>
  <c r="AD31" i="22" s="1"/>
  <c r="Q31" i="22"/>
  <c r="R31" i="22" s="1"/>
  <c r="P31" i="22"/>
  <c r="C31" i="22"/>
  <c r="D31" i="22" s="1"/>
  <c r="BO18" i="22"/>
  <c r="BD18" i="22"/>
  <c r="BE18" i="22" s="1"/>
  <c r="BC18" i="22"/>
  <c r="AP18" i="22"/>
  <c r="AQ18" i="22" s="1"/>
  <c r="AC18" i="22"/>
  <c r="AD18" i="22" s="1"/>
  <c r="P18" i="22"/>
  <c r="Q18" i="22" s="1"/>
  <c r="D18" i="22"/>
  <c r="D16" i="22" s="1"/>
  <c r="E18" i="22"/>
  <c r="F18" i="22" s="1"/>
  <c r="C18" i="22"/>
  <c r="AC16" i="22"/>
  <c r="AB16" i="22"/>
  <c r="P16" i="22"/>
  <c r="O16" i="22"/>
  <c r="C16" i="22"/>
  <c r="L32" i="24"/>
  <c r="M32" i="24"/>
  <c r="N32" i="24"/>
  <c r="O32" i="24"/>
  <c r="K32" i="24"/>
  <c r="Y26" i="31" l="1"/>
  <c r="Z23" i="31"/>
  <c r="Y36" i="31"/>
  <c r="Y38" i="31" s="1"/>
  <c r="H16" i="31"/>
  <c r="H14" i="31"/>
  <c r="I33" i="32"/>
  <c r="I34" i="32" s="1"/>
  <c r="I27" i="32"/>
  <c r="J29" i="32" s="1"/>
  <c r="J30" i="32" s="1"/>
  <c r="BM23" i="31"/>
  <c r="BL26" i="31"/>
  <c r="BL36" i="31"/>
  <c r="BL38" i="31" s="1"/>
  <c r="AW26" i="32"/>
  <c r="AX23" i="32"/>
  <c r="AW36" i="32"/>
  <c r="AW38" i="32" s="1"/>
  <c r="K23" i="31"/>
  <c r="J26" i="31"/>
  <c r="J36" i="31"/>
  <c r="H16" i="32"/>
  <c r="H14" i="32"/>
  <c r="I30" i="31"/>
  <c r="G40" i="31"/>
  <c r="G42" i="31" s="1"/>
  <c r="G17" i="31"/>
  <c r="G20" i="31"/>
  <c r="G21" i="31" s="1"/>
  <c r="J26" i="32"/>
  <c r="K23" i="32"/>
  <c r="J36" i="32"/>
  <c r="J38" i="32" s="1"/>
  <c r="I33" i="31"/>
  <c r="I34" i="31" s="1"/>
  <c r="I27" i="31"/>
  <c r="J29" i="31" s="1"/>
  <c r="BL26" i="32"/>
  <c r="BM23" i="32"/>
  <c r="BL36" i="32"/>
  <c r="BL38" i="32" s="1"/>
  <c r="AK26" i="31"/>
  <c r="AL23" i="31"/>
  <c r="AK36" i="31"/>
  <c r="G40" i="32"/>
  <c r="G17" i="32"/>
  <c r="G20" i="32"/>
  <c r="G21" i="32" s="1"/>
  <c r="AI38" i="32"/>
  <c r="X23" i="32"/>
  <c r="W26" i="32"/>
  <c r="W36" i="32"/>
  <c r="AJ26" i="32"/>
  <c r="AK23" i="32"/>
  <c r="AJ36" i="32"/>
  <c r="AJ38" i="32" s="1"/>
  <c r="AY23" i="31"/>
  <c r="AX26" i="31"/>
  <c r="AX36" i="31"/>
  <c r="E43" i="31"/>
  <c r="F43" i="31" s="1"/>
  <c r="C11" i="29"/>
  <c r="C20" i="29" s="1"/>
  <c r="D20" i="29"/>
  <c r="D25" i="29" s="1"/>
  <c r="AG18" i="25"/>
  <c r="AF18" i="26"/>
  <c r="AF31" i="26" s="1"/>
  <c r="AF31" i="25"/>
  <c r="BG18" i="25"/>
  <c r="BF18" i="26"/>
  <c r="BF31" i="26" s="1"/>
  <c r="BF31" i="25"/>
  <c r="J18" i="25"/>
  <c r="I31" i="25"/>
  <c r="I18" i="26"/>
  <c r="I31" i="26" s="1"/>
  <c r="Q18" i="25"/>
  <c r="P18" i="26"/>
  <c r="P31" i="26" s="1"/>
  <c r="P31" i="25"/>
  <c r="BJ18" i="25"/>
  <c r="BI31" i="25"/>
  <c r="BI18" i="26"/>
  <c r="BI31" i="26" s="1"/>
  <c r="BM18" i="25"/>
  <c r="BL31" i="25"/>
  <c r="BL18" i="26"/>
  <c r="BL31" i="26" s="1"/>
  <c r="AQ18" i="25"/>
  <c r="AP31" i="25"/>
  <c r="AP18" i="26"/>
  <c r="AP31" i="26" s="1"/>
  <c r="W18" i="26"/>
  <c r="W31" i="26" s="1"/>
  <c r="W31" i="25"/>
  <c r="BL13" i="26"/>
  <c r="I13" i="26"/>
  <c r="AW13" i="26"/>
  <c r="W13" i="26"/>
  <c r="Y13" i="26"/>
  <c r="H13" i="26"/>
  <c r="P36" i="26"/>
  <c r="P38" i="26" s="1"/>
  <c r="P13" i="26"/>
  <c r="Q36" i="26"/>
  <c r="Q38" i="26" s="1"/>
  <c r="Q13" i="26"/>
  <c r="BE13" i="26"/>
  <c r="AG13" i="26"/>
  <c r="X13" i="26"/>
  <c r="U13" i="26"/>
  <c r="AZ13" i="26"/>
  <c r="BD26" i="26"/>
  <c r="BE23" i="26"/>
  <c r="BN9" i="26"/>
  <c r="AJ13" i="26"/>
  <c r="BD9" i="26"/>
  <c r="BJ13" i="26"/>
  <c r="AA5" i="26"/>
  <c r="BA37" i="25"/>
  <c r="AF13" i="25"/>
  <c r="N5" i="26"/>
  <c r="AA13" i="25"/>
  <c r="C26" i="26"/>
  <c r="D23" i="26"/>
  <c r="AK13" i="26"/>
  <c r="V13" i="26"/>
  <c r="C36" i="26"/>
  <c r="C38" i="26" s="1"/>
  <c r="AB36" i="26"/>
  <c r="AB13" i="26"/>
  <c r="AU13" i="26"/>
  <c r="AL13" i="26"/>
  <c r="BB36" i="26"/>
  <c r="BB13" i="26"/>
  <c r="B20" i="26"/>
  <c r="B21" i="26" s="1"/>
  <c r="B14" i="26"/>
  <c r="C16" i="26" s="1"/>
  <c r="C20" i="26" s="1"/>
  <c r="C21" i="26" s="1"/>
  <c r="AO36" i="25"/>
  <c r="AO13" i="25"/>
  <c r="AD26" i="25"/>
  <c r="AE23" i="25"/>
  <c r="G9" i="26"/>
  <c r="O38" i="25"/>
  <c r="B20" i="25"/>
  <c r="B21" i="25" s="1"/>
  <c r="B14" i="25"/>
  <c r="C16" i="25" s="1"/>
  <c r="N13" i="25"/>
  <c r="D26" i="25"/>
  <c r="E23" i="25"/>
  <c r="AP26" i="26"/>
  <c r="AQ23" i="26"/>
  <c r="AC36" i="26"/>
  <c r="AC38" i="26" s="1"/>
  <c r="AC13" i="26"/>
  <c r="BH13" i="26"/>
  <c r="E13" i="26"/>
  <c r="BK13" i="26"/>
  <c r="BD26" i="25"/>
  <c r="BE23" i="25"/>
  <c r="AR13" i="26"/>
  <c r="AD23" i="26"/>
  <c r="AC26" i="26"/>
  <c r="Q26" i="26"/>
  <c r="R23" i="26"/>
  <c r="BI13" i="26"/>
  <c r="C30" i="26"/>
  <c r="T13" i="26"/>
  <c r="AM13" i="26"/>
  <c r="AD36" i="26"/>
  <c r="AD38" i="26" s="1"/>
  <c r="AD13" i="26"/>
  <c r="AN5" i="26"/>
  <c r="AN9" i="26" s="1"/>
  <c r="B38" i="26"/>
  <c r="AA9" i="26"/>
  <c r="AV13" i="26"/>
  <c r="AF13" i="26"/>
  <c r="AO9" i="26"/>
  <c r="AR23" i="25"/>
  <c r="AQ26" i="25"/>
  <c r="BD36" i="25"/>
  <c r="BD38" i="25" s="1"/>
  <c r="B38" i="25"/>
  <c r="BN13" i="25"/>
  <c r="B33" i="25"/>
  <c r="B34" i="25" s="1"/>
  <c r="B27" i="25"/>
  <c r="C29" i="25" s="1"/>
  <c r="BC36" i="26"/>
  <c r="BC38" i="26" s="1"/>
  <c r="BC13" i="26"/>
  <c r="M13" i="26"/>
  <c r="BA37" i="26"/>
  <c r="AS13" i="26"/>
  <c r="L13" i="26"/>
  <c r="AE13" i="26"/>
  <c r="N9" i="26"/>
  <c r="O9" i="26"/>
  <c r="AD36" i="25"/>
  <c r="AD38" i="25" s="1"/>
  <c r="BB38" i="25"/>
  <c r="BN37" i="26"/>
  <c r="BM13" i="26"/>
  <c r="AP36" i="26"/>
  <c r="AP38" i="26" s="1"/>
  <c r="Q26" i="25"/>
  <c r="R23" i="25"/>
  <c r="AP38" i="25"/>
  <c r="D90" i="9"/>
  <c r="B84" i="9"/>
  <c r="C83" i="9" s="1"/>
  <c r="N78" i="9"/>
  <c r="D65" i="9"/>
  <c r="D86" i="9" s="1"/>
  <c r="D54" i="9"/>
  <c r="C78" i="9"/>
  <c r="C84" i="9" s="1"/>
  <c r="D83" i="9" s="1"/>
  <c r="C73" i="9"/>
  <c r="D72" i="9" s="1"/>
  <c r="J35" i="9"/>
  <c r="I44" i="9"/>
  <c r="I45" i="9" s="1"/>
  <c r="I46" i="9"/>
  <c r="I50" i="9" s="1"/>
  <c r="I55" i="9" s="1"/>
  <c r="L65" i="9"/>
  <c r="M86" i="9" s="1"/>
  <c r="L54" i="9"/>
  <c r="D44" i="9"/>
  <c r="D45" i="9" s="1"/>
  <c r="D46" i="9"/>
  <c r="D50" i="9" s="1"/>
  <c r="E27" i="9"/>
  <c r="C55" i="9"/>
  <c r="M66" i="9"/>
  <c r="M87" i="9" s="1"/>
  <c r="E66" i="9"/>
  <c r="G87" i="9" s="1"/>
  <c r="F64" i="9"/>
  <c r="P49" i="9"/>
  <c r="P50" i="9" s="1"/>
  <c r="Q132" i="9"/>
  <c r="I66" i="9"/>
  <c r="J87" i="9" s="1"/>
  <c r="R32" i="21"/>
  <c r="AE32" i="21"/>
  <c r="BE32" i="21"/>
  <c r="D32" i="21"/>
  <c r="AQ32" i="21"/>
  <c r="E19" i="21"/>
  <c r="AE19" i="21"/>
  <c r="AR19" i="21"/>
  <c r="R19" i="21"/>
  <c r="BE19" i="21"/>
  <c r="S31" i="22"/>
  <c r="E31" i="22"/>
  <c r="AE31" i="22"/>
  <c r="BE31" i="22"/>
  <c r="AQ31" i="22"/>
  <c r="BF18" i="22"/>
  <c r="AR18" i="22"/>
  <c r="AE18" i="22"/>
  <c r="AD16" i="22"/>
  <c r="R18" i="22"/>
  <c r="Q16" i="22"/>
  <c r="G18" i="22"/>
  <c r="F16" i="22"/>
  <c r="E16" i="22"/>
  <c r="AL23" i="32" l="1"/>
  <c r="AK26" i="32"/>
  <c r="AK36" i="32"/>
  <c r="AK38" i="32" s="1"/>
  <c r="K26" i="32"/>
  <c r="L23" i="32"/>
  <c r="K36" i="32"/>
  <c r="K38" i="32" s="1"/>
  <c r="AX26" i="32"/>
  <c r="AY23" i="32"/>
  <c r="AX36" i="32"/>
  <c r="AX38" i="32" s="1"/>
  <c r="H17" i="31"/>
  <c r="H40" i="31"/>
  <c r="H42" i="31" s="1"/>
  <c r="H20" i="31"/>
  <c r="H21" i="31" s="1"/>
  <c r="AX38" i="31"/>
  <c r="BM26" i="32"/>
  <c r="BM36" i="32"/>
  <c r="BN23" i="32"/>
  <c r="J33" i="32"/>
  <c r="J34" i="32" s="1"/>
  <c r="J27" i="32"/>
  <c r="K29" i="32" s="1"/>
  <c r="K30" i="32" s="1"/>
  <c r="I16" i="32"/>
  <c r="I14" i="32"/>
  <c r="J38" i="31"/>
  <c r="W38" i="32"/>
  <c r="K26" i="31"/>
  <c r="L23" i="31"/>
  <c r="K36" i="31"/>
  <c r="K38" i="31" s="1"/>
  <c r="H40" i="32"/>
  <c r="H42" i="32" s="1"/>
  <c r="H17" i="32"/>
  <c r="H20" i="32"/>
  <c r="H21" i="32" s="1"/>
  <c r="J27" i="31"/>
  <c r="K29" i="31" s="1"/>
  <c r="J33" i="31"/>
  <c r="J34" i="31" s="1"/>
  <c r="X26" i="32"/>
  <c r="Y23" i="32"/>
  <c r="X36" i="32"/>
  <c r="X38" i="32" s="1"/>
  <c r="G42" i="32"/>
  <c r="J30" i="31"/>
  <c r="AZ23" i="31"/>
  <c r="AY26" i="31"/>
  <c r="AY36" i="31"/>
  <c r="AY38" i="31" s="1"/>
  <c r="AK38" i="31"/>
  <c r="G43" i="31"/>
  <c r="AM23" i="31"/>
  <c r="AL26" i="31"/>
  <c r="AL36" i="31"/>
  <c r="AL38" i="31" s="1"/>
  <c r="BM26" i="31"/>
  <c r="BM36" i="31"/>
  <c r="BN23" i="31"/>
  <c r="Z26" i="31"/>
  <c r="Z36" i="31"/>
  <c r="AA23" i="31"/>
  <c r="I16" i="31"/>
  <c r="I14" i="31"/>
  <c r="B20" i="29"/>
  <c r="C25" i="29"/>
  <c r="BJ31" i="25"/>
  <c r="BJ18" i="26"/>
  <c r="BJ31" i="26" s="1"/>
  <c r="BG31" i="25"/>
  <c r="BG18" i="26"/>
  <c r="BG31" i="26" s="1"/>
  <c r="AQ31" i="25"/>
  <c r="AQ18" i="26"/>
  <c r="AQ31" i="26" s="1"/>
  <c r="Q31" i="25"/>
  <c r="Q18" i="26"/>
  <c r="Q31" i="26" s="1"/>
  <c r="BM18" i="26"/>
  <c r="BM31" i="26" s="1"/>
  <c r="BM31" i="25"/>
  <c r="J31" i="25"/>
  <c r="J18" i="26"/>
  <c r="J31" i="26" s="1"/>
  <c r="AG18" i="26"/>
  <c r="AG31" i="26" s="1"/>
  <c r="AG31" i="25"/>
  <c r="AD26" i="26"/>
  <c r="AE23" i="26"/>
  <c r="G13" i="26"/>
  <c r="C40" i="26"/>
  <c r="C17" i="26"/>
  <c r="BE26" i="26"/>
  <c r="BF23" i="26"/>
  <c r="B42" i="26"/>
  <c r="E26" i="25"/>
  <c r="F23" i="25"/>
  <c r="E36" i="25"/>
  <c r="N13" i="26"/>
  <c r="D26" i="26"/>
  <c r="E23" i="26"/>
  <c r="D36" i="26"/>
  <c r="O36" i="26"/>
  <c r="O13" i="26"/>
  <c r="B42" i="25"/>
  <c r="AE26" i="25"/>
  <c r="AF23" i="25"/>
  <c r="AE36" i="25"/>
  <c r="C33" i="26"/>
  <c r="C34" i="26" s="1"/>
  <c r="C27" i="26"/>
  <c r="D29" i="26" s="1"/>
  <c r="AO38" i="25"/>
  <c r="BE26" i="25"/>
  <c r="BF23" i="25"/>
  <c r="BE36" i="25"/>
  <c r="AR26" i="25"/>
  <c r="AS23" i="25"/>
  <c r="AR36" i="25"/>
  <c r="AR38" i="25" s="1"/>
  <c r="C14" i="26"/>
  <c r="AO36" i="26"/>
  <c r="AO13" i="26"/>
  <c r="BD36" i="26"/>
  <c r="BD38" i="26" s="1"/>
  <c r="BD13" i="26"/>
  <c r="C14" i="25"/>
  <c r="BE36" i="26"/>
  <c r="BE38" i="26" s="1"/>
  <c r="R26" i="25"/>
  <c r="S23" i="25"/>
  <c r="R36" i="25"/>
  <c r="C27" i="25"/>
  <c r="D29" i="25" s="1"/>
  <c r="AQ26" i="26"/>
  <c r="AR23" i="26"/>
  <c r="AQ36" i="26"/>
  <c r="AQ38" i="26" s="1"/>
  <c r="BB38" i="26"/>
  <c r="C30" i="25"/>
  <c r="R26" i="26"/>
  <c r="S23" i="26"/>
  <c r="R36" i="26"/>
  <c r="R38" i="26" s="1"/>
  <c r="C40" i="25"/>
  <c r="C17" i="25"/>
  <c r="C20" i="25"/>
  <c r="C21" i="25" s="1"/>
  <c r="AN13" i="25"/>
  <c r="AN13" i="26"/>
  <c r="C33" i="25"/>
  <c r="C34" i="25" s="1"/>
  <c r="BA13" i="25"/>
  <c r="BN13" i="26"/>
  <c r="AB38" i="26"/>
  <c r="D55" i="9"/>
  <c r="J44" i="9"/>
  <c r="J45" i="9" s="1"/>
  <c r="J46" i="9"/>
  <c r="J50" i="9" s="1"/>
  <c r="J55" i="9" s="1"/>
  <c r="K35" i="9"/>
  <c r="F27" i="9"/>
  <c r="E44" i="9"/>
  <c r="E45" i="9" s="1"/>
  <c r="E46" i="9"/>
  <c r="E50" i="9" s="1"/>
  <c r="E55" i="9" s="1"/>
  <c r="N65" i="9"/>
  <c r="D73" i="9"/>
  <c r="E72" i="9" s="1"/>
  <c r="D78" i="9"/>
  <c r="D84" i="9" s="1"/>
  <c r="E83" i="9" s="1"/>
  <c r="N66" i="9"/>
  <c r="AR32" i="21"/>
  <c r="E32" i="21"/>
  <c r="BF32" i="21"/>
  <c r="AF32" i="21"/>
  <c r="S32" i="21"/>
  <c r="AF19" i="21"/>
  <c r="S19" i="21"/>
  <c r="AS19" i="21"/>
  <c r="F19" i="21"/>
  <c r="BF19" i="21"/>
  <c r="T31" i="22"/>
  <c r="BF31" i="22"/>
  <c r="AF31" i="22"/>
  <c r="F31" i="22"/>
  <c r="AR31" i="22"/>
  <c r="BG18" i="22"/>
  <c r="AS18" i="22"/>
  <c r="AE16" i="22"/>
  <c r="AF18" i="22"/>
  <c r="R16" i="22"/>
  <c r="S18" i="22"/>
  <c r="G16" i="22"/>
  <c r="H18" i="22"/>
  <c r="AZ26" i="31" l="1"/>
  <c r="AZ36" i="31"/>
  <c r="BA23" i="31"/>
  <c r="L26" i="32"/>
  <c r="M23" i="32"/>
  <c r="L36" i="32"/>
  <c r="L38" i="32" s="1"/>
  <c r="AA26" i="31"/>
  <c r="L26" i="31"/>
  <c r="M23" i="31"/>
  <c r="L36" i="31"/>
  <c r="L38" i="31" s="1"/>
  <c r="H43" i="31"/>
  <c r="K33" i="32"/>
  <c r="K34" i="32" s="1"/>
  <c r="K27" i="32"/>
  <c r="L29" i="32" s="1"/>
  <c r="L30" i="32" s="1"/>
  <c r="K30" i="31"/>
  <c r="BN26" i="32"/>
  <c r="Z38" i="31"/>
  <c r="AA36" i="31"/>
  <c r="G43" i="32"/>
  <c r="AY26" i="32"/>
  <c r="AZ23" i="32"/>
  <c r="AY36" i="32"/>
  <c r="AY38" i="32" s="1"/>
  <c r="K33" i="31"/>
  <c r="K34" i="31" s="1"/>
  <c r="K27" i="31"/>
  <c r="L29" i="31" s="1"/>
  <c r="L30" i="31" s="1"/>
  <c r="J16" i="32"/>
  <c r="J14" i="32"/>
  <c r="AL26" i="32"/>
  <c r="AM23" i="32"/>
  <c r="AL36" i="32"/>
  <c r="AL38" i="32" s="1"/>
  <c r="BM38" i="32"/>
  <c r="BN36" i="32"/>
  <c r="BM38" i="31"/>
  <c r="BN36" i="31"/>
  <c r="BN26" i="31"/>
  <c r="J16" i="31"/>
  <c r="J14" i="31"/>
  <c r="Y26" i="32"/>
  <c r="Z23" i="32"/>
  <c r="Y36" i="32"/>
  <c r="Y38" i="32" s="1"/>
  <c r="I40" i="32"/>
  <c r="I42" i="32" s="1"/>
  <c r="I17" i="32"/>
  <c r="I20" i="32"/>
  <c r="I21" i="32" s="1"/>
  <c r="I17" i="31"/>
  <c r="I40" i="31"/>
  <c r="I42" i="31" s="1"/>
  <c r="I20" i="31"/>
  <c r="I21" i="31" s="1"/>
  <c r="AM26" i="31"/>
  <c r="AM36" i="31"/>
  <c r="AN23" i="31"/>
  <c r="H43" i="32"/>
  <c r="D30" i="25"/>
  <c r="O38" i="26"/>
  <c r="D33" i="26"/>
  <c r="D34" i="26" s="1"/>
  <c r="D27" i="26"/>
  <c r="E29" i="26" s="1"/>
  <c r="C42" i="25"/>
  <c r="C43" i="25" s="1"/>
  <c r="BA13" i="26"/>
  <c r="AE38" i="25"/>
  <c r="AE26" i="26"/>
  <c r="AF23" i="26"/>
  <c r="AE36" i="26"/>
  <c r="AS26" i="25"/>
  <c r="AT23" i="25"/>
  <c r="AS36" i="25"/>
  <c r="AS38" i="25" s="1"/>
  <c r="D16" i="26"/>
  <c r="D14" i="26"/>
  <c r="E38" i="25"/>
  <c r="AG23" i="25"/>
  <c r="AF26" i="25"/>
  <c r="AF36" i="25"/>
  <c r="AF38" i="25" s="1"/>
  <c r="D33" i="25"/>
  <c r="D34" i="25" s="1"/>
  <c r="F26" i="25"/>
  <c r="G23" i="25"/>
  <c r="F36" i="25"/>
  <c r="F38" i="25" s="1"/>
  <c r="D16" i="25"/>
  <c r="D14" i="25"/>
  <c r="D27" i="25"/>
  <c r="E29" i="25" s="1"/>
  <c r="E30" i="25" s="1"/>
  <c r="E27" i="25"/>
  <c r="F29" i="25" s="1"/>
  <c r="F30" i="25" s="1"/>
  <c r="E33" i="25"/>
  <c r="C42" i="26"/>
  <c r="S26" i="26"/>
  <c r="T23" i="26"/>
  <c r="S36" i="26"/>
  <c r="S38" i="26" s="1"/>
  <c r="AO38" i="26"/>
  <c r="AR26" i="26"/>
  <c r="AS23" i="26"/>
  <c r="AR36" i="26"/>
  <c r="AR38" i="26" s="1"/>
  <c r="R38" i="25"/>
  <c r="BE38" i="25"/>
  <c r="D30" i="26"/>
  <c r="D38" i="26"/>
  <c r="BF26" i="26"/>
  <c r="BG23" i="26"/>
  <c r="BF36" i="26"/>
  <c r="B43" i="26"/>
  <c r="B43" i="25"/>
  <c r="T23" i="25"/>
  <c r="S26" i="25"/>
  <c r="S36" i="25"/>
  <c r="S38" i="25" s="1"/>
  <c r="BF26" i="25"/>
  <c r="BG23" i="25"/>
  <c r="BF36" i="25"/>
  <c r="BF38" i="25" s="1"/>
  <c r="AA13" i="26"/>
  <c r="F23" i="26"/>
  <c r="E26" i="26"/>
  <c r="E36" i="26"/>
  <c r="E38" i="26" s="1"/>
  <c r="E73" i="9"/>
  <c r="F72" i="9" s="1"/>
  <c r="E78" i="9"/>
  <c r="G27" i="9"/>
  <c r="F44" i="9"/>
  <c r="F45" i="9" s="1"/>
  <c r="F46" i="9"/>
  <c r="F50" i="9" s="1"/>
  <c r="F55" i="9" s="1"/>
  <c r="K44" i="9"/>
  <c r="K45" i="9" s="1"/>
  <c r="K46" i="9"/>
  <c r="K50" i="9" s="1"/>
  <c r="K55" i="9" s="1"/>
  <c r="L35" i="9"/>
  <c r="AG32" i="21"/>
  <c r="BG32" i="21"/>
  <c r="F32" i="21"/>
  <c r="T32" i="21"/>
  <c r="AS32" i="21"/>
  <c r="AG19" i="21"/>
  <c r="G19" i="21"/>
  <c r="AT19" i="21"/>
  <c r="T19" i="21"/>
  <c r="BG19" i="21"/>
  <c r="G31" i="22"/>
  <c r="AG31" i="22"/>
  <c r="BG31" i="22"/>
  <c r="AS31" i="22"/>
  <c r="U31" i="22"/>
  <c r="BH18" i="22"/>
  <c r="AT18" i="22"/>
  <c r="AF16" i="22"/>
  <c r="AG18" i="22"/>
  <c r="S16" i="22"/>
  <c r="T18" i="22"/>
  <c r="H16" i="22"/>
  <c r="I18" i="22"/>
  <c r="J17" i="31" l="1"/>
  <c r="J40" i="31"/>
  <c r="J42" i="31" s="1"/>
  <c r="J20" i="31"/>
  <c r="J21" i="31" s="1"/>
  <c r="AZ26" i="32"/>
  <c r="AZ36" i="32"/>
  <c r="BA23" i="32"/>
  <c r="AM26" i="32"/>
  <c r="AM36" i="32"/>
  <c r="AN23" i="32"/>
  <c r="I43" i="31"/>
  <c r="Z26" i="32"/>
  <c r="Z36" i="32"/>
  <c r="AA23" i="32"/>
  <c r="L33" i="32"/>
  <c r="L34" i="32" s="1"/>
  <c r="L27" i="32"/>
  <c r="M29" i="32" s="1"/>
  <c r="BN38" i="31"/>
  <c r="K16" i="32"/>
  <c r="K14" i="32"/>
  <c r="M26" i="31"/>
  <c r="M36" i="31"/>
  <c r="N23" i="31"/>
  <c r="M26" i="32"/>
  <c r="M36" i="32"/>
  <c r="N23" i="32"/>
  <c r="AM38" i="31"/>
  <c r="AN36" i="31"/>
  <c r="I43" i="32"/>
  <c r="J40" i="32"/>
  <c r="J42" i="32" s="1"/>
  <c r="J17" i="32"/>
  <c r="J20" i="32"/>
  <c r="J21" i="32" s="1"/>
  <c r="L33" i="31"/>
  <c r="L34" i="31" s="1"/>
  <c r="L27" i="31"/>
  <c r="M29" i="31" s="1"/>
  <c r="AZ38" i="31"/>
  <c r="BA36" i="31"/>
  <c r="AN26" i="31"/>
  <c r="K16" i="31"/>
  <c r="K14" i="31"/>
  <c r="BN38" i="32"/>
  <c r="AA38" i="31"/>
  <c r="BA26" i="31"/>
  <c r="E34" i="25"/>
  <c r="E16" i="26"/>
  <c r="E14" i="26"/>
  <c r="G26" i="25"/>
  <c r="H23" i="25"/>
  <c r="G36" i="25"/>
  <c r="G38" i="25" s="1"/>
  <c r="BF38" i="26"/>
  <c r="AT26" i="25"/>
  <c r="AU23" i="25"/>
  <c r="AT36" i="25"/>
  <c r="AT38" i="25" s="1"/>
  <c r="AH23" i="25"/>
  <c r="AG26" i="25"/>
  <c r="AG36" i="25"/>
  <c r="AG38" i="25" s="1"/>
  <c r="E33" i="26"/>
  <c r="E34" i="26" s="1"/>
  <c r="E27" i="26"/>
  <c r="F29" i="26" s="1"/>
  <c r="E16" i="25"/>
  <c r="E14" i="25"/>
  <c r="AE38" i="26"/>
  <c r="AT23" i="26"/>
  <c r="AS26" i="26"/>
  <c r="AS36" i="26"/>
  <c r="AS38" i="26" s="1"/>
  <c r="BG26" i="26"/>
  <c r="BH23" i="26"/>
  <c r="BG36" i="26"/>
  <c r="BG38" i="26" s="1"/>
  <c r="F26" i="26"/>
  <c r="G23" i="26"/>
  <c r="F36" i="26"/>
  <c r="F38" i="26" s="1"/>
  <c r="D40" i="25"/>
  <c r="D17" i="25"/>
  <c r="D20" i="25"/>
  <c r="D21" i="25" s="1"/>
  <c r="AF26" i="26"/>
  <c r="AG23" i="26"/>
  <c r="AF36" i="26"/>
  <c r="AF38" i="26" s="1"/>
  <c r="T26" i="26"/>
  <c r="U23" i="26"/>
  <c r="T36" i="26"/>
  <c r="T38" i="26" s="1"/>
  <c r="D40" i="26"/>
  <c r="D42" i="26" s="1"/>
  <c r="D17" i="26"/>
  <c r="D20" i="26"/>
  <c r="D21" i="26" s="1"/>
  <c r="BH23" i="25"/>
  <c r="BG26" i="25"/>
  <c r="BG36" i="25"/>
  <c r="BG38" i="25" s="1"/>
  <c r="F27" i="25"/>
  <c r="G29" i="25" s="1"/>
  <c r="G30" i="25" s="1"/>
  <c r="F33" i="25"/>
  <c r="E30" i="26"/>
  <c r="C43" i="26"/>
  <c r="T26" i="25"/>
  <c r="U23" i="25"/>
  <c r="T36" i="25"/>
  <c r="L45" i="9"/>
  <c r="L46" i="9"/>
  <c r="L50" i="9" s="1"/>
  <c r="L55" i="9" s="1"/>
  <c r="L44" i="9"/>
  <c r="M35" i="9"/>
  <c r="H27" i="9"/>
  <c r="G44" i="9"/>
  <c r="G45" i="9" s="1"/>
  <c r="G46" i="9"/>
  <c r="G50" i="9" s="1"/>
  <c r="G55" i="9" s="1"/>
  <c r="E84" i="9"/>
  <c r="F83" i="9" s="1"/>
  <c r="G90" i="9"/>
  <c r="F73" i="9"/>
  <c r="G72" i="9" s="1"/>
  <c r="F78" i="9"/>
  <c r="F84" i="9" s="1"/>
  <c r="G83" i="9" s="1"/>
  <c r="U32" i="21"/>
  <c r="G32" i="21"/>
  <c r="BH32" i="21"/>
  <c r="AT32" i="21"/>
  <c r="AH32" i="21"/>
  <c r="AU19" i="21"/>
  <c r="U19" i="21"/>
  <c r="H19" i="21"/>
  <c r="AH19" i="21"/>
  <c r="BH19" i="21"/>
  <c r="AT31" i="22"/>
  <c r="BH31" i="22"/>
  <c r="AH31" i="22"/>
  <c r="V31" i="22"/>
  <c r="H31" i="22"/>
  <c r="BI18" i="22"/>
  <c r="AU18" i="22"/>
  <c r="AG16" i="22"/>
  <c r="AH18" i="22"/>
  <c r="T16" i="22"/>
  <c r="U18" i="22"/>
  <c r="I16" i="22"/>
  <c r="J18" i="22"/>
  <c r="G19" i="24"/>
  <c r="F19" i="24" s="1"/>
  <c r="G20" i="24"/>
  <c r="F20" i="24" s="1"/>
  <c r="G21" i="24"/>
  <c r="F21" i="24" s="1"/>
  <c r="G22" i="24"/>
  <c r="F22" i="24" s="1"/>
  <c r="G18" i="24"/>
  <c r="F18" i="24" s="1"/>
  <c r="AZ38" i="32" l="1"/>
  <c r="BA36" i="32"/>
  <c r="M38" i="32"/>
  <c r="N36" i="32"/>
  <c r="BA26" i="32"/>
  <c r="M30" i="31"/>
  <c r="N30" i="31" s="1"/>
  <c r="N29" i="31"/>
  <c r="AN38" i="31"/>
  <c r="K40" i="32"/>
  <c r="K42" i="32" s="1"/>
  <c r="K17" i="32"/>
  <c r="K20" i="32"/>
  <c r="K21" i="32" s="1"/>
  <c r="K40" i="31"/>
  <c r="K42" i="31" s="1"/>
  <c r="K17" i="31"/>
  <c r="K20" i="31"/>
  <c r="K21" i="31" s="1"/>
  <c r="M33" i="32"/>
  <c r="M34" i="32" s="1"/>
  <c r="N34" i="32" s="1"/>
  <c r="M27" i="32"/>
  <c r="N27" i="32" s="1"/>
  <c r="N26" i="32"/>
  <c r="M30" i="32"/>
  <c r="N30" i="32" s="1"/>
  <c r="N29" i="32"/>
  <c r="AM38" i="32"/>
  <c r="AN36" i="32"/>
  <c r="J43" i="32"/>
  <c r="M38" i="31"/>
  <c r="N36" i="31"/>
  <c r="AN26" i="32"/>
  <c r="L16" i="31"/>
  <c r="L14" i="31"/>
  <c r="M27" i="31"/>
  <c r="N27" i="31" s="1"/>
  <c r="M33" i="31"/>
  <c r="M34" i="31" s="1"/>
  <c r="N34" i="31" s="1"/>
  <c r="N26" i="31"/>
  <c r="Z38" i="32"/>
  <c r="AA36" i="32"/>
  <c r="J43" i="31"/>
  <c r="BA38" i="31"/>
  <c r="L16" i="32"/>
  <c r="L14" i="32"/>
  <c r="AA26" i="32"/>
  <c r="F34" i="25"/>
  <c r="G33" i="25"/>
  <c r="G34" i="25" s="1"/>
  <c r="G27" i="25"/>
  <c r="H29" i="25" s="1"/>
  <c r="H30" i="25" s="1"/>
  <c r="E17" i="25"/>
  <c r="E40" i="25"/>
  <c r="E42" i="25" s="1"/>
  <c r="E20" i="25"/>
  <c r="E21" i="25" s="1"/>
  <c r="F16" i="26"/>
  <c r="F14" i="26"/>
  <c r="V23" i="26"/>
  <c r="U26" i="26"/>
  <c r="U36" i="26"/>
  <c r="U38" i="26" s="1"/>
  <c r="BH26" i="26"/>
  <c r="BI23" i="26"/>
  <c r="BH36" i="26"/>
  <c r="BH38" i="26" s="1"/>
  <c r="F16" i="25"/>
  <c r="F14" i="25"/>
  <c r="D43" i="26"/>
  <c r="D42" i="25"/>
  <c r="AH26" i="25"/>
  <c r="AI23" i="25"/>
  <c r="AH36" i="25"/>
  <c r="AH38" i="25" s="1"/>
  <c r="E40" i="26"/>
  <c r="E42" i="26" s="1"/>
  <c r="E17" i="26"/>
  <c r="E20" i="26"/>
  <c r="E21" i="26" s="1"/>
  <c r="F33" i="26"/>
  <c r="F34" i="26" s="1"/>
  <c r="F27" i="26"/>
  <c r="G29" i="26" s="1"/>
  <c r="AU23" i="26"/>
  <c r="AT26" i="26"/>
  <c r="AT36" i="26"/>
  <c r="I23" i="25"/>
  <c r="H26" i="25"/>
  <c r="H36" i="25"/>
  <c r="H38" i="25" s="1"/>
  <c r="G26" i="26"/>
  <c r="H23" i="26"/>
  <c r="G36" i="26"/>
  <c r="T38" i="25"/>
  <c r="F30" i="26"/>
  <c r="AU26" i="25"/>
  <c r="AV23" i="25"/>
  <c r="AU36" i="25"/>
  <c r="BH26" i="25"/>
  <c r="BI23" i="25"/>
  <c r="BH36" i="25"/>
  <c r="BH38" i="25" s="1"/>
  <c r="U26" i="25"/>
  <c r="V23" i="25"/>
  <c r="U36" i="25"/>
  <c r="U38" i="25" s="1"/>
  <c r="AG26" i="26"/>
  <c r="AH23" i="26"/>
  <c r="AG36" i="26"/>
  <c r="H44" i="9"/>
  <c r="H46" i="9"/>
  <c r="H50" i="9" s="1"/>
  <c r="H55" i="9" s="1"/>
  <c r="H45" i="9"/>
  <c r="M44" i="9"/>
  <c r="M45" i="9" s="1"/>
  <c r="M46" i="9"/>
  <c r="M50" i="9" s="1"/>
  <c r="G73" i="9"/>
  <c r="H72" i="9" s="1"/>
  <c r="G78" i="9"/>
  <c r="G84" i="9" s="1"/>
  <c r="H83" i="9" s="1"/>
  <c r="AU32" i="21"/>
  <c r="BI32" i="21"/>
  <c r="H32" i="21"/>
  <c r="V32" i="21"/>
  <c r="AI32" i="21"/>
  <c r="AI19" i="21"/>
  <c r="I19" i="21"/>
  <c r="V19" i="21"/>
  <c r="BI19" i="21"/>
  <c r="AV19" i="21"/>
  <c r="W31" i="22"/>
  <c r="AU31" i="22"/>
  <c r="AI31" i="22"/>
  <c r="BI31" i="22"/>
  <c r="I31" i="22"/>
  <c r="BJ18" i="22"/>
  <c r="AV18" i="22"/>
  <c r="AH16" i="22"/>
  <c r="AI18" i="22"/>
  <c r="V18" i="22"/>
  <c r="U16" i="22"/>
  <c r="J16" i="22"/>
  <c r="K18" i="22"/>
  <c r="M33" i="24"/>
  <c r="N33" i="24"/>
  <c r="O33" i="24"/>
  <c r="R32" i="24" s="1"/>
  <c r="K33" i="24"/>
  <c r="L33" i="24"/>
  <c r="N33" i="32" l="1"/>
  <c r="N33" i="31"/>
  <c r="K43" i="31"/>
  <c r="L40" i="31"/>
  <c r="L42" i="31" s="1"/>
  <c r="L17" i="31"/>
  <c r="L20" i="31"/>
  <c r="L21" i="31" s="1"/>
  <c r="K43" i="32"/>
  <c r="O29" i="31"/>
  <c r="O27" i="31"/>
  <c r="O29" i="32"/>
  <c r="O27" i="32"/>
  <c r="M16" i="31"/>
  <c r="M14" i="31"/>
  <c r="N14" i="31" s="1"/>
  <c r="AN38" i="32"/>
  <c r="N38" i="32"/>
  <c r="L40" i="32"/>
  <c r="L42" i="32" s="1"/>
  <c r="L17" i="32"/>
  <c r="L20" i="32"/>
  <c r="L21" i="32" s="1"/>
  <c r="AA38" i="32"/>
  <c r="N38" i="31"/>
  <c r="M16" i="32"/>
  <c r="M14" i="32"/>
  <c r="N14" i="32" s="1"/>
  <c r="BA38" i="32"/>
  <c r="G30" i="26"/>
  <c r="E43" i="26"/>
  <c r="G16" i="25"/>
  <c r="G14" i="25"/>
  <c r="AG38" i="26"/>
  <c r="BI26" i="25"/>
  <c r="BJ23" i="25"/>
  <c r="BI36" i="25"/>
  <c r="BI38" i="25" s="1"/>
  <c r="AW23" i="25"/>
  <c r="AV26" i="25"/>
  <c r="AV36" i="25"/>
  <c r="AV38" i="25" s="1"/>
  <c r="AJ23" i="25"/>
  <c r="AI26" i="25"/>
  <c r="AI36" i="25"/>
  <c r="AI38" i="25" s="1"/>
  <c r="F17" i="25"/>
  <c r="F40" i="25"/>
  <c r="F20" i="25"/>
  <c r="F21" i="25" s="1"/>
  <c r="G16" i="26"/>
  <c r="G14" i="26"/>
  <c r="AH26" i="26"/>
  <c r="AI23" i="26"/>
  <c r="AH36" i="26"/>
  <c r="AH38" i="26" s="1"/>
  <c r="G38" i="26"/>
  <c r="J23" i="25"/>
  <c r="I26" i="25"/>
  <c r="I36" i="25"/>
  <c r="I38" i="25" s="1"/>
  <c r="F40" i="26"/>
  <c r="F17" i="26"/>
  <c r="F20" i="26"/>
  <c r="F21" i="26" s="1"/>
  <c r="D43" i="25"/>
  <c r="BJ23" i="26"/>
  <c r="BI26" i="26"/>
  <c r="BI36" i="26"/>
  <c r="AU38" i="25"/>
  <c r="V26" i="25"/>
  <c r="W23" i="25"/>
  <c r="V36" i="25"/>
  <c r="G33" i="26"/>
  <c r="G34" i="26" s="1"/>
  <c r="G27" i="26"/>
  <c r="H29" i="26" s="1"/>
  <c r="H30" i="26" s="1"/>
  <c r="E43" i="25"/>
  <c r="H33" i="25"/>
  <c r="H34" i="25" s="1"/>
  <c r="H27" i="25"/>
  <c r="I29" i="25" s="1"/>
  <c r="H26" i="26"/>
  <c r="I23" i="26"/>
  <c r="H36" i="26"/>
  <c r="H38" i="26" s="1"/>
  <c r="AT38" i="26"/>
  <c r="AU26" i="26"/>
  <c r="AV23" i="26"/>
  <c r="AU36" i="26"/>
  <c r="AU38" i="26" s="1"/>
  <c r="W23" i="26"/>
  <c r="V26" i="26"/>
  <c r="V36" i="26"/>
  <c r="M55" i="9"/>
  <c r="N50" i="9"/>
  <c r="N67" i="9" s="1"/>
  <c r="H78" i="9"/>
  <c r="H73" i="9"/>
  <c r="I72" i="9" s="1"/>
  <c r="W32" i="21"/>
  <c r="I32" i="21"/>
  <c r="BJ32" i="21"/>
  <c r="AV32" i="21"/>
  <c r="AJ32" i="21"/>
  <c r="AJ19" i="21"/>
  <c r="BJ19" i="21"/>
  <c r="W19" i="21"/>
  <c r="J19" i="21"/>
  <c r="AW19" i="21"/>
  <c r="BJ31" i="22"/>
  <c r="AV31" i="22"/>
  <c r="X31" i="22"/>
  <c r="AJ31" i="22"/>
  <c r="J31" i="22"/>
  <c r="BK18" i="22"/>
  <c r="AW18" i="22"/>
  <c r="AJ18" i="22"/>
  <c r="AI16" i="22"/>
  <c r="W18" i="22"/>
  <c r="V16" i="22"/>
  <c r="L18" i="22"/>
  <c r="K16" i="22"/>
  <c r="F15" i="24"/>
  <c r="F12" i="24"/>
  <c r="F13" i="24"/>
  <c r="F14" i="24"/>
  <c r="F11" i="24"/>
  <c r="F5" i="24"/>
  <c r="F6" i="24"/>
  <c r="F7" i="24"/>
  <c r="Q32" i="24" s="1"/>
  <c r="F8" i="24"/>
  <c r="F4" i="24"/>
  <c r="L43" i="31" l="1"/>
  <c r="P29" i="31"/>
  <c r="P27" i="31"/>
  <c r="O30" i="31"/>
  <c r="O33" i="31"/>
  <c r="O34" i="31" s="1"/>
  <c r="O30" i="32"/>
  <c r="O33" i="32"/>
  <c r="O34" i="32" s="1"/>
  <c r="O16" i="32"/>
  <c r="O14" i="32"/>
  <c r="O16" i="31"/>
  <c r="O14" i="31"/>
  <c r="L43" i="32"/>
  <c r="M40" i="32"/>
  <c r="M17" i="32"/>
  <c r="N17" i="32" s="1"/>
  <c r="M20" i="32"/>
  <c r="M21" i="32" s="1"/>
  <c r="N21" i="32" s="1"/>
  <c r="N16" i="32"/>
  <c r="N20" i="32" s="1"/>
  <c r="M40" i="31"/>
  <c r="M17" i="31"/>
  <c r="N17" i="31" s="1"/>
  <c r="M20" i="31"/>
  <c r="M21" i="31" s="1"/>
  <c r="N21" i="31" s="1"/>
  <c r="N16" i="31"/>
  <c r="N20" i="31" s="1"/>
  <c r="P29" i="32"/>
  <c r="P27" i="32"/>
  <c r="G40" i="26"/>
  <c r="G17" i="26"/>
  <c r="G20" i="26"/>
  <c r="G21" i="26" s="1"/>
  <c r="AJ26" i="25"/>
  <c r="AK23" i="25"/>
  <c r="AJ36" i="25"/>
  <c r="AJ38" i="25" s="1"/>
  <c r="J26" i="25"/>
  <c r="K23" i="25"/>
  <c r="J36" i="25"/>
  <c r="J38" i="25" s="1"/>
  <c r="H16" i="25"/>
  <c r="H14" i="25"/>
  <c r="H27" i="26"/>
  <c r="I29" i="26" s="1"/>
  <c r="H33" i="26"/>
  <c r="H34" i="26" s="1"/>
  <c r="BI38" i="26"/>
  <c r="F42" i="26"/>
  <c r="G40" i="25"/>
  <c r="G42" i="25" s="1"/>
  <c r="G17" i="25"/>
  <c r="G20" i="25"/>
  <c r="G21" i="25" s="1"/>
  <c r="G42" i="26"/>
  <c r="F42" i="25"/>
  <c r="AW26" i="25"/>
  <c r="AX23" i="25"/>
  <c r="AW36" i="25"/>
  <c r="H16" i="26"/>
  <c r="H14" i="26"/>
  <c r="AV26" i="26"/>
  <c r="AW23" i="26"/>
  <c r="AV36" i="26"/>
  <c r="AV38" i="26" s="1"/>
  <c r="I26" i="26"/>
  <c r="J23" i="26"/>
  <c r="I36" i="26"/>
  <c r="I38" i="26" s="1"/>
  <c r="BK23" i="26"/>
  <c r="BJ26" i="26"/>
  <c r="BJ36" i="26"/>
  <c r="BJ38" i="26" s="1"/>
  <c r="I33" i="25"/>
  <c r="I34" i="25" s="1"/>
  <c r="I27" i="25"/>
  <c r="J29" i="25" s="1"/>
  <c r="V38" i="26"/>
  <c r="I30" i="25"/>
  <c r="V38" i="25"/>
  <c r="AI26" i="26"/>
  <c r="AJ23" i="26"/>
  <c r="AI36" i="26"/>
  <c r="BJ26" i="25"/>
  <c r="BK23" i="25"/>
  <c r="BJ36" i="25"/>
  <c r="BJ38" i="25" s="1"/>
  <c r="W26" i="26"/>
  <c r="X23" i="26"/>
  <c r="W36" i="26"/>
  <c r="W38" i="26" s="1"/>
  <c r="W26" i="25"/>
  <c r="X23" i="25"/>
  <c r="W36" i="25"/>
  <c r="W38" i="25" s="1"/>
  <c r="H84" i="9"/>
  <c r="I83" i="9" s="1"/>
  <c r="J90" i="9"/>
  <c r="I78" i="9"/>
  <c r="I84" i="9" s="1"/>
  <c r="J83" i="9" s="1"/>
  <c r="I73" i="9"/>
  <c r="J72" i="9" s="1"/>
  <c r="AW32" i="21"/>
  <c r="J32" i="21"/>
  <c r="X32" i="21"/>
  <c r="BK32" i="21"/>
  <c r="AK32" i="21"/>
  <c r="X19" i="21"/>
  <c r="BK19" i="21"/>
  <c r="AX19" i="21"/>
  <c r="AK19" i="21"/>
  <c r="K19" i="21"/>
  <c r="AK31" i="22"/>
  <c r="Y31" i="22"/>
  <c r="AW31" i="22"/>
  <c r="K31" i="22"/>
  <c r="BK31" i="22"/>
  <c r="BL18" i="22"/>
  <c r="AX18" i="22"/>
  <c r="AK18" i="22"/>
  <c r="AJ16" i="22"/>
  <c r="X18" i="22"/>
  <c r="W16" i="22"/>
  <c r="M18" i="22"/>
  <c r="M16" i="22" s="1"/>
  <c r="L16" i="22"/>
  <c r="BC11" i="22"/>
  <c r="BC37" i="22" s="1"/>
  <c r="BD11" i="22"/>
  <c r="BE11" i="22"/>
  <c r="BF11" i="22"/>
  <c r="BG11" i="22"/>
  <c r="BH11" i="22"/>
  <c r="BI11" i="22"/>
  <c r="BJ11" i="22"/>
  <c r="BK11" i="22"/>
  <c r="BK37" i="22" s="1"/>
  <c r="BL11" i="22"/>
  <c r="BM11" i="22"/>
  <c r="BB11" i="22"/>
  <c r="BC24" i="22"/>
  <c r="BD24" i="22"/>
  <c r="BD37" i="22" s="1"/>
  <c r="BE24" i="22"/>
  <c r="BF24" i="22"/>
  <c r="BG24" i="22"/>
  <c r="BH24" i="22"/>
  <c r="BI24" i="22"/>
  <c r="BJ24" i="22"/>
  <c r="BK24" i="22"/>
  <c r="BL24" i="22"/>
  <c r="BM24" i="22"/>
  <c r="BB24" i="22"/>
  <c r="AP24" i="22"/>
  <c r="AQ24" i="22"/>
  <c r="AR24" i="22"/>
  <c r="AS24" i="22"/>
  <c r="AT24" i="22"/>
  <c r="AU24" i="22"/>
  <c r="AV24" i="22"/>
  <c r="AW24" i="22"/>
  <c r="AX24" i="22"/>
  <c r="AY24" i="22"/>
  <c r="AZ24" i="22"/>
  <c r="AO24" i="22"/>
  <c r="AC24" i="22"/>
  <c r="AD24" i="22"/>
  <c r="AE24" i="22"/>
  <c r="AE37" i="22" s="1"/>
  <c r="AF24" i="22"/>
  <c r="AG24" i="22"/>
  <c r="AH24" i="22"/>
  <c r="AI24" i="22"/>
  <c r="AJ24" i="22"/>
  <c r="AK24" i="22"/>
  <c r="AL24" i="22"/>
  <c r="AM24" i="22"/>
  <c r="AB24" i="22"/>
  <c r="P24" i="22"/>
  <c r="Q24" i="22"/>
  <c r="R24" i="22"/>
  <c r="S24" i="22"/>
  <c r="T24" i="22"/>
  <c r="U24" i="22"/>
  <c r="V24" i="22"/>
  <c r="W24" i="22"/>
  <c r="W37" i="22" s="1"/>
  <c r="X24" i="22"/>
  <c r="Y24" i="22"/>
  <c r="Z24" i="22"/>
  <c r="O24" i="22"/>
  <c r="C24" i="22"/>
  <c r="D24" i="22"/>
  <c r="E24" i="22"/>
  <c r="F24" i="22"/>
  <c r="G24" i="22"/>
  <c r="H24" i="22"/>
  <c r="I24" i="22"/>
  <c r="J24" i="22"/>
  <c r="M24" i="22"/>
  <c r="B24" i="22"/>
  <c r="AP11" i="22"/>
  <c r="AQ11" i="22"/>
  <c r="AR11" i="22"/>
  <c r="AS11" i="22"/>
  <c r="AT11" i="22"/>
  <c r="AU11" i="22"/>
  <c r="AU37" i="22" s="1"/>
  <c r="AV11" i="22"/>
  <c r="AW11" i="22"/>
  <c r="AX11" i="22"/>
  <c r="AY11" i="22"/>
  <c r="AZ11" i="22"/>
  <c r="AZ37" i="22" s="1"/>
  <c r="AO11" i="22"/>
  <c r="AC11" i="22"/>
  <c r="AD11" i="22"/>
  <c r="AD37" i="22" s="1"/>
  <c r="AE11" i="22"/>
  <c r="AF11" i="22"/>
  <c r="AG11" i="22"/>
  <c r="AH11" i="22"/>
  <c r="AI11" i="22"/>
  <c r="AJ11" i="22"/>
  <c r="AK11" i="22"/>
  <c r="AK37" i="22" s="1"/>
  <c r="AL11" i="22"/>
  <c r="AL37" i="22" s="1"/>
  <c r="AB11" i="22"/>
  <c r="P11" i="22"/>
  <c r="Q11" i="22"/>
  <c r="R11" i="22"/>
  <c r="R37" i="22" s="1"/>
  <c r="S11" i="22"/>
  <c r="T11" i="22"/>
  <c r="U11" i="22"/>
  <c r="U37" i="22" s="1"/>
  <c r="V11" i="22"/>
  <c r="W11" i="22"/>
  <c r="X11" i="22"/>
  <c r="Y11" i="22"/>
  <c r="Z11" i="22"/>
  <c r="O11" i="22"/>
  <c r="C11" i="22"/>
  <c r="C37" i="22" s="1"/>
  <c r="D11" i="22"/>
  <c r="E11" i="22"/>
  <c r="F11" i="22"/>
  <c r="G11" i="22"/>
  <c r="H11" i="22"/>
  <c r="I11" i="22"/>
  <c r="I37" i="22" s="1"/>
  <c r="J11" i="22"/>
  <c r="M11" i="22"/>
  <c r="B11" i="22"/>
  <c r="BC6" i="22"/>
  <c r="BD6" i="22"/>
  <c r="BE6" i="22"/>
  <c r="BF6" i="22"/>
  <c r="BG6" i="22"/>
  <c r="BH6" i="22"/>
  <c r="BI6" i="22"/>
  <c r="BJ6" i="22"/>
  <c r="BK6" i="22"/>
  <c r="BL6" i="22"/>
  <c r="BM6" i="22"/>
  <c r="BB6" i="22"/>
  <c r="AP6" i="22"/>
  <c r="AQ6" i="22"/>
  <c r="AR6" i="22"/>
  <c r="AS6" i="22"/>
  <c r="AT6" i="22"/>
  <c r="AU6" i="22"/>
  <c r="AV6" i="22"/>
  <c r="AW6" i="22"/>
  <c r="AX6" i="22"/>
  <c r="AY6" i="22"/>
  <c r="AZ6" i="22"/>
  <c r="AO6" i="22"/>
  <c r="AC6" i="22"/>
  <c r="AD6" i="22"/>
  <c r="AE6" i="22"/>
  <c r="AF6" i="22"/>
  <c r="AG6" i="22"/>
  <c r="AH6" i="22"/>
  <c r="AI6" i="22"/>
  <c r="AJ6" i="22"/>
  <c r="AK6" i="22"/>
  <c r="AL6" i="22"/>
  <c r="AM6" i="22"/>
  <c r="AB6" i="22"/>
  <c r="P6" i="22"/>
  <c r="Q6" i="22"/>
  <c r="R6" i="22"/>
  <c r="S6" i="22"/>
  <c r="T6" i="22"/>
  <c r="U6" i="22"/>
  <c r="V6" i="22"/>
  <c r="W6" i="22"/>
  <c r="X6" i="22"/>
  <c r="Y6" i="22"/>
  <c r="Z6" i="22"/>
  <c r="O6" i="22"/>
  <c r="C6" i="22"/>
  <c r="D6" i="22"/>
  <c r="E6" i="22"/>
  <c r="F6" i="22"/>
  <c r="G6" i="22"/>
  <c r="H6" i="22"/>
  <c r="I6" i="22"/>
  <c r="J6" i="22"/>
  <c r="K6" i="22"/>
  <c r="L6" i="22"/>
  <c r="M6" i="22"/>
  <c r="B6" i="22"/>
  <c r="BC5" i="22"/>
  <c r="BD5" i="22"/>
  <c r="BF5" i="22"/>
  <c r="BG5" i="22"/>
  <c r="BH5" i="22"/>
  <c r="BI5" i="22"/>
  <c r="BJ5" i="22"/>
  <c r="BK5" i="22"/>
  <c r="BL5" i="22"/>
  <c r="BM5" i="22"/>
  <c r="BB5" i="22"/>
  <c r="AP5" i="22"/>
  <c r="AQ5" i="22"/>
  <c r="AR5" i="22"/>
  <c r="AS5" i="22"/>
  <c r="AT5" i="22"/>
  <c r="AU5" i="22"/>
  <c r="AV5" i="22"/>
  <c r="AW5" i="22"/>
  <c r="AX5" i="22"/>
  <c r="AY5" i="22"/>
  <c r="AZ5" i="22"/>
  <c r="AO5" i="22"/>
  <c r="AC5" i="22"/>
  <c r="AD5" i="22"/>
  <c r="AE5" i="22"/>
  <c r="AF5" i="22"/>
  <c r="AG5" i="22"/>
  <c r="AH5" i="22"/>
  <c r="AI5" i="22"/>
  <c r="AJ5" i="22"/>
  <c r="AK5" i="22"/>
  <c r="AL5" i="22"/>
  <c r="AL9" i="22" s="1"/>
  <c r="AM5" i="22"/>
  <c r="AB5" i="22"/>
  <c r="P5" i="22"/>
  <c r="Q5" i="22"/>
  <c r="R5" i="22"/>
  <c r="S5" i="22"/>
  <c r="T5" i="22"/>
  <c r="U5" i="22"/>
  <c r="V5" i="22"/>
  <c r="W5" i="22"/>
  <c r="X5" i="22"/>
  <c r="Y5" i="22"/>
  <c r="Z5" i="22"/>
  <c r="O5" i="22"/>
  <c r="C5" i="22"/>
  <c r="C9" i="22" s="1"/>
  <c r="D5" i="22"/>
  <c r="E5" i="22"/>
  <c r="F5" i="22"/>
  <c r="G5" i="22"/>
  <c r="H5" i="22"/>
  <c r="I5" i="22"/>
  <c r="J5" i="22"/>
  <c r="K5" i="22"/>
  <c r="L5" i="22"/>
  <c r="M5" i="22"/>
  <c r="B5" i="22"/>
  <c r="AX37" i="22"/>
  <c r="AR37" i="22"/>
  <c r="AP37" i="22"/>
  <c r="AI37" i="22"/>
  <c r="BN8" i="22"/>
  <c r="BA8" i="22"/>
  <c r="AN8" i="22"/>
  <c r="AA8" i="22"/>
  <c r="N8" i="22"/>
  <c r="BN7" i="22"/>
  <c r="BA7" i="22"/>
  <c r="AN7" i="22"/>
  <c r="AA7" i="22"/>
  <c r="N7" i="22"/>
  <c r="AD9" i="22"/>
  <c r="N4" i="22"/>
  <c r="N40" i="31" l="1"/>
  <c r="M42" i="31"/>
  <c r="P16" i="32"/>
  <c r="P14" i="32"/>
  <c r="O40" i="31"/>
  <c r="O42" i="31" s="1"/>
  <c r="O17" i="31"/>
  <c r="O20" i="31"/>
  <c r="O21" i="31" s="1"/>
  <c r="Q29" i="32"/>
  <c r="Q27" i="32"/>
  <c r="O40" i="32"/>
  <c r="O42" i="32" s="1"/>
  <c r="O17" i="32"/>
  <c r="O20" i="32"/>
  <c r="O21" i="32" s="1"/>
  <c r="Q29" i="31"/>
  <c r="Q27" i="31"/>
  <c r="P16" i="31"/>
  <c r="P14" i="31"/>
  <c r="P30" i="32"/>
  <c r="P33" i="32"/>
  <c r="P34" i="32" s="1"/>
  <c r="N40" i="32"/>
  <c r="M42" i="32"/>
  <c r="P30" i="31"/>
  <c r="P33" i="31"/>
  <c r="P34" i="31" s="1"/>
  <c r="J30" i="25"/>
  <c r="H40" i="25"/>
  <c r="H17" i="25"/>
  <c r="H20" i="25"/>
  <c r="H21" i="25" s="1"/>
  <c r="F43" i="26"/>
  <c r="G43" i="26" s="1"/>
  <c r="AK26" i="25"/>
  <c r="AL23" i="25"/>
  <c r="AK36" i="25"/>
  <c r="AK38" i="25" s="1"/>
  <c r="AI38" i="26"/>
  <c r="BK26" i="26"/>
  <c r="BL23" i="26"/>
  <c r="BK36" i="26"/>
  <c r="BK38" i="26" s="1"/>
  <c r="F43" i="25"/>
  <c r="G43" i="25" s="1"/>
  <c r="X26" i="26"/>
  <c r="Y23" i="26"/>
  <c r="X36" i="26"/>
  <c r="X38" i="26" s="1"/>
  <c r="AJ26" i="26"/>
  <c r="AK23" i="26"/>
  <c r="AJ36" i="26"/>
  <c r="AJ38" i="26" s="1"/>
  <c r="J26" i="26"/>
  <c r="K23" i="26"/>
  <c r="J36" i="26"/>
  <c r="J38" i="26" s="1"/>
  <c r="I16" i="26"/>
  <c r="I14" i="26"/>
  <c r="L23" i="25"/>
  <c r="K26" i="25"/>
  <c r="K36" i="25"/>
  <c r="K38" i="25" s="1"/>
  <c r="I33" i="26"/>
  <c r="I34" i="26" s="1"/>
  <c r="I27" i="26"/>
  <c r="J29" i="26" s="1"/>
  <c r="H40" i="26"/>
  <c r="H42" i="26" s="1"/>
  <c r="H17" i="26"/>
  <c r="H20" i="26"/>
  <c r="H21" i="26" s="1"/>
  <c r="J33" i="25"/>
  <c r="J34" i="25" s="1"/>
  <c r="J27" i="25"/>
  <c r="K29" i="25" s="1"/>
  <c r="K30" i="25" s="1"/>
  <c r="AW38" i="25"/>
  <c r="I30" i="26"/>
  <c r="Y23" i="25"/>
  <c r="X26" i="25"/>
  <c r="X36" i="25"/>
  <c r="X38" i="25" s="1"/>
  <c r="BK26" i="25"/>
  <c r="BL23" i="25"/>
  <c r="BK36" i="25"/>
  <c r="BK38" i="25" s="1"/>
  <c r="AW26" i="26"/>
  <c r="AX23" i="26"/>
  <c r="AW36" i="26"/>
  <c r="AX26" i="25"/>
  <c r="AY23" i="25"/>
  <c r="AX36" i="25"/>
  <c r="AX38" i="25" s="1"/>
  <c r="I16" i="25"/>
  <c r="I14" i="25"/>
  <c r="J78" i="9"/>
  <c r="J84" i="9" s="1"/>
  <c r="K83" i="9" s="1"/>
  <c r="J73" i="9"/>
  <c r="K72" i="9" s="1"/>
  <c r="BG37" i="22"/>
  <c r="BL32" i="21"/>
  <c r="Y32" i="21"/>
  <c r="K32" i="21"/>
  <c r="AL32" i="21"/>
  <c r="AX32" i="21"/>
  <c r="AL19" i="21"/>
  <c r="AY19" i="21"/>
  <c r="BL19" i="21"/>
  <c r="L19" i="21"/>
  <c r="Y19" i="21"/>
  <c r="L31" i="22"/>
  <c r="Z31" i="22"/>
  <c r="AX31" i="22"/>
  <c r="BL31" i="22"/>
  <c r="AL31" i="22"/>
  <c r="BM18" i="22"/>
  <c r="AY18" i="22"/>
  <c r="AL18" i="22"/>
  <c r="AK16" i="22"/>
  <c r="Y18" i="22"/>
  <c r="X16" i="22"/>
  <c r="AH9" i="22"/>
  <c r="M37" i="22"/>
  <c r="AT37" i="22"/>
  <c r="S37" i="22"/>
  <c r="AV37" i="22"/>
  <c r="V37" i="22"/>
  <c r="D37" i="22"/>
  <c r="B37" i="22"/>
  <c r="AB37" i="22"/>
  <c r="BB9" i="22"/>
  <c r="Z9" i="22"/>
  <c r="Z13" i="22" s="1"/>
  <c r="J37" i="22"/>
  <c r="AS37" i="22"/>
  <c r="BN6" i="22"/>
  <c r="AP9" i="22"/>
  <c r="AX9" i="22"/>
  <c r="AX13" i="22" s="1"/>
  <c r="Q37" i="22"/>
  <c r="AH37" i="22"/>
  <c r="AY37" i="22"/>
  <c r="AQ37" i="22"/>
  <c r="B9" i="22"/>
  <c r="V9" i="22"/>
  <c r="V13" i="22" s="1"/>
  <c r="J9" i="22"/>
  <c r="J13" i="22" s="1"/>
  <c r="F9" i="22"/>
  <c r="F13" i="22" s="1"/>
  <c r="AN6" i="22"/>
  <c r="R9" i="22"/>
  <c r="F37" i="22"/>
  <c r="AF37" i="22"/>
  <c r="BH37" i="22"/>
  <c r="E9" i="22"/>
  <c r="E13" i="22" s="1"/>
  <c r="E37" i="22"/>
  <c r="BF37" i="22"/>
  <c r="BB37" i="22"/>
  <c r="T37" i="22"/>
  <c r="AC37" i="22"/>
  <c r="AA24" i="22"/>
  <c r="AN24" i="22"/>
  <c r="BA24" i="22"/>
  <c r="Z37" i="22"/>
  <c r="BN24" i="22"/>
  <c r="BL37" i="22"/>
  <c r="N6" i="22"/>
  <c r="BA6" i="22"/>
  <c r="H37" i="22"/>
  <c r="BJ9" i="22"/>
  <c r="BJ13" i="22" s="1"/>
  <c r="G37" i="22"/>
  <c r="BJ37" i="22"/>
  <c r="BI37" i="22"/>
  <c r="AM37" i="22"/>
  <c r="AJ37" i="22"/>
  <c r="X37" i="22"/>
  <c r="P37" i="22"/>
  <c r="BF9" i="22"/>
  <c r="BF13" i="22" s="1"/>
  <c r="AT9" i="22"/>
  <c r="AT13" i="22" s="1"/>
  <c r="AA6" i="22"/>
  <c r="D9" i="22"/>
  <c r="D13" i="22" s="1"/>
  <c r="BB13" i="22"/>
  <c r="C13" i="22"/>
  <c r="AD13" i="22"/>
  <c r="AL13" i="22"/>
  <c r="AH13" i="22"/>
  <c r="R13" i="22"/>
  <c r="AN4" i="22"/>
  <c r="G9" i="22"/>
  <c r="W9" i="22"/>
  <c r="AE9" i="22"/>
  <c r="AM9" i="22"/>
  <c r="AU9" i="22"/>
  <c r="BC9" i="22"/>
  <c r="BK9" i="22"/>
  <c r="K9" i="22"/>
  <c r="S9" i="22"/>
  <c r="AI9" i="22"/>
  <c r="AQ9" i="22"/>
  <c r="AY9" i="22"/>
  <c r="BG9" i="22"/>
  <c r="H9" i="22"/>
  <c r="P9" i="22"/>
  <c r="X9" i="22"/>
  <c r="AF9" i="22"/>
  <c r="AV9" i="22"/>
  <c r="BD9" i="22"/>
  <c r="BL9" i="22"/>
  <c r="L9" i="22"/>
  <c r="T9" i="22"/>
  <c r="AB9" i="22"/>
  <c r="AJ9" i="22"/>
  <c r="AR9" i="22"/>
  <c r="AZ9" i="22"/>
  <c r="BH9" i="22"/>
  <c r="BA11" i="22"/>
  <c r="BN4" i="22"/>
  <c r="I9" i="22"/>
  <c r="Q9" i="22"/>
  <c r="Y9" i="22"/>
  <c r="AG9" i="22"/>
  <c r="BA5" i="22"/>
  <c r="AW9" i="22"/>
  <c r="BM9" i="22"/>
  <c r="M9" i="22"/>
  <c r="U9" i="22"/>
  <c r="AC9" i="22"/>
  <c r="AK9" i="22"/>
  <c r="AS9" i="22"/>
  <c r="BI9" i="22"/>
  <c r="AA4" i="22"/>
  <c r="BA4" i="22"/>
  <c r="AA11" i="22"/>
  <c r="O37" i="22"/>
  <c r="AN11" i="22"/>
  <c r="Y37" i="22"/>
  <c r="AG37" i="22"/>
  <c r="AO37" i="22"/>
  <c r="AW37" i="22"/>
  <c r="BE37" i="22"/>
  <c r="BM37" i="22"/>
  <c r="BN11" i="22"/>
  <c r="M43" i="32" l="1"/>
  <c r="N43" i="32" s="1"/>
  <c r="O43" i="32" s="1"/>
  <c r="N42" i="32"/>
  <c r="R29" i="31"/>
  <c r="R27" i="31"/>
  <c r="Q16" i="32"/>
  <c r="Q14" i="32"/>
  <c r="Q30" i="31"/>
  <c r="Q33" i="31"/>
  <c r="Q34" i="31" s="1"/>
  <c r="P40" i="32"/>
  <c r="P42" i="32" s="1"/>
  <c r="P17" i="32"/>
  <c r="P20" i="32"/>
  <c r="P21" i="32" s="1"/>
  <c r="Q16" i="31"/>
  <c r="Q14" i="31"/>
  <c r="R29" i="32"/>
  <c r="R27" i="32"/>
  <c r="M43" i="31"/>
  <c r="N43" i="31" s="1"/>
  <c r="O43" i="31" s="1"/>
  <c r="N42" i="31"/>
  <c r="P40" i="31"/>
  <c r="P42" i="31" s="1"/>
  <c r="P17" i="31"/>
  <c r="P20" i="31"/>
  <c r="P21" i="31" s="1"/>
  <c r="Q30" i="32"/>
  <c r="Q33" i="32"/>
  <c r="Q34" i="32" s="1"/>
  <c r="Y26" i="26"/>
  <c r="Z23" i="26"/>
  <c r="Y36" i="26"/>
  <c r="Y38" i="26" s="1"/>
  <c r="AL26" i="25"/>
  <c r="AM23" i="25"/>
  <c r="AL36" i="25"/>
  <c r="AL38" i="25" s="1"/>
  <c r="AW38" i="26"/>
  <c r="L26" i="25"/>
  <c r="M23" i="25"/>
  <c r="L36" i="25"/>
  <c r="L38" i="25" s="1"/>
  <c r="K26" i="26"/>
  <c r="L23" i="26"/>
  <c r="K36" i="26"/>
  <c r="K38" i="26" s="1"/>
  <c r="AX26" i="26"/>
  <c r="AY23" i="26"/>
  <c r="AX36" i="26"/>
  <c r="AX38" i="26" s="1"/>
  <c r="J33" i="26"/>
  <c r="J34" i="26" s="1"/>
  <c r="J27" i="26"/>
  <c r="K29" i="26" s="1"/>
  <c r="H42" i="25"/>
  <c r="AZ23" i="25"/>
  <c r="AY26" i="25"/>
  <c r="AY36" i="25"/>
  <c r="AY38" i="25" s="1"/>
  <c r="K33" i="25"/>
  <c r="K34" i="25" s="1"/>
  <c r="K27" i="25"/>
  <c r="L29" i="25" s="1"/>
  <c r="L30" i="25" s="1"/>
  <c r="J16" i="25"/>
  <c r="J14" i="25"/>
  <c r="I40" i="25"/>
  <c r="I42" i="25" s="1"/>
  <c r="I17" i="25"/>
  <c r="I20" i="25"/>
  <c r="I21" i="25" s="1"/>
  <c r="AL23" i="26"/>
  <c r="AK26" i="26"/>
  <c r="AK36" i="26"/>
  <c r="AK38" i="26" s="1"/>
  <c r="H43" i="26"/>
  <c r="J16" i="26"/>
  <c r="J14" i="26"/>
  <c r="BL26" i="25"/>
  <c r="BM23" i="25"/>
  <c r="BL36" i="25"/>
  <c r="BL38" i="25" s="1"/>
  <c r="Z23" i="25"/>
  <c r="Y26" i="25"/>
  <c r="Y36" i="25"/>
  <c r="Y38" i="25" s="1"/>
  <c r="BL26" i="26"/>
  <c r="BM23" i="26"/>
  <c r="BL36" i="26"/>
  <c r="BL38" i="26" s="1"/>
  <c r="J30" i="26"/>
  <c r="I17" i="26"/>
  <c r="I40" i="26"/>
  <c r="I42" i="26" s="1"/>
  <c r="I20" i="26"/>
  <c r="I21" i="26" s="1"/>
  <c r="K78" i="9"/>
  <c r="K73" i="9"/>
  <c r="L72" i="9" s="1"/>
  <c r="L32" i="21"/>
  <c r="Z32" i="21"/>
  <c r="AY32" i="21"/>
  <c r="AM32" i="21"/>
  <c r="BM32" i="21"/>
  <c r="M19" i="21"/>
  <c r="BM19" i="21"/>
  <c r="AZ19" i="21"/>
  <c r="Z19" i="21"/>
  <c r="AM19" i="21"/>
  <c r="AY31" i="22"/>
  <c r="BM31" i="22"/>
  <c r="M31" i="22"/>
  <c r="AM31" i="22"/>
  <c r="AZ18" i="22"/>
  <c r="AL16" i="22"/>
  <c r="AM18" i="22"/>
  <c r="AM16" i="22" s="1"/>
  <c r="Z18" i="22"/>
  <c r="Z16" i="22" s="1"/>
  <c r="Y16" i="22"/>
  <c r="B13" i="22"/>
  <c r="AP13" i="22"/>
  <c r="AN37" i="22"/>
  <c r="BN37" i="22"/>
  <c r="BA37" i="22"/>
  <c r="AN5" i="22"/>
  <c r="AN9" i="22" s="1"/>
  <c r="AA5" i="22"/>
  <c r="AA9" i="22" s="1"/>
  <c r="Q13" i="22"/>
  <c r="P13" i="22"/>
  <c r="Y13" i="22"/>
  <c r="I13" i="22"/>
  <c r="H13" i="22"/>
  <c r="G13" i="22"/>
  <c r="W13" i="22"/>
  <c r="BM13" i="22"/>
  <c r="BK13" i="22"/>
  <c r="BL13" i="22"/>
  <c r="BC13" i="22"/>
  <c r="X13" i="22"/>
  <c r="AW13" i="22"/>
  <c r="BD13" i="22"/>
  <c r="AU13" i="22"/>
  <c r="AV13" i="22"/>
  <c r="AM13" i="22"/>
  <c r="AG13" i="22"/>
  <c r="AF13" i="22"/>
  <c r="AE13" i="22"/>
  <c r="BI13" i="22"/>
  <c r="AO9" i="22"/>
  <c r="S13" i="22"/>
  <c r="AS13" i="22"/>
  <c r="BH13" i="22"/>
  <c r="AA37" i="22"/>
  <c r="AK13" i="22"/>
  <c r="AZ13" i="22"/>
  <c r="BG13" i="22"/>
  <c r="AC13" i="22"/>
  <c r="AR13" i="22"/>
  <c r="AY13" i="22"/>
  <c r="O9" i="22"/>
  <c r="N5" i="22"/>
  <c r="U13" i="22"/>
  <c r="AJ13" i="22"/>
  <c r="AQ13" i="22"/>
  <c r="B14" i="22"/>
  <c r="T13" i="22"/>
  <c r="BA9" i="22"/>
  <c r="M13" i="22"/>
  <c r="AB13" i="22"/>
  <c r="AI13" i="22"/>
  <c r="R30" i="32" l="1"/>
  <c r="R33" i="32"/>
  <c r="R34" i="32" s="1"/>
  <c r="R16" i="31"/>
  <c r="R14" i="31"/>
  <c r="Q17" i="31"/>
  <c r="Q40" i="31"/>
  <c r="Q42" i="31" s="1"/>
  <c r="Q43" i="31" s="1"/>
  <c r="Q20" i="31"/>
  <c r="Q21" i="31" s="1"/>
  <c r="R16" i="32"/>
  <c r="R14" i="32"/>
  <c r="P43" i="31"/>
  <c r="Q40" i="32"/>
  <c r="Q42" i="32" s="1"/>
  <c r="Q17" i="32"/>
  <c r="Q20" i="32"/>
  <c r="Q21" i="32" s="1"/>
  <c r="S29" i="31"/>
  <c r="S27" i="31"/>
  <c r="P43" i="32"/>
  <c r="R30" i="31"/>
  <c r="R33" i="31"/>
  <c r="R34" i="31" s="1"/>
  <c r="S29" i="32"/>
  <c r="S27" i="32"/>
  <c r="H43" i="25"/>
  <c r="I43" i="25" s="1"/>
  <c r="Z26" i="25"/>
  <c r="Z36" i="25"/>
  <c r="AA23" i="25"/>
  <c r="K30" i="26"/>
  <c r="L27" i="25"/>
  <c r="M29" i="25" s="1"/>
  <c r="L33" i="25"/>
  <c r="L34" i="25" s="1"/>
  <c r="K16" i="26"/>
  <c r="K14" i="26"/>
  <c r="K16" i="25"/>
  <c r="K14" i="25"/>
  <c r="AL26" i="26"/>
  <c r="AM23" i="26"/>
  <c r="AL36" i="26"/>
  <c r="AL38" i="26" s="1"/>
  <c r="AY26" i="26"/>
  <c r="AZ23" i="26"/>
  <c r="AY36" i="26"/>
  <c r="AY38" i="26" s="1"/>
  <c r="M26" i="25"/>
  <c r="M36" i="25"/>
  <c r="N23" i="25"/>
  <c r="J40" i="26"/>
  <c r="J42" i="26" s="1"/>
  <c r="J17" i="26"/>
  <c r="J20" i="26"/>
  <c r="J21" i="26" s="1"/>
  <c r="BM26" i="25"/>
  <c r="BM36" i="25"/>
  <c r="BN23" i="25"/>
  <c r="J40" i="25"/>
  <c r="J42" i="25" s="1"/>
  <c r="J17" i="25"/>
  <c r="J20" i="25"/>
  <c r="J21" i="25" s="1"/>
  <c r="BM26" i="26"/>
  <c r="BM36" i="26"/>
  <c r="BN23" i="26"/>
  <c r="Z26" i="26"/>
  <c r="Z36" i="26"/>
  <c r="AA23" i="26"/>
  <c r="AZ26" i="25"/>
  <c r="AZ36" i="25"/>
  <c r="BA23" i="25"/>
  <c r="L26" i="26"/>
  <c r="M23" i="26"/>
  <c r="L36" i="26"/>
  <c r="L38" i="26" s="1"/>
  <c r="I43" i="26"/>
  <c r="K27" i="26"/>
  <c r="L29" i="26" s="1"/>
  <c r="K33" i="26"/>
  <c r="K34" i="26" s="1"/>
  <c r="AM26" i="25"/>
  <c r="AM36" i="25"/>
  <c r="AN23" i="25"/>
  <c r="L78" i="9"/>
  <c r="L84" i="9" s="1"/>
  <c r="M83" i="9" s="1"/>
  <c r="L73" i="9"/>
  <c r="M72" i="9" s="1"/>
  <c r="K84" i="9"/>
  <c r="L83" i="9" s="1"/>
  <c r="M90" i="9"/>
  <c r="AZ32" i="21"/>
  <c r="BO32" i="21"/>
  <c r="M32" i="21"/>
  <c r="BO19" i="21"/>
  <c r="BO31" i="22"/>
  <c r="AZ31" i="22"/>
  <c r="N9" i="22"/>
  <c r="O13" i="22"/>
  <c r="AN13" i="22"/>
  <c r="AO13" i="22"/>
  <c r="C14" i="22"/>
  <c r="S16" i="32" l="1"/>
  <c r="S14" i="32"/>
  <c r="S30" i="31"/>
  <c r="S33" i="31"/>
  <c r="S34" i="31" s="1"/>
  <c r="T29" i="32"/>
  <c r="T27" i="32"/>
  <c r="S30" i="32"/>
  <c r="S33" i="32"/>
  <c r="S34" i="32" s="1"/>
  <c r="Q43" i="32"/>
  <c r="S16" i="31"/>
  <c r="S14" i="31"/>
  <c r="R40" i="31"/>
  <c r="R42" i="31" s="1"/>
  <c r="R43" i="31" s="1"/>
  <c r="R17" i="31"/>
  <c r="R20" i="31"/>
  <c r="R21" i="31" s="1"/>
  <c r="T29" i="31"/>
  <c r="T27" i="31"/>
  <c r="R40" i="32"/>
  <c r="R42" i="32" s="1"/>
  <c r="R43" i="32" s="1"/>
  <c r="R17" i="32"/>
  <c r="R20" i="32"/>
  <c r="R21" i="32" s="1"/>
  <c r="J43" i="25"/>
  <c r="L16" i="25"/>
  <c r="L14" i="25"/>
  <c r="J43" i="26"/>
  <c r="AM26" i="26"/>
  <c r="AM36" i="26"/>
  <c r="AN23" i="26"/>
  <c r="K40" i="25"/>
  <c r="K42" i="25" s="1"/>
  <c r="K17" i="25"/>
  <c r="K20" i="25"/>
  <c r="K21" i="25" s="1"/>
  <c r="AZ26" i="26"/>
  <c r="AZ36" i="26"/>
  <c r="BA23" i="26"/>
  <c r="M26" i="26"/>
  <c r="M36" i="26"/>
  <c r="N23" i="26"/>
  <c r="L16" i="26"/>
  <c r="L14" i="26"/>
  <c r="AN26" i="25"/>
  <c r="M38" i="25"/>
  <c r="N36" i="25"/>
  <c r="K40" i="26"/>
  <c r="K42" i="26" s="1"/>
  <c r="K17" i="26"/>
  <c r="K20" i="26"/>
  <c r="K21" i="26" s="1"/>
  <c r="Z38" i="26"/>
  <c r="AA36" i="26"/>
  <c r="BA26" i="25"/>
  <c r="BN26" i="26"/>
  <c r="AM38" i="25"/>
  <c r="AN36" i="25"/>
  <c r="Z38" i="25"/>
  <c r="AA36" i="25"/>
  <c r="L33" i="26"/>
  <c r="L34" i="26" s="1"/>
  <c r="L27" i="26"/>
  <c r="M29" i="26" s="1"/>
  <c r="AA26" i="25"/>
  <c r="BM38" i="25"/>
  <c r="BN36" i="25"/>
  <c r="M27" i="25"/>
  <c r="N27" i="25" s="1"/>
  <c r="M33" i="25"/>
  <c r="M34" i="25" s="1"/>
  <c r="N34" i="25" s="1"/>
  <c r="N26" i="25"/>
  <c r="N33" i="25" s="1"/>
  <c r="L30" i="26"/>
  <c r="AZ38" i="25"/>
  <c r="BA36" i="25"/>
  <c r="AA26" i="26"/>
  <c r="BM38" i="26"/>
  <c r="BN36" i="26"/>
  <c r="BN26" i="25"/>
  <c r="M30" i="25"/>
  <c r="N30" i="25" s="1"/>
  <c r="N29" i="25"/>
  <c r="M73" i="9"/>
  <c r="M78" i="9"/>
  <c r="M84" i="9" s="1"/>
  <c r="AA13" i="22"/>
  <c r="D14" i="22"/>
  <c r="BA13" i="22"/>
  <c r="T30" i="32" l="1"/>
  <c r="T33" i="32"/>
  <c r="T34" i="32" s="1"/>
  <c r="T16" i="31"/>
  <c r="T14" i="31"/>
  <c r="S40" i="31"/>
  <c r="S42" i="31" s="1"/>
  <c r="S43" i="31" s="1"/>
  <c r="S17" i="31"/>
  <c r="S20" i="31"/>
  <c r="S21" i="31" s="1"/>
  <c r="U29" i="32"/>
  <c r="U27" i="32"/>
  <c r="U29" i="31"/>
  <c r="U27" i="31"/>
  <c r="T16" i="32"/>
  <c r="T14" i="32"/>
  <c r="T30" i="31"/>
  <c r="T33" i="31"/>
  <c r="T34" i="31" s="1"/>
  <c r="S40" i="32"/>
  <c r="S42" i="32" s="1"/>
  <c r="S43" i="32" s="1"/>
  <c r="S17" i="32"/>
  <c r="S20" i="32"/>
  <c r="S21" i="32" s="1"/>
  <c r="K43" i="25"/>
  <c r="N38" i="25"/>
  <c r="AM38" i="26"/>
  <c r="AN36" i="26"/>
  <c r="AN38" i="25"/>
  <c r="AA38" i="26"/>
  <c r="AN26" i="26"/>
  <c r="AZ38" i="26"/>
  <c r="BA36" i="26"/>
  <c r="M16" i="25"/>
  <c r="M14" i="25"/>
  <c r="N14" i="25" s="1"/>
  <c r="BN38" i="25"/>
  <c r="M33" i="26"/>
  <c r="M34" i="26" s="1"/>
  <c r="N34" i="26" s="1"/>
  <c r="M27" i="26"/>
  <c r="N27" i="26" s="1"/>
  <c r="N26" i="26"/>
  <c r="N33" i="26" s="1"/>
  <c r="BA38" i="25"/>
  <c r="M30" i="26"/>
  <c r="N30" i="26" s="1"/>
  <c r="N29" i="26"/>
  <c r="M16" i="26"/>
  <c r="M14" i="26"/>
  <c r="N14" i="26" s="1"/>
  <c r="BN38" i="26"/>
  <c r="L40" i="26"/>
  <c r="L42" i="26" s="1"/>
  <c r="L17" i="26"/>
  <c r="L20" i="26"/>
  <c r="L21" i="26" s="1"/>
  <c r="BA26" i="26"/>
  <c r="O29" i="25"/>
  <c r="O27" i="25"/>
  <c r="K43" i="26"/>
  <c r="AA38" i="25"/>
  <c r="M38" i="26"/>
  <c r="N36" i="26"/>
  <c r="L40" i="25"/>
  <c r="L42" i="25" s="1"/>
  <c r="L17" i="25"/>
  <c r="L20" i="25"/>
  <c r="L21" i="25" s="1"/>
  <c r="E14" i="22"/>
  <c r="BC25" i="21"/>
  <c r="BD25" i="21"/>
  <c r="BE25" i="21"/>
  <c r="BF25" i="21"/>
  <c r="BG25" i="21"/>
  <c r="BH25" i="21"/>
  <c r="BI25" i="21"/>
  <c r="BJ25" i="21"/>
  <c r="BK25" i="21"/>
  <c r="BL25" i="21"/>
  <c r="BM25" i="21"/>
  <c r="BB25" i="21"/>
  <c r="AP25" i="21"/>
  <c r="AQ25" i="21"/>
  <c r="AR25" i="21"/>
  <c r="AS25" i="21"/>
  <c r="AT25" i="21"/>
  <c r="AU25" i="21"/>
  <c r="AV25" i="21"/>
  <c r="AW25" i="21"/>
  <c r="AX25" i="21"/>
  <c r="AY25" i="21"/>
  <c r="AZ25" i="21"/>
  <c r="AO25" i="21"/>
  <c r="P25" i="21"/>
  <c r="Q25" i="21"/>
  <c r="O25" i="21"/>
  <c r="C25" i="21"/>
  <c r="D25" i="21"/>
  <c r="E25" i="21"/>
  <c r="F25" i="21"/>
  <c r="G25" i="21"/>
  <c r="H25" i="21"/>
  <c r="I25" i="21"/>
  <c r="J25" i="21"/>
  <c r="L25" i="21"/>
  <c r="B25" i="21"/>
  <c r="BC12" i="21"/>
  <c r="BD12" i="21"/>
  <c r="BE12" i="21"/>
  <c r="BF12" i="21"/>
  <c r="BG12" i="21"/>
  <c r="BH12" i="21"/>
  <c r="BI12" i="21"/>
  <c r="BJ12" i="21"/>
  <c r="BK12" i="21"/>
  <c r="BL12" i="21"/>
  <c r="BM12" i="21"/>
  <c r="BB12" i="21"/>
  <c r="AP12" i="21"/>
  <c r="AQ12" i="21"/>
  <c r="AR12" i="21"/>
  <c r="AS12" i="21"/>
  <c r="AT12" i="21"/>
  <c r="AU12" i="21"/>
  <c r="AV12" i="21"/>
  <c r="AW12" i="21"/>
  <c r="AX12" i="21"/>
  <c r="AY12" i="21"/>
  <c r="AZ12" i="21"/>
  <c r="AO12" i="21"/>
  <c r="P12" i="21"/>
  <c r="Q12" i="21"/>
  <c r="O12" i="21"/>
  <c r="BE3" i="15"/>
  <c r="BI4" i="21"/>
  <c r="BJ4" i="21"/>
  <c r="BK4" i="21"/>
  <c r="BL4" i="21"/>
  <c r="BM4" i="21"/>
  <c r="BB4" i="21"/>
  <c r="AV4" i="21"/>
  <c r="AW4" i="21"/>
  <c r="AX4" i="21"/>
  <c r="AY4" i="21"/>
  <c r="AZ4" i="21"/>
  <c r="AO4" i="21"/>
  <c r="AE4" i="21"/>
  <c r="AF4" i="21"/>
  <c r="AG4" i="21"/>
  <c r="AH4" i="21"/>
  <c r="AI4" i="21"/>
  <c r="AJ4" i="21"/>
  <c r="AK4" i="21"/>
  <c r="AL4" i="21"/>
  <c r="AM4" i="21"/>
  <c r="AB4" i="21"/>
  <c r="BD3" i="15"/>
  <c r="G41" i="6"/>
  <c r="F41" i="6"/>
  <c r="E41" i="6"/>
  <c r="AH3" i="15"/>
  <c r="AG3" i="15"/>
  <c r="AF3" i="15"/>
  <c r="AD3" i="15"/>
  <c r="BC8" i="21"/>
  <c r="BD8" i="21"/>
  <c r="BE8" i="21"/>
  <c r="BF8" i="21"/>
  <c r="BG8" i="21"/>
  <c r="BH8" i="21"/>
  <c r="BI8" i="21"/>
  <c r="BJ8" i="21"/>
  <c r="BB8" i="21"/>
  <c r="AC8" i="21"/>
  <c r="AD8" i="21"/>
  <c r="AE8" i="21"/>
  <c r="AF8" i="21"/>
  <c r="AG8" i="21"/>
  <c r="AH8" i="21"/>
  <c r="AI8" i="21"/>
  <c r="AJ8" i="21"/>
  <c r="AB8" i="21"/>
  <c r="P4" i="21"/>
  <c r="Q4" i="21"/>
  <c r="R4" i="21"/>
  <c r="S4" i="21"/>
  <c r="T4" i="21"/>
  <c r="U4" i="21"/>
  <c r="V4" i="21"/>
  <c r="W4" i="21"/>
  <c r="X4" i="21"/>
  <c r="Y4" i="21"/>
  <c r="Z4" i="21"/>
  <c r="O4" i="21"/>
  <c r="BC9" i="21"/>
  <c r="BD9" i="21"/>
  <c r="BE9" i="21"/>
  <c r="BF9" i="21"/>
  <c r="BG9" i="21"/>
  <c r="BH9" i="21"/>
  <c r="BI9" i="21"/>
  <c r="BJ9" i="21"/>
  <c r="BB9" i="21"/>
  <c r="BA9" i="21"/>
  <c r="AN9" i="21"/>
  <c r="AA9" i="21"/>
  <c r="BM7" i="21"/>
  <c r="BL7" i="21"/>
  <c r="BK7" i="21"/>
  <c r="BJ7" i="21"/>
  <c r="BI7" i="21"/>
  <c r="BH7" i="21"/>
  <c r="BG7" i="21"/>
  <c r="BF7" i="21"/>
  <c r="BE7" i="21"/>
  <c r="BD7" i="21"/>
  <c r="BC7" i="21"/>
  <c r="BB7" i="21"/>
  <c r="AZ7" i="21"/>
  <c r="AY7" i="21"/>
  <c r="AX7" i="21"/>
  <c r="AW7" i="21"/>
  <c r="AV7" i="21"/>
  <c r="AU7" i="21"/>
  <c r="AT7" i="21"/>
  <c r="AS7" i="21"/>
  <c r="AR7" i="21"/>
  <c r="AQ7" i="21"/>
  <c r="AP7" i="21"/>
  <c r="AO7" i="21"/>
  <c r="AM7" i="21"/>
  <c r="AL7" i="21"/>
  <c r="AK7" i="21"/>
  <c r="AJ7" i="21"/>
  <c r="AI7" i="21"/>
  <c r="AH7" i="21"/>
  <c r="AG7" i="21"/>
  <c r="AF7" i="21"/>
  <c r="AE7" i="21"/>
  <c r="AD7" i="21"/>
  <c r="AC7" i="21"/>
  <c r="AB7" i="21"/>
  <c r="Z7" i="21"/>
  <c r="Y7" i="21"/>
  <c r="X7" i="21"/>
  <c r="W7" i="21"/>
  <c r="V7" i="21"/>
  <c r="U7" i="21"/>
  <c r="T7" i="21"/>
  <c r="S7" i="21"/>
  <c r="R7" i="21"/>
  <c r="Q7" i="21"/>
  <c r="P7" i="21"/>
  <c r="O7" i="21"/>
  <c r="C7" i="21"/>
  <c r="D7" i="21"/>
  <c r="E7" i="21"/>
  <c r="F7" i="21"/>
  <c r="G7" i="21"/>
  <c r="H7" i="21"/>
  <c r="I7" i="21"/>
  <c r="J7" i="21"/>
  <c r="K7" i="21"/>
  <c r="L7" i="21"/>
  <c r="M7" i="21"/>
  <c r="B7" i="21"/>
  <c r="C12" i="21"/>
  <c r="D12" i="21"/>
  <c r="E12" i="21"/>
  <c r="F12" i="21"/>
  <c r="G12" i="21"/>
  <c r="H12" i="21"/>
  <c r="I12" i="21"/>
  <c r="J12" i="21"/>
  <c r="L12" i="21"/>
  <c r="B12" i="21"/>
  <c r="C8" i="21"/>
  <c r="D8" i="21"/>
  <c r="E8" i="21"/>
  <c r="F8" i="21"/>
  <c r="G8" i="21"/>
  <c r="H8" i="21"/>
  <c r="I8" i="21"/>
  <c r="J8" i="21"/>
  <c r="K8" i="21"/>
  <c r="L8" i="21"/>
  <c r="M8" i="21"/>
  <c r="B8" i="21"/>
  <c r="C5" i="21"/>
  <c r="D5" i="21"/>
  <c r="E5" i="21"/>
  <c r="B5" i="21"/>
  <c r="N9" i="21"/>
  <c r="C4" i="21"/>
  <c r="D4" i="21"/>
  <c r="E4" i="21"/>
  <c r="F4" i="21"/>
  <c r="G4" i="21"/>
  <c r="H4" i="21"/>
  <c r="I4" i="21"/>
  <c r="J4" i="21"/>
  <c r="K4" i="21"/>
  <c r="L4" i="21"/>
  <c r="M4" i="21"/>
  <c r="B4" i="21"/>
  <c r="T40" i="32" l="1"/>
  <c r="T42" i="32" s="1"/>
  <c r="T43" i="32" s="1"/>
  <c r="T17" i="32"/>
  <c r="T20" i="32"/>
  <c r="T21" i="32" s="1"/>
  <c r="V29" i="31"/>
  <c r="V27" i="31"/>
  <c r="U16" i="31"/>
  <c r="U14" i="31"/>
  <c r="U16" i="32"/>
  <c r="U14" i="32"/>
  <c r="U30" i="31"/>
  <c r="U33" i="31"/>
  <c r="U34" i="31" s="1"/>
  <c r="T40" i="31"/>
  <c r="T42" i="31" s="1"/>
  <c r="T43" i="31" s="1"/>
  <c r="T17" i="31"/>
  <c r="T20" i="31"/>
  <c r="T21" i="31" s="1"/>
  <c r="V29" i="32"/>
  <c r="V27" i="32"/>
  <c r="U30" i="32"/>
  <c r="U33" i="32"/>
  <c r="U34" i="32" s="1"/>
  <c r="L43" i="25"/>
  <c r="O30" i="25"/>
  <c r="O33" i="25"/>
  <c r="O34" i="25" s="1"/>
  <c r="M17" i="25"/>
  <c r="N17" i="25" s="1"/>
  <c r="M40" i="25"/>
  <c r="M20" i="25"/>
  <c r="M21" i="25" s="1"/>
  <c r="N21" i="25" s="1"/>
  <c r="N16" i="25"/>
  <c r="N20" i="25" s="1"/>
  <c r="L43" i="26"/>
  <c r="O16" i="26"/>
  <c r="O14" i="26"/>
  <c r="M40" i="26"/>
  <c r="N40" i="26" s="1"/>
  <c r="M17" i="26"/>
  <c r="N17" i="26" s="1"/>
  <c r="M20" i="26"/>
  <c r="M21" i="26" s="1"/>
  <c r="N21" i="26" s="1"/>
  <c r="N16" i="26"/>
  <c r="N20" i="26" s="1"/>
  <c r="O29" i="26"/>
  <c r="O27" i="26"/>
  <c r="P29" i="25"/>
  <c r="P27" i="25"/>
  <c r="AN38" i="26"/>
  <c r="O16" i="25"/>
  <c r="O14" i="25"/>
  <c r="M42" i="26"/>
  <c r="N38" i="26"/>
  <c r="BA38" i="26"/>
  <c r="BK5" i="21"/>
  <c r="V5" i="21"/>
  <c r="AK5" i="21"/>
  <c r="H5" i="21"/>
  <c r="E38" i="21"/>
  <c r="AB5" i="21"/>
  <c r="AF5" i="21"/>
  <c r="AF10" i="21" s="1"/>
  <c r="AW5" i="21"/>
  <c r="BB5" i="21"/>
  <c r="AU38" i="21"/>
  <c r="BL38" i="21"/>
  <c r="BD38" i="21"/>
  <c r="AG5" i="21"/>
  <c r="G5" i="21"/>
  <c r="L38" i="21"/>
  <c r="D38" i="21"/>
  <c r="U5" i="21"/>
  <c r="AM5" i="21"/>
  <c r="AE5" i="21"/>
  <c r="AV5" i="21"/>
  <c r="BM5" i="21"/>
  <c r="AT38" i="21"/>
  <c r="BK38" i="21"/>
  <c r="BC38" i="21"/>
  <c r="BA25" i="21"/>
  <c r="AX5" i="21"/>
  <c r="AV38" i="21"/>
  <c r="F5" i="21"/>
  <c r="C38" i="21"/>
  <c r="T5" i="21"/>
  <c r="AL5" i="21"/>
  <c r="O38" i="21"/>
  <c r="AO38" i="21"/>
  <c r="AS38" i="21"/>
  <c r="BJ38" i="21"/>
  <c r="BM38" i="21"/>
  <c r="J38" i="21"/>
  <c r="S5" i="21"/>
  <c r="AZ38" i="21"/>
  <c r="AR38" i="21"/>
  <c r="BI38" i="21"/>
  <c r="F38" i="21"/>
  <c r="I38" i="21"/>
  <c r="Z5" i="21"/>
  <c r="R5" i="21"/>
  <c r="AJ5" i="21"/>
  <c r="BJ5" i="21"/>
  <c r="BJ10" i="21" s="1"/>
  <c r="Q38" i="21"/>
  <c r="AY38" i="21"/>
  <c r="AQ38" i="21"/>
  <c r="BH38" i="21"/>
  <c r="I5" i="21"/>
  <c r="BE38" i="21"/>
  <c r="H38" i="21"/>
  <c r="Y5" i="21"/>
  <c r="Q5" i="21"/>
  <c r="AI5" i="21"/>
  <c r="AZ5" i="21"/>
  <c r="BI5" i="21"/>
  <c r="P38" i="21"/>
  <c r="AX38" i="21"/>
  <c r="AP38" i="21"/>
  <c r="BG38" i="21"/>
  <c r="B38" i="21"/>
  <c r="W5" i="21"/>
  <c r="M5" i="21"/>
  <c r="L5" i="21"/>
  <c r="K5" i="21"/>
  <c r="J5" i="21"/>
  <c r="G38" i="21"/>
  <c r="X5" i="21"/>
  <c r="P5" i="21"/>
  <c r="AH5" i="21"/>
  <c r="AY5" i="21"/>
  <c r="AW38" i="21"/>
  <c r="BB38" i="21"/>
  <c r="BF38" i="21"/>
  <c r="BN25" i="21"/>
  <c r="F14" i="22"/>
  <c r="BN7" i="21"/>
  <c r="D10" i="21"/>
  <c r="AA7" i="21"/>
  <c r="N4" i="21"/>
  <c r="BN12" i="21"/>
  <c r="BA7" i="21"/>
  <c r="AI10" i="21"/>
  <c r="B10" i="21"/>
  <c r="AN7" i="21"/>
  <c r="BA12" i="21"/>
  <c r="BL5" i="21"/>
  <c r="BI10" i="21"/>
  <c r="AO5" i="21"/>
  <c r="AH10" i="21"/>
  <c r="AG10" i="21"/>
  <c r="AE10" i="21"/>
  <c r="AA4" i="21"/>
  <c r="L10" i="21"/>
  <c r="C10" i="21"/>
  <c r="N7" i="21"/>
  <c r="F10" i="21"/>
  <c r="E10" i="21"/>
  <c r="N8" i="21"/>
  <c r="U40" i="31" l="1"/>
  <c r="U42" i="31" s="1"/>
  <c r="U43" i="31" s="1"/>
  <c r="U17" i="31"/>
  <c r="U20" i="31"/>
  <c r="U21" i="31" s="1"/>
  <c r="W29" i="31"/>
  <c r="W27" i="31"/>
  <c r="V30" i="32"/>
  <c r="V33" i="32"/>
  <c r="V34" i="32" s="1"/>
  <c r="V30" i="31"/>
  <c r="V33" i="31"/>
  <c r="V34" i="31" s="1"/>
  <c r="V16" i="31"/>
  <c r="V14" i="31"/>
  <c r="U40" i="32"/>
  <c r="U42" i="32" s="1"/>
  <c r="U43" i="32" s="1"/>
  <c r="U17" i="32"/>
  <c r="U20" i="32"/>
  <c r="U21" i="32" s="1"/>
  <c r="W29" i="32"/>
  <c r="W27" i="32"/>
  <c r="V16" i="32"/>
  <c r="V14" i="32"/>
  <c r="P16" i="26"/>
  <c r="P14" i="26"/>
  <c r="P16" i="25"/>
  <c r="P14" i="25"/>
  <c r="P30" i="25"/>
  <c r="P33" i="25"/>
  <c r="P34" i="25" s="1"/>
  <c r="O40" i="26"/>
  <c r="O42" i="26" s="1"/>
  <c r="O43" i="26" s="1"/>
  <c r="O17" i="26"/>
  <c r="O20" i="26"/>
  <c r="O21" i="26" s="1"/>
  <c r="Q29" i="25"/>
  <c r="Q27" i="25"/>
  <c r="O40" i="25"/>
  <c r="O42" i="25" s="1"/>
  <c r="O17" i="25"/>
  <c r="O20" i="25"/>
  <c r="O21" i="25" s="1"/>
  <c r="P29" i="26"/>
  <c r="P27" i="26"/>
  <c r="M43" i="26"/>
  <c r="N43" i="26" s="1"/>
  <c r="N42" i="26"/>
  <c r="O30" i="26"/>
  <c r="O33" i="26"/>
  <c r="O34" i="26" s="1"/>
  <c r="N40" i="25"/>
  <c r="M42" i="25"/>
  <c r="G10" i="21"/>
  <c r="G14" i="21" s="1"/>
  <c r="K10" i="21"/>
  <c r="J10" i="21"/>
  <c r="AJ10" i="21"/>
  <c r="BB10" i="21"/>
  <c r="BB14" i="21" s="1"/>
  <c r="M10" i="21"/>
  <c r="I10" i="21"/>
  <c r="I14" i="21" s="1"/>
  <c r="H10" i="21"/>
  <c r="AB10" i="21"/>
  <c r="H14" i="21"/>
  <c r="BI14" i="21"/>
  <c r="B14" i="21"/>
  <c r="B15" i="21" s="1"/>
  <c r="C17" i="21" s="1"/>
  <c r="C14" i="21"/>
  <c r="BN38" i="21"/>
  <c r="E14" i="21"/>
  <c r="L14" i="21"/>
  <c r="BA38" i="21"/>
  <c r="D14" i="21"/>
  <c r="J14" i="21"/>
  <c r="F14" i="21"/>
  <c r="N10" i="21"/>
  <c r="BJ14" i="21"/>
  <c r="G14" i="22"/>
  <c r="W30" i="31" l="1"/>
  <c r="W33" i="31"/>
  <c r="W34" i="31" s="1"/>
  <c r="W16" i="31"/>
  <c r="W14" i="31"/>
  <c r="X29" i="32"/>
  <c r="X27" i="32"/>
  <c r="W16" i="32"/>
  <c r="W14" i="32"/>
  <c r="V40" i="31"/>
  <c r="V42" i="31" s="1"/>
  <c r="V43" i="31" s="1"/>
  <c r="V17" i="31"/>
  <c r="V20" i="31"/>
  <c r="V21" i="31" s="1"/>
  <c r="W30" i="32"/>
  <c r="W33" i="32"/>
  <c r="W34" i="32" s="1"/>
  <c r="X29" i="31"/>
  <c r="X27" i="31"/>
  <c r="V40" i="32"/>
  <c r="V42" i="32" s="1"/>
  <c r="V43" i="32" s="1"/>
  <c r="V17" i="32"/>
  <c r="V20" i="32"/>
  <c r="V21" i="32" s="1"/>
  <c r="R29" i="25"/>
  <c r="R27" i="25"/>
  <c r="Q16" i="25"/>
  <c r="Q14" i="25"/>
  <c r="P40" i="25"/>
  <c r="P42" i="25" s="1"/>
  <c r="P17" i="25"/>
  <c r="P20" i="25"/>
  <c r="P21" i="25" s="1"/>
  <c r="Q30" i="25"/>
  <c r="Q33" i="25"/>
  <c r="Q34" i="25" s="1"/>
  <c r="M43" i="25"/>
  <c r="N43" i="25" s="1"/>
  <c r="O43" i="25" s="1"/>
  <c r="N42" i="25"/>
  <c r="Q29" i="26"/>
  <c r="Q27" i="26"/>
  <c r="Q16" i="26"/>
  <c r="Q14" i="26"/>
  <c r="P30" i="26"/>
  <c r="P33" i="26"/>
  <c r="P34" i="26" s="1"/>
  <c r="P40" i="26"/>
  <c r="P42" i="26" s="1"/>
  <c r="P43" i="26" s="1"/>
  <c r="P17" i="26"/>
  <c r="P20" i="26"/>
  <c r="P21" i="26" s="1"/>
  <c r="C15" i="21"/>
  <c r="D17" i="21" s="1"/>
  <c r="H14" i="22"/>
  <c r="N126" i="20"/>
  <c r="M126" i="20"/>
  <c r="L126" i="20"/>
  <c r="K126" i="20"/>
  <c r="J126" i="20"/>
  <c r="I126" i="20"/>
  <c r="H126" i="20"/>
  <c r="G126" i="20"/>
  <c r="F126" i="20"/>
  <c r="E126" i="20"/>
  <c r="N122" i="20"/>
  <c r="M122" i="20"/>
  <c r="L122" i="20"/>
  <c r="K122" i="20"/>
  <c r="J122" i="20"/>
  <c r="I122" i="20"/>
  <c r="H122" i="20"/>
  <c r="I123" i="20" s="1"/>
  <c r="G122" i="20"/>
  <c r="H123" i="20" s="1"/>
  <c r="F122" i="20"/>
  <c r="E122" i="20"/>
  <c r="E123" i="20" s="1"/>
  <c r="E127" i="20" s="1"/>
  <c r="N101" i="20"/>
  <c r="M101" i="20"/>
  <c r="L101" i="20"/>
  <c r="K101" i="20"/>
  <c r="J101" i="20"/>
  <c r="I101" i="20"/>
  <c r="H101" i="20"/>
  <c r="F101" i="20"/>
  <c r="E101" i="20"/>
  <c r="E106" i="20" s="1"/>
  <c r="M71" i="20"/>
  <c r="L71" i="20"/>
  <c r="G71" i="20"/>
  <c r="E71" i="20"/>
  <c r="E76" i="20" s="1"/>
  <c r="K71" i="20"/>
  <c r="X16" i="32" l="1"/>
  <c r="X14" i="32"/>
  <c r="Y29" i="32"/>
  <c r="Y27" i="32"/>
  <c r="X30" i="32"/>
  <c r="X33" i="32"/>
  <c r="X34" i="32" s="1"/>
  <c r="X30" i="31"/>
  <c r="X33" i="31"/>
  <c r="X34" i="31" s="1"/>
  <c r="X16" i="31"/>
  <c r="X14" i="31"/>
  <c r="W40" i="32"/>
  <c r="W42" i="32" s="1"/>
  <c r="W43" i="32" s="1"/>
  <c r="W17" i="32"/>
  <c r="W20" i="32"/>
  <c r="W21" i="32" s="1"/>
  <c r="W40" i="31"/>
  <c r="W42" i="31" s="1"/>
  <c r="W43" i="31" s="1"/>
  <c r="W17" i="31"/>
  <c r="W20" i="31"/>
  <c r="W21" i="31" s="1"/>
  <c r="Y29" i="31"/>
  <c r="Y27" i="31"/>
  <c r="D15" i="21"/>
  <c r="E17" i="21" s="1"/>
  <c r="P43" i="25"/>
  <c r="Q17" i="26"/>
  <c r="Q40" i="26"/>
  <c r="Q42" i="26" s="1"/>
  <c r="Q43" i="26" s="1"/>
  <c r="Q20" i="26"/>
  <c r="Q21" i="26" s="1"/>
  <c r="S29" i="25"/>
  <c r="S27" i="25"/>
  <c r="R30" i="25"/>
  <c r="R33" i="25"/>
  <c r="R34" i="25" s="1"/>
  <c r="R16" i="26"/>
  <c r="R14" i="26"/>
  <c r="Q30" i="26"/>
  <c r="Q33" i="26"/>
  <c r="Q34" i="26" s="1"/>
  <c r="R29" i="26"/>
  <c r="R27" i="26"/>
  <c r="R16" i="25"/>
  <c r="R14" i="25"/>
  <c r="Q40" i="25"/>
  <c r="Q42" i="25" s="1"/>
  <c r="Q17" i="25"/>
  <c r="Q20" i="25"/>
  <c r="Q21" i="25" s="1"/>
  <c r="J123" i="20"/>
  <c r="K123" i="20"/>
  <c r="I14" i="22"/>
  <c r="E15" i="21"/>
  <c r="F17" i="21" s="1"/>
  <c r="G123" i="20"/>
  <c r="M123" i="20"/>
  <c r="M127" i="20" s="1"/>
  <c r="M128" i="20" s="1"/>
  <c r="E128" i="20"/>
  <c r="N123" i="20"/>
  <c r="N127" i="20" s="1"/>
  <c r="N128" i="20" s="1"/>
  <c r="L123" i="20"/>
  <c r="L127" i="20" s="1"/>
  <c r="L128" i="20" s="1"/>
  <c r="F100" i="20"/>
  <c r="F70" i="20"/>
  <c r="K127" i="20"/>
  <c r="K128" i="20" s="1"/>
  <c r="F71" i="20"/>
  <c r="N71" i="20"/>
  <c r="E110" i="20"/>
  <c r="E112" i="20" s="1"/>
  <c r="F109" i="20" s="1"/>
  <c r="G127" i="20"/>
  <c r="G128" i="20" s="1"/>
  <c r="H127" i="20"/>
  <c r="H128" i="20" s="1"/>
  <c r="H71" i="20"/>
  <c r="I127" i="20"/>
  <c r="I128" i="20" s="1"/>
  <c r="I71" i="20"/>
  <c r="F123" i="20"/>
  <c r="F127" i="20" s="1"/>
  <c r="F128" i="20" s="1"/>
  <c r="J127" i="20"/>
  <c r="J128" i="20" s="1"/>
  <c r="J71" i="20"/>
  <c r="E80" i="20"/>
  <c r="E136" i="20" s="1"/>
  <c r="Z29" i="32" l="1"/>
  <c r="Z27" i="32"/>
  <c r="AA27" i="32" s="1"/>
  <c r="Y30" i="31"/>
  <c r="Y33" i="31"/>
  <c r="Y34" i="31" s="1"/>
  <c r="Y16" i="32"/>
  <c r="Y14" i="32"/>
  <c r="Z29" i="31"/>
  <c r="Z27" i="31"/>
  <c r="AA27" i="31" s="1"/>
  <c r="Y30" i="32"/>
  <c r="Y33" i="32"/>
  <c r="Y34" i="32" s="1"/>
  <c r="Y16" i="31"/>
  <c r="Y14" i="31"/>
  <c r="X40" i="31"/>
  <c r="X42" i="31" s="1"/>
  <c r="X43" i="31" s="1"/>
  <c r="X17" i="31"/>
  <c r="X20" i="31"/>
  <c r="X21" i="31" s="1"/>
  <c r="X40" i="32"/>
  <c r="X42" i="32" s="1"/>
  <c r="X43" i="32" s="1"/>
  <c r="X17" i="32"/>
  <c r="X20" i="32"/>
  <c r="X21" i="32" s="1"/>
  <c r="Q43" i="25"/>
  <c r="R40" i="26"/>
  <c r="R42" i="26" s="1"/>
  <c r="R43" i="26" s="1"/>
  <c r="R17" i="26"/>
  <c r="R20" i="26"/>
  <c r="R21" i="26" s="1"/>
  <c r="S29" i="26"/>
  <c r="S27" i="26"/>
  <c r="R30" i="26"/>
  <c r="R33" i="26"/>
  <c r="R34" i="26" s="1"/>
  <c r="S16" i="25"/>
  <c r="S14" i="25"/>
  <c r="S30" i="25"/>
  <c r="S33" i="25"/>
  <c r="S34" i="25" s="1"/>
  <c r="T29" i="25"/>
  <c r="T27" i="25"/>
  <c r="R40" i="25"/>
  <c r="R42" i="25" s="1"/>
  <c r="R17" i="25"/>
  <c r="R20" i="25"/>
  <c r="R21" i="25" s="1"/>
  <c r="S16" i="26"/>
  <c r="S14" i="26"/>
  <c r="AO23" i="22"/>
  <c r="AO24" i="21"/>
  <c r="B23" i="22"/>
  <c r="B24" i="21"/>
  <c r="AB23" i="22"/>
  <c r="AB24" i="21"/>
  <c r="O23" i="22"/>
  <c r="O24" i="21"/>
  <c r="BB23" i="22"/>
  <c r="BB24" i="21"/>
  <c r="J14" i="22"/>
  <c r="F15" i="21"/>
  <c r="G17" i="21" s="1"/>
  <c r="E114" i="20"/>
  <c r="F106" i="20"/>
  <c r="F110" i="20"/>
  <c r="F112" i="20" s="1"/>
  <c r="G109" i="20" s="1"/>
  <c r="E82" i="20"/>
  <c r="F80" i="20"/>
  <c r="F136" i="20" s="1"/>
  <c r="F76" i="20"/>
  <c r="Y40" i="32" l="1"/>
  <c r="Y42" i="32" s="1"/>
  <c r="Y43" i="32" s="1"/>
  <c r="Y17" i="32"/>
  <c r="Y20" i="32"/>
  <c r="Y21" i="32" s="1"/>
  <c r="AB29" i="31"/>
  <c r="AB27" i="31"/>
  <c r="Z30" i="31"/>
  <c r="AA30" i="31" s="1"/>
  <c r="Z33" i="31"/>
  <c r="Z34" i="31" s="1"/>
  <c r="AA34" i="31" s="1"/>
  <c r="AA29" i="31"/>
  <c r="AA33" i="31" s="1"/>
  <c r="Z16" i="32"/>
  <c r="Z14" i="32"/>
  <c r="AA14" i="32" s="1"/>
  <c r="Z16" i="31"/>
  <c r="Z14" i="31"/>
  <c r="AA14" i="31" s="1"/>
  <c r="Y40" i="31"/>
  <c r="Y42" i="31" s="1"/>
  <c r="Y43" i="31" s="1"/>
  <c r="Y17" i="31"/>
  <c r="Y20" i="31"/>
  <c r="Y21" i="31" s="1"/>
  <c r="AB29" i="32"/>
  <c r="AB27" i="32"/>
  <c r="Z30" i="32"/>
  <c r="AA30" i="32" s="1"/>
  <c r="Z33" i="32"/>
  <c r="Z34" i="32" s="1"/>
  <c r="AA34" i="32" s="1"/>
  <c r="AA29" i="32"/>
  <c r="AA33" i="32" s="1"/>
  <c r="R43" i="25"/>
  <c r="S30" i="26"/>
  <c r="S33" i="26"/>
  <c r="S34" i="26" s="1"/>
  <c r="T16" i="25"/>
  <c r="T14" i="25"/>
  <c r="S40" i="25"/>
  <c r="S42" i="25" s="1"/>
  <c r="S17" i="25"/>
  <c r="S20" i="25"/>
  <c r="S21" i="25" s="1"/>
  <c r="U29" i="25"/>
  <c r="U27" i="25"/>
  <c r="T29" i="26"/>
  <c r="T27" i="26"/>
  <c r="T30" i="25"/>
  <c r="T33" i="25"/>
  <c r="T34" i="25" s="1"/>
  <c r="T16" i="26"/>
  <c r="T14" i="26"/>
  <c r="S40" i="26"/>
  <c r="S42" i="26" s="1"/>
  <c r="S43" i="26" s="1"/>
  <c r="S17" i="26"/>
  <c r="S20" i="26"/>
  <c r="S21" i="26" s="1"/>
  <c r="O26" i="22"/>
  <c r="P23" i="22"/>
  <c r="O36" i="22"/>
  <c r="AB37" i="21"/>
  <c r="AB26" i="22"/>
  <c r="AC23" i="22"/>
  <c r="AB36" i="22"/>
  <c r="B37" i="21"/>
  <c r="B39" i="21" s="1"/>
  <c r="B26" i="22"/>
  <c r="B27" i="22" s="1"/>
  <c r="C29" i="22" s="1"/>
  <c r="C23" i="22"/>
  <c r="B36" i="22"/>
  <c r="BB37" i="21"/>
  <c r="BB39" i="21" s="1"/>
  <c r="BC23" i="22"/>
  <c r="BB26" i="22"/>
  <c r="BB36" i="22"/>
  <c r="AP23" i="22"/>
  <c r="AO26" i="22"/>
  <c r="AO36" i="22"/>
  <c r="BC24" i="21"/>
  <c r="BB27" i="21"/>
  <c r="P24" i="21"/>
  <c r="O27" i="21"/>
  <c r="B27" i="21"/>
  <c r="C24" i="21"/>
  <c r="AP24" i="21"/>
  <c r="AO27" i="21"/>
  <c r="AC24" i="21"/>
  <c r="G15" i="21"/>
  <c r="H17" i="21" s="1"/>
  <c r="F114" i="20"/>
  <c r="G100" i="20"/>
  <c r="G70" i="20"/>
  <c r="F79" i="20"/>
  <c r="F82" i="20" s="1"/>
  <c r="G79" i="20" s="1"/>
  <c r="E84" i="20"/>
  <c r="E132" i="20" s="1"/>
  <c r="AB30" i="32" l="1"/>
  <c r="AB33" i="32"/>
  <c r="AB34" i="32" s="1"/>
  <c r="AC29" i="31"/>
  <c r="AC27" i="31"/>
  <c r="AB16" i="31"/>
  <c r="AB14" i="31"/>
  <c r="AB30" i="31"/>
  <c r="AB33" i="31"/>
  <c r="AB34" i="31" s="1"/>
  <c r="Z40" i="31"/>
  <c r="Z42" i="31" s="1"/>
  <c r="Z43" i="31" s="1"/>
  <c r="AA43" i="31" s="1"/>
  <c r="Z17" i="31"/>
  <c r="AA17" i="31" s="1"/>
  <c r="Z20" i="31"/>
  <c r="Z21" i="31" s="1"/>
  <c r="AA21" i="31" s="1"/>
  <c r="AA16" i="31"/>
  <c r="AB16" i="32"/>
  <c r="AB14" i="32"/>
  <c r="AC29" i="32"/>
  <c r="AC27" i="32"/>
  <c r="Z40" i="32"/>
  <c r="Z42" i="32" s="1"/>
  <c r="Z43" i="32" s="1"/>
  <c r="AA43" i="32" s="1"/>
  <c r="Z17" i="32"/>
  <c r="AA17" i="32" s="1"/>
  <c r="Z20" i="32"/>
  <c r="Z21" i="32" s="1"/>
  <c r="AA21" i="32" s="1"/>
  <c r="AA16" i="32"/>
  <c r="S43" i="25"/>
  <c r="U16" i="25"/>
  <c r="U14" i="25"/>
  <c r="U29" i="26"/>
  <c r="U27" i="26"/>
  <c r="T40" i="25"/>
  <c r="T42" i="25" s="1"/>
  <c r="T17" i="25"/>
  <c r="T20" i="25"/>
  <c r="T21" i="25" s="1"/>
  <c r="U16" i="26"/>
  <c r="U14" i="26"/>
  <c r="T40" i="26"/>
  <c r="T42" i="26" s="1"/>
  <c r="T43" i="26" s="1"/>
  <c r="T17" i="26"/>
  <c r="T20" i="26"/>
  <c r="T21" i="26" s="1"/>
  <c r="T30" i="26"/>
  <c r="T33" i="26"/>
  <c r="T34" i="26" s="1"/>
  <c r="V29" i="25"/>
  <c r="V27" i="25"/>
  <c r="U30" i="25"/>
  <c r="U33" i="25"/>
  <c r="U34" i="25" s="1"/>
  <c r="AP26" i="22"/>
  <c r="AQ23" i="22"/>
  <c r="AP36" i="22"/>
  <c r="AP38" i="22" s="1"/>
  <c r="B38" i="22"/>
  <c r="BB38" i="22"/>
  <c r="D23" i="22"/>
  <c r="C36" i="22"/>
  <c r="C38" i="22" s="1"/>
  <c r="C26" i="22"/>
  <c r="C27" i="22" s="1"/>
  <c r="D29" i="22" s="1"/>
  <c r="O38" i="22"/>
  <c r="BC36" i="22"/>
  <c r="BC38" i="22" s="1"/>
  <c r="BC26" i="22"/>
  <c r="BD23" i="22"/>
  <c r="Q23" i="22"/>
  <c r="P26" i="22"/>
  <c r="P36" i="22"/>
  <c r="P38" i="22" s="1"/>
  <c r="AB38" i="22"/>
  <c r="AO38" i="22"/>
  <c r="AC36" i="22"/>
  <c r="AC38" i="22" s="1"/>
  <c r="AC26" i="22"/>
  <c r="AD23" i="22"/>
  <c r="B28" i="21"/>
  <c r="C30" i="21" s="1"/>
  <c r="C37" i="21"/>
  <c r="D24" i="21"/>
  <c r="C27" i="21"/>
  <c r="AD24" i="21"/>
  <c r="P27" i="21"/>
  <c r="Q24" i="21"/>
  <c r="AQ24" i="21"/>
  <c r="AP27" i="21"/>
  <c r="BD24" i="21"/>
  <c r="BC27" i="21"/>
  <c r="H15" i="21"/>
  <c r="I17" i="21" s="1"/>
  <c r="E133" i="20"/>
  <c r="E137" i="20" s="1"/>
  <c r="E138" i="20" s="1"/>
  <c r="E140" i="20" s="1"/>
  <c r="G76" i="20"/>
  <c r="G80" i="20"/>
  <c r="F84" i="20"/>
  <c r="F132" i="20" s="1"/>
  <c r="G106" i="20"/>
  <c r="G110" i="20"/>
  <c r="G112" i="20" s="1"/>
  <c r="H109" i="20" s="1"/>
  <c r="AB40" i="32" l="1"/>
  <c r="AB42" i="32" s="1"/>
  <c r="AB43" i="32" s="1"/>
  <c r="AB17" i="32"/>
  <c r="AB20" i="32"/>
  <c r="AB21" i="32" s="1"/>
  <c r="AA40" i="31"/>
  <c r="AA42" i="31" s="1"/>
  <c r="AA20" i="31"/>
  <c r="AD29" i="31"/>
  <c r="AD27" i="31"/>
  <c r="AC16" i="32"/>
  <c r="AC14" i="32"/>
  <c r="AB40" i="31"/>
  <c r="AB42" i="31" s="1"/>
  <c r="AB43" i="31" s="1"/>
  <c r="AB17" i="31"/>
  <c r="AB20" i="31"/>
  <c r="AB21" i="31" s="1"/>
  <c r="AC30" i="31"/>
  <c r="AC33" i="31"/>
  <c r="AC34" i="31" s="1"/>
  <c r="AA40" i="32"/>
  <c r="AA42" i="32" s="1"/>
  <c r="AA20" i="32"/>
  <c r="AC16" i="31"/>
  <c r="AC14" i="31"/>
  <c r="AD29" i="32"/>
  <c r="AD27" i="32"/>
  <c r="AC30" i="32"/>
  <c r="AC33" i="32"/>
  <c r="AC34" i="32" s="1"/>
  <c r="T43" i="25"/>
  <c r="V29" i="26"/>
  <c r="V27" i="26"/>
  <c r="V16" i="25"/>
  <c r="V14" i="25"/>
  <c r="W29" i="25"/>
  <c r="W27" i="25"/>
  <c r="U30" i="26"/>
  <c r="U33" i="26"/>
  <c r="U34" i="26" s="1"/>
  <c r="V30" i="25"/>
  <c r="V33" i="25"/>
  <c r="V34" i="25" s="1"/>
  <c r="V16" i="26"/>
  <c r="V14" i="26"/>
  <c r="U40" i="26"/>
  <c r="U42" i="26" s="1"/>
  <c r="U43" i="26" s="1"/>
  <c r="U17" i="26"/>
  <c r="U20" i="26"/>
  <c r="U21" i="26" s="1"/>
  <c r="U17" i="25"/>
  <c r="U40" i="25"/>
  <c r="U42" i="25" s="1"/>
  <c r="U20" i="25"/>
  <c r="U21" i="25" s="1"/>
  <c r="R23" i="22"/>
  <c r="Q26" i="22"/>
  <c r="Q36" i="22"/>
  <c r="Q38" i="22" s="1"/>
  <c r="D26" i="22"/>
  <c r="D27" i="22" s="1"/>
  <c r="E29" i="22" s="1"/>
  <c r="E23" i="22"/>
  <c r="D36" i="22"/>
  <c r="D38" i="22" s="1"/>
  <c r="BE23" i="22"/>
  <c r="BD36" i="22"/>
  <c r="BD38" i="22" s="1"/>
  <c r="BD26" i="22"/>
  <c r="AR23" i="22"/>
  <c r="AQ36" i="22"/>
  <c r="AQ26" i="22"/>
  <c r="AE23" i="22"/>
  <c r="AD36" i="22"/>
  <c r="AD38" i="22" s="1"/>
  <c r="AD26" i="22"/>
  <c r="D37" i="21"/>
  <c r="C39" i="21"/>
  <c r="C28" i="21"/>
  <c r="D30" i="21" s="1"/>
  <c r="G136" i="20"/>
  <c r="E24" i="21"/>
  <c r="D27" i="21"/>
  <c r="Q27" i="21"/>
  <c r="R24" i="21"/>
  <c r="BD27" i="21"/>
  <c r="BE24" i="21"/>
  <c r="AE24" i="21"/>
  <c r="AQ27" i="21"/>
  <c r="AR24" i="21"/>
  <c r="I15" i="21"/>
  <c r="J17" i="21" s="1"/>
  <c r="F133" i="20"/>
  <c r="F137" i="20" s="1"/>
  <c r="F138" i="20" s="1"/>
  <c r="F140" i="20" s="1"/>
  <c r="H100" i="20"/>
  <c r="G114" i="20"/>
  <c r="H70" i="20"/>
  <c r="G82" i="20"/>
  <c r="H79" i="20" s="1"/>
  <c r="AD30" i="31" l="1"/>
  <c r="AD33" i="31"/>
  <c r="AD34" i="31" s="1"/>
  <c r="AE29" i="32"/>
  <c r="AE27" i="32"/>
  <c r="AC17" i="31"/>
  <c r="AC40" i="31"/>
  <c r="AC42" i="31" s="1"/>
  <c r="AC43" i="31" s="1"/>
  <c r="AC20" i="31"/>
  <c r="AC21" i="31" s="1"/>
  <c r="AD30" i="32"/>
  <c r="AD33" i="32"/>
  <c r="AD34" i="32" s="1"/>
  <c r="AD16" i="31"/>
  <c r="AD14" i="31"/>
  <c r="AD16" i="32"/>
  <c r="AD14" i="32"/>
  <c r="AC40" i="32"/>
  <c r="AC42" i="32" s="1"/>
  <c r="AC43" i="32" s="1"/>
  <c r="AC17" i="32"/>
  <c r="AC20" i="32"/>
  <c r="AC21" i="32" s="1"/>
  <c r="AE29" i="31"/>
  <c r="AE27" i="31"/>
  <c r="U43" i="25"/>
  <c r="X29" i="25"/>
  <c r="X27" i="25"/>
  <c r="V40" i="26"/>
  <c r="V42" i="26" s="1"/>
  <c r="V43" i="26" s="1"/>
  <c r="V17" i="26"/>
  <c r="V20" i="26"/>
  <c r="V21" i="26" s="1"/>
  <c r="V40" i="25"/>
  <c r="V42" i="25" s="1"/>
  <c r="V17" i="25"/>
  <c r="V20" i="25"/>
  <c r="V21" i="25" s="1"/>
  <c r="V30" i="26"/>
  <c r="V33" i="26"/>
  <c r="V34" i="26" s="1"/>
  <c r="W30" i="25"/>
  <c r="W33" i="25"/>
  <c r="W34" i="25" s="1"/>
  <c r="W16" i="26"/>
  <c r="W14" i="26"/>
  <c r="W16" i="25"/>
  <c r="W14" i="25"/>
  <c r="W29" i="26"/>
  <c r="W27" i="26"/>
  <c r="BE26" i="22"/>
  <c r="BF23" i="22"/>
  <c r="AF23" i="22"/>
  <c r="AE36" i="22"/>
  <c r="AE26" i="22"/>
  <c r="F23" i="22"/>
  <c r="E36" i="22"/>
  <c r="E26" i="22"/>
  <c r="AQ38" i="22"/>
  <c r="AR26" i="22"/>
  <c r="AS23" i="22"/>
  <c r="AR36" i="22"/>
  <c r="AR38" i="22" s="1"/>
  <c r="R26" i="22"/>
  <c r="R36" i="22"/>
  <c r="S23" i="22"/>
  <c r="AE37" i="21"/>
  <c r="E37" i="21"/>
  <c r="D39" i="21"/>
  <c r="S24" i="21"/>
  <c r="D28" i="21"/>
  <c r="E30" i="21" s="1"/>
  <c r="AR27" i="21"/>
  <c r="AS24" i="21"/>
  <c r="F24" i="21"/>
  <c r="E27" i="21"/>
  <c r="AF24" i="21"/>
  <c r="BF24" i="21"/>
  <c r="BE27" i="21"/>
  <c r="J15" i="21"/>
  <c r="K17" i="21" s="1"/>
  <c r="H110" i="20"/>
  <c r="H112" i="20" s="1"/>
  <c r="I109" i="20" s="1"/>
  <c r="H106" i="20"/>
  <c r="H80" i="20"/>
  <c r="H136" i="20" s="1"/>
  <c r="H76" i="20"/>
  <c r="G84" i="20"/>
  <c r="G132" i="20" s="1"/>
  <c r="AE16" i="31" l="1"/>
  <c r="AE14" i="31"/>
  <c r="AE30" i="32"/>
  <c r="AE33" i="32"/>
  <c r="AE34" i="32" s="1"/>
  <c r="AD40" i="32"/>
  <c r="AD42" i="32" s="1"/>
  <c r="AD43" i="32" s="1"/>
  <c r="AD17" i="32"/>
  <c r="AD20" i="32"/>
  <c r="AD21" i="32" s="1"/>
  <c r="AE16" i="32"/>
  <c r="AE14" i="32"/>
  <c r="AF29" i="32"/>
  <c r="AF27" i="32"/>
  <c r="AD40" i="31"/>
  <c r="AD42" i="31" s="1"/>
  <c r="AD43" i="31" s="1"/>
  <c r="AD17" i="31"/>
  <c r="AD20" i="31"/>
  <c r="AD21" i="31" s="1"/>
  <c r="AF29" i="31"/>
  <c r="AF27" i="31"/>
  <c r="AE30" i="31"/>
  <c r="AE33" i="31"/>
  <c r="AE34" i="31" s="1"/>
  <c r="V43" i="25"/>
  <c r="W40" i="25"/>
  <c r="W42" i="25" s="1"/>
  <c r="W17" i="25"/>
  <c r="W20" i="25"/>
  <c r="W21" i="25" s="1"/>
  <c r="X16" i="26"/>
  <c r="X14" i="26"/>
  <c r="W40" i="26"/>
  <c r="W42" i="26" s="1"/>
  <c r="W43" i="26" s="1"/>
  <c r="W17" i="26"/>
  <c r="W20" i="26"/>
  <c r="W21" i="26" s="1"/>
  <c r="X29" i="26"/>
  <c r="X27" i="26"/>
  <c r="W30" i="26"/>
  <c r="W33" i="26"/>
  <c r="W34" i="26" s="1"/>
  <c r="Y29" i="25"/>
  <c r="Y27" i="25"/>
  <c r="X16" i="25"/>
  <c r="X14" i="25"/>
  <c r="X30" i="25"/>
  <c r="X33" i="25"/>
  <c r="X34" i="25" s="1"/>
  <c r="AE38" i="22"/>
  <c r="S26" i="22"/>
  <c r="T23" i="22"/>
  <c r="S36" i="22"/>
  <c r="S38" i="22" s="1"/>
  <c r="AG23" i="22"/>
  <c r="AF26" i="22"/>
  <c r="AF36" i="22"/>
  <c r="AF38" i="22" s="1"/>
  <c r="R38" i="22"/>
  <c r="E27" i="22"/>
  <c r="F29" i="22" s="1"/>
  <c r="E38" i="22"/>
  <c r="BG23" i="22"/>
  <c r="BF36" i="22"/>
  <c r="BF38" i="22" s="1"/>
  <c r="BF26" i="22"/>
  <c r="AT23" i="22"/>
  <c r="AS26" i="22"/>
  <c r="AS36" i="22"/>
  <c r="F26" i="22"/>
  <c r="G23" i="22"/>
  <c r="F36" i="22"/>
  <c r="F38" i="22" s="1"/>
  <c r="F37" i="21"/>
  <c r="E39" i="21"/>
  <c r="AF37" i="21"/>
  <c r="AT24" i="21"/>
  <c r="AS27" i="21"/>
  <c r="E28" i="21"/>
  <c r="F30" i="21" s="1"/>
  <c r="G24" i="21"/>
  <c r="F27" i="21"/>
  <c r="BF27" i="21"/>
  <c r="BG24" i="21"/>
  <c r="T24" i="21"/>
  <c r="AG24" i="21"/>
  <c r="G133" i="20"/>
  <c r="G137" i="20" s="1"/>
  <c r="G138" i="20" s="1"/>
  <c r="G140" i="20" s="1"/>
  <c r="H114" i="20"/>
  <c r="I100" i="20"/>
  <c r="H82" i="20"/>
  <c r="I79" i="20" s="1"/>
  <c r="I70" i="20"/>
  <c r="AF30" i="31" l="1"/>
  <c r="AF33" i="31"/>
  <c r="AF34" i="31" s="1"/>
  <c r="AG29" i="32"/>
  <c r="AG27" i="32"/>
  <c r="AF30" i="32"/>
  <c r="AF33" i="32"/>
  <c r="AF34" i="32" s="1"/>
  <c r="AF16" i="32"/>
  <c r="AF14" i="32"/>
  <c r="AF16" i="31"/>
  <c r="AF14" i="31"/>
  <c r="AG29" i="31"/>
  <c r="AG27" i="31"/>
  <c r="AE40" i="32"/>
  <c r="AE42" i="32" s="1"/>
  <c r="AE43" i="32" s="1"/>
  <c r="AE17" i="32"/>
  <c r="AE20" i="32"/>
  <c r="AE21" i="32" s="1"/>
  <c r="AE40" i="31"/>
  <c r="AE42" i="31" s="1"/>
  <c r="AE43" i="31" s="1"/>
  <c r="AE17" i="31"/>
  <c r="AE20" i="31"/>
  <c r="AE21" i="31" s="1"/>
  <c r="W43" i="25"/>
  <c r="Z29" i="25"/>
  <c r="Z27" i="25"/>
  <c r="AA27" i="25" s="1"/>
  <c r="Y16" i="25"/>
  <c r="Y14" i="25"/>
  <c r="X40" i="25"/>
  <c r="X42" i="25" s="1"/>
  <c r="X17" i="25"/>
  <c r="X20" i="25"/>
  <c r="X21" i="25" s="1"/>
  <c r="Y30" i="25"/>
  <c r="Y33" i="25"/>
  <c r="Y34" i="25" s="1"/>
  <c r="Y16" i="26"/>
  <c r="Y14" i="26"/>
  <c r="X40" i="26"/>
  <c r="X42" i="26" s="1"/>
  <c r="X43" i="26" s="1"/>
  <c r="X17" i="26"/>
  <c r="X20" i="26"/>
  <c r="X21" i="26" s="1"/>
  <c r="Y29" i="26"/>
  <c r="Y27" i="26"/>
  <c r="X30" i="26"/>
  <c r="X33" i="26"/>
  <c r="X34" i="26" s="1"/>
  <c r="AT26" i="22"/>
  <c r="AU23" i="22"/>
  <c r="AT36" i="22"/>
  <c r="AT38" i="22" s="1"/>
  <c r="T36" i="22"/>
  <c r="T26" i="22"/>
  <c r="U23" i="22"/>
  <c r="G26" i="22"/>
  <c r="H23" i="22"/>
  <c r="G36" i="22"/>
  <c r="G38" i="22" s="1"/>
  <c r="BH23" i="22"/>
  <c r="BG36" i="22"/>
  <c r="BG38" i="22" s="1"/>
  <c r="BG26" i="22"/>
  <c r="F27" i="22"/>
  <c r="G29" i="22" s="1"/>
  <c r="AS38" i="22"/>
  <c r="AG26" i="22"/>
  <c r="AH23" i="22"/>
  <c r="AG36" i="22"/>
  <c r="F39" i="21"/>
  <c r="AG37" i="21"/>
  <c r="G37" i="21"/>
  <c r="AH24" i="21"/>
  <c r="U24" i="21"/>
  <c r="F28" i="21"/>
  <c r="G30" i="21" s="1"/>
  <c r="G27" i="21"/>
  <c r="H24" i="21"/>
  <c r="H84" i="20"/>
  <c r="H132" i="20" s="1"/>
  <c r="BG27" i="21"/>
  <c r="BH24" i="21"/>
  <c r="AU24" i="21"/>
  <c r="AT27" i="21"/>
  <c r="H133" i="20"/>
  <c r="H137" i="20" s="1"/>
  <c r="H138" i="20" s="1"/>
  <c r="H140" i="20" s="1"/>
  <c r="I76" i="20"/>
  <c r="I80" i="20"/>
  <c r="I82" i="20"/>
  <c r="J79" i="20" s="1"/>
  <c r="I110" i="20"/>
  <c r="I112" i="20" s="1"/>
  <c r="J109" i="20" s="1"/>
  <c r="I106" i="20"/>
  <c r="AH29" i="31" l="1"/>
  <c r="AH27" i="31"/>
  <c r="AG30" i="31"/>
  <c r="AG33" i="31"/>
  <c r="AG34" i="31" s="1"/>
  <c r="AG16" i="31"/>
  <c r="AG14" i="31"/>
  <c r="AG30" i="32"/>
  <c r="AG33" i="32"/>
  <c r="AG34" i="32" s="1"/>
  <c r="AF40" i="31"/>
  <c r="AF42" i="31" s="1"/>
  <c r="AF43" i="31" s="1"/>
  <c r="AF17" i="31"/>
  <c r="AF20" i="31"/>
  <c r="AF21" i="31" s="1"/>
  <c r="AH29" i="32"/>
  <c r="AH27" i="32"/>
  <c r="AG16" i="32"/>
  <c r="AG14" i="32"/>
  <c r="AF17" i="32"/>
  <c r="AF40" i="32"/>
  <c r="AF42" i="32" s="1"/>
  <c r="AF43" i="32" s="1"/>
  <c r="AF20" i="32"/>
  <c r="AF21" i="32" s="1"/>
  <c r="X43" i="25"/>
  <c r="Z29" i="26"/>
  <c r="Z27" i="26"/>
  <c r="AA27" i="26" s="1"/>
  <c r="Y30" i="26"/>
  <c r="Y33" i="26"/>
  <c r="Y34" i="26" s="1"/>
  <c r="Z16" i="26"/>
  <c r="Z14" i="26"/>
  <c r="AA14" i="26" s="1"/>
  <c r="Z16" i="25"/>
  <c r="Z14" i="25"/>
  <c r="AA14" i="25" s="1"/>
  <c r="Y40" i="26"/>
  <c r="Y42" i="26" s="1"/>
  <c r="Y43" i="26" s="1"/>
  <c r="Y17" i="26"/>
  <c r="Y20" i="26"/>
  <c r="Y21" i="26" s="1"/>
  <c r="AB29" i="25"/>
  <c r="AB27" i="25"/>
  <c r="Y40" i="25"/>
  <c r="Y42" i="25" s="1"/>
  <c r="Y43" i="25" s="1"/>
  <c r="Y17" i="25"/>
  <c r="Y20" i="25"/>
  <c r="Y21" i="25" s="1"/>
  <c r="Z30" i="25"/>
  <c r="AA30" i="25" s="1"/>
  <c r="Z33" i="25"/>
  <c r="Z34" i="25" s="1"/>
  <c r="AA34" i="25" s="1"/>
  <c r="AA29" i="25"/>
  <c r="AA33" i="25" s="1"/>
  <c r="U36" i="22"/>
  <c r="U38" i="22" s="1"/>
  <c r="U26" i="22"/>
  <c r="V23" i="22"/>
  <c r="AG38" i="22"/>
  <c r="BH26" i="22"/>
  <c r="BI23" i="22"/>
  <c r="BH36" i="22"/>
  <c r="BH38" i="22" s="1"/>
  <c r="T38" i="22"/>
  <c r="AH26" i="22"/>
  <c r="AI23" i="22"/>
  <c r="AH36" i="22"/>
  <c r="AH38" i="22" s="1"/>
  <c r="AU26" i="22"/>
  <c r="AV23" i="22"/>
  <c r="AU36" i="22"/>
  <c r="H26" i="22"/>
  <c r="H36" i="22"/>
  <c r="H38" i="22" s="1"/>
  <c r="I23" i="22"/>
  <c r="G27" i="22"/>
  <c r="H29" i="22" s="1"/>
  <c r="G39" i="21"/>
  <c r="H37" i="21"/>
  <c r="AH37" i="21"/>
  <c r="G28" i="21"/>
  <c r="H30" i="21" s="1"/>
  <c r="AU27" i="21"/>
  <c r="AV24" i="21"/>
  <c r="V24" i="21"/>
  <c r="H27" i="21"/>
  <c r="I24" i="21"/>
  <c r="AI24" i="21"/>
  <c r="BH27" i="21"/>
  <c r="BI24" i="21"/>
  <c r="I136" i="20"/>
  <c r="I84" i="20"/>
  <c r="J70" i="20"/>
  <c r="J100" i="20"/>
  <c r="I114" i="20"/>
  <c r="AH16" i="32" l="1"/>
  <c r="AH14" i="32"/>
  <c r="AG40" i="31"/>
  <c r="AG42" i="31" s="1"/>
  <c r="AG43" i="31" s="1"/>
  <c r="AG17" i="31"/>
  <c r="AG20" i="31"/>
  <c r="AG21" i="31" s="1"/>
  <c r="AG40" i="32"/>
  <c r="AG42" i="32" s="1"/>
  <c r="AG43" i="32" s="1"/>
  <c r="AG17" i="32"/>
  <c r="AG20" i="32"/>
  <c r="AG21" i="32" s="1"/>
  <c r="AI29" i="32"/>
  <c r="AI27" i="32"/>
  <c r="AH16" i="31"/>
  <c r="AH14" i="31"/>
  <c r="AH30" i="32"/>
  <c r="AH33" i="32"/>
  <c r="AH34" i="32" s="1"/>
  <c r="AI29" i="31"/>
  <c r="AI27" i="31"/>
  <c r="AH30" i="31"/>
  <c r="AH33" i="31"/>
  <c r="AH34" i="31" s="1"/>
  <c r="AB16" i="26"/>
  <c r="AB14" i="26"/>
  <c r="Z40" i="25"/>
  <c r="Z42" i="25" s="1"/>
  <c r="Z43" i="25" s="1"/>
  <c r="AA43" i="25" s="1"/>
  <c r="Z17" i="25"/>
  <c r="AA17" i="25" s="1"/>
  <c r="Z20" i="25"/>
  <c r="Z21" i="25" s="1"/>
  <c r="AA21" i="25" s="1"/>
  <c r="AA16" i="25"/>
  <c r="AB16" i="25"/>
  <c r="AB14" i="25"/>
  <c r="AB30" i="25"/>
  <c r="AB33" i="25"/>
  <c r="AB34" i="25" s="1"/>
  <c r="AC29" i="25"/>
  <c r="AC27" i="25"/>
  <c r="Z40" i="26"/>
  <c r="Z42" i="26" s="1"/>
  <c r="Z43" i="26" s="1"/>
  <c r="AA43" i="26" s="1"/>
  <c r="Z17" i="26"/>
  <c r="AA17" i="26" s="1"/>
  <c r="Z20" i="26"/>
  <c r="Z21" i="26" s="1"/>
  <c r="AA21" i="26" s="1"/>
  <c r="AA16" i="26"/>
  <c r="AB29" i="26"/>
  <c r="AB27" i="26"/>
  <c r="Z30" i="26"/>
  <c r="AA30" i="26" s="1"/>
  <c r="Z33" i="26"/>
  <c r="Z34" i="26" s="1"/>
  <c r="AA34" i="26" s="1"/>
  <c r="AA29" i="26"/>
  <c r="AA33" i="26" s="1"/>
  <c r="H27" i="22"/>
  <c r="I29" i="22" s="1"/>
  <c r="V36" i="22"/>
  <c r="V26" i="22"/>
  <c r="W23" i="22"/>
  <c r="AU38" i="22"/>
  <c r="AW23" i="22"/>
  <c r="AV26" i="22"/>
  <c r="AV36" i="22"/>
  <c r="AV38" i="22" s="1"/>
  <c r="BI26" i="22"/>
  <c r="BJ23" i="22"/>
  <c r="BI36" i="22"/>
  <c r="BI38" i="22" s="1"/>
  <c r="I36" i="22"/>
  <c r="I26" i="22"/>
  <c r="J23" i="22"/>
  <c r="AI26" i="22"/>
  <c r="AJ23" i="22"/>
  <c r="AI36" i="22"/>
  <c r="AI38" i="22" s="1"/>
  <c r="I37" i="21"/>
  <c r="H39" i="21"/>
  <c r="BI37" i="21"/>
  <c r="AI37" i="21"/>
  <c r="W24" i="21"/>
  <c r="BJ24" i="21"/>
  <c r="BI27" i="21"/>
  <c r="H28" i="21"/>
  <c r="I30" i="21" s="1"/>
  <c r="AJ24" i="21"/>
  <c r="AV27" i="21"/>
  <c r="AW24" i="21"/>
  <c r="J24" i="21"/>
  <c r="I27" i="21"/>
  <c r="I132" i="20"/>
  <c r="J110" i="20"/>
  <c r="J112" i="20" s="1"/>
  <c r="K109" i="20" s="1"/>
  <c r="J106" i="20"/>
  <c r="J76" i="20"/>
  <c r="J80" i="20"/>
  <c r="AI30" i="31" l="1"/>
  <c r="AI33" i="31"/>
  <c r="AI34" i="31" s="1"/>
  <c r="AH40" i="31"/>
  <c r="AH42" i="31" s="1"/>
  <c r="AH43" i="31" s="1"/>
  <c r="AH17" i="31"/>
  <c r="AH20" i="31"/>
  <c r="AH21" i="31" s="1"/>
  <c r="AI16" i="31"/>
  <c r="AI14" i="31"/>
  <c r="AJ29" i="32"/>
  <c r="AJ27" i="32"/>
  <c r="AI16" i="32"/>
  <c r="AI14" i="32"/>
  <c r="AI30" i="32"/>
  <c r="AI33" i="32"/>
  <c r="AI34" i="32" s="1"/>
  <c r="AH40" i="32"/>
  <c r="AH42" i="32" s="1"/>
  <c r="AH43" i="32" s="1"/>
  <c r="AH17" i="32"/>
  <c r="AH20" i="32"/>
  <c r="AH21" i="32" s="1"/>
  <c r="AJ29" i="31"/>
  <c r="AJ27" i="31"/>
  <c r="AA40" i="25"/>
  <c r="AA42" i="25" s="1"/>
  <c r="AA20" i="25"/>
  <c r="AC16" i="25"/>
  <c r="AC14" i="25"/>
  <c r="AB40" i="25"/>
  <c r="AB42" i="25" s="1"/>
  <c r="AB43" i="25" s="1"/>
  <c r="AB17" i="25"/>
  <c r="AB20" i="25"/>
  <c r="AB21" i="25" s="1"/>
  <c r="AD29" i="25"/>
  <c r="AD27" i="25"/>
  <c r="AC30" i="25"/>
  <c r="AC33" i="25"/>
  <c r="AC34" i="25" s="1"/>
  <c r="AC29" i="26"/>
  <c r="AC27" i="26"/>
  <c r="AB30" i="26"/>
  <c r="AB33" i="26"/>
  <c r="AB34" i="26" s="1"/>
  <c r="AC16" i="26"/>
  <c r="AC14" i="26"/>
  <c r="AA40" i="26"/>
  <c r="AA42" i="26" s="1"/>
  <c r="AA20" i="26"/>
  <c r="AB40" i="26"/>
  <c r="AB42" i="26" s="1"/>
  <c r="AB43" i="26" s="1"/>
  <c r="AB17" i="26"/>
  <c r="AB20" i="26"/>
  <c r="AB21" i="26" s="1"/>
  <c r="J136" i="20"/>
  <c r="I27" i="22"/>
  <c r="J29" i="22" s="1"/>
  <c r="BJ26" i="22"/>
  <c r="BK23" i="22"/>
  <c r="BJ36" i="22"/>
  <c r="BJ38" i="22" s="1"/>
  <c r="J26" i="22"/>
  <c r="K23" i="22"/>
  <c r="J36" i="22"/>
  <c r="J38" i="22" s="1"/>
  <c r="AJ26" i="22"/>
  <c r="AK23" i="22"/>
  <c r="AJ36" i="22"/>
  <c r="I38" i="22"/>
  <c r="W26" i="22"/>
  <c r="X23" i="22"/>
  <c r="W36" i="22"/>
  <c r="W38" i="22" s="1"/>
  <c r="AW26" i="22"/>
  <c r="AX23" i="22"/>
  <c r="AW36" i="22"/>
  <c r="V38" i="22"/>
  <c r="AJ37" i="21"/>
  <c r="BI39" i="21"/>
  <c r="BJ37" i="21"/>
  <c r="I39" i="21"/>
  <c r="J37" i="21"/>
  <c r="J27" i="21"/>
  <c r="K24" i="21"/>
  <c r="BJ27" i="21"/>
  <c r="BK24" i="21"/>
  <c r="AW27" i="21"/>
  <c r="AX24" i="21"/>
  <c r="X24" i="21"/>
  <c r="I28" i="21"/>
  <c r="J30" i="21" s="1"/>
  <c r="AK24" i="21"/>
  <c r="I133" i="20"/>
  <c r="I137" i="20" s="1"/>
  <c r="I138" i="20" s="1"/>
  <c r="I140" i="20" s="1"/>
  <c r="K70" i="20"/>
  <c r="J114" i="20"/>
  <c r="K100" i="20"/>
  <c r="J82" i="20"/>
  <c r="K79" i="20" s="1"/>
  <c r="AI40" i="32" l="1"/>
  <c r="AI42" i="32" s="1"/>
  <c r="AI43" i="32" s="1"/>
  <c r="AI17" i="32"/>
  <c r="AI20" i="32"/>
  <c r="AI21" i="32" s="1"/>
  <c r="AJ30" i="32"/>
  <c r="AJ33" i="32"/>
  <c r="AJ34" i="32" s="1"/>
  <c r="AJ16" i="31"/>
  <c r="AJ14" i="31"/>
  <c r="AJ30" i="31"/>
  <c r="AJ33" i="31"/>
  <c r="AJ34" i="31" s="1"/>
  <c r="AI40" i="31"/>
  <c r="AI42" i="31" s="1"/>
  <c r="AI43" i="31" s="1"/>
  <c r="AI17" i="31"/>
  <c r="AI20" i="31"/>
  <c r="AI21" i="31" s="1"/>
  <c r="AJ16" i="32"/>
  <c r="AJ14" i="32"/>
  <c r="AK29" i="31"/>
  <c r="AK27" i="31"/>
  <c r="AK29" i="32"/>
  <c r="AK27" i="32"/>
  <c r="AD16" i="25"/>
  <c r="AD14" i="25"/>
  <c r="AD29" i="26"/>
  <c r="AD27" i="26"/>
  <c r="AC40" i="26"/>
  <c r="AC42" i="26" s="1"/>
  <c r="AC43" i="26" s="1"/>
  <c r="AC17" i="26"/>
  <c r="AC20" i="26"/>
  <c r="AC21" i="26" s="1"/>
  <c r="AC17" i="25"/>
  <c r="AC40" i="25"/>
  <c r="AC42" i="25" s="1"/>
  <c r="AC43" i="25" s="1"/>
  <c r="AC20" i="25"/>
  <c r="AC21" i="25" s="1"/>
  <c r="AC30" i="26"/>
  <c r="AC33" i="26"/>
  <c r="AC34" i="26" s="1"/>
  <c r="AD16" i="26"/>
  <c r="AD14" i="26"/>
  <c r="AE29" i="25"/>
  <c r="AE27" i="25"/>
  <c r="AD30" i="25"/>
  <c r="AD33" i="25"/>
  <c r="AD34" i="25" s="1"/>
  <c r="J27" i="22"/>
  <c r="K29" i="22" s="1"/>
  <c r="AW38" i="22"/>
  <c r="K36" i="22"/>
  <c r="L23" i="22"/>
  <c r="AX36" i="22"/>
  <c r="AX38" i="22" s="1"/>
  <c r="AX26" i="22"/>
  <c r="AY23" i="22"/>
  <c r="X26" i="22"/>
  <c r="X36" i="22"/>
  <c r="Y23" i="22"/>
  <c r="AJ38" i="22"/>
  <c r="AL23" i="22"/>
  <c r="AK26" i="22"/>
  <c r="AK36" i="22"/>
  <c r="AK38" i="22" s="1"/>
  <c r="BK26" i="22"/>
  <c r="BL23" i="22"/>
  <c r="BK36" i="22"/>
  <c r="BK38" i="22" s="1"/>
  <c r="BJ39" i="21"/>
  <c r="K37" i="21"/>
  <c r="J39" i="21"/>
  <c r="AY24" i="21"/>
  <c r="AX27" i="21"/>
  <c r="BK27" i="21"/>
  <c r="BL24" i="21"/>
  <c r="Y24" i="21"/>
  <c r="L24" i="21"/>
  <c r="AL24" i="21"/>
  <c r="J28" i="21"/>
  <c r="K30" i="21" s="1"/>
  <c r="J84" i="20"/>
  <c r="J132" i="20" s="1"/>
  <c r="K106" i="20"/>
  <c r="K110" i="20"/>
  <c r="K112" i="20" s="1"/>
  <c r="L109" i="20" s="1"/>
  <c r="K80" i="20"/>
  <c r="K76" i="20"/>
  <c r="AK30" i="32" l="1"/>
  <c r="AK33" i="32"/>
  <c r="AK34" i="32" s="1"/>
  <c r="AK30" i="31"/>
  <c r="AK33" i="31"/>
  <c r="AK34" i="31" s="1"/>
  <c r="AK16" i="32"/>
  <c r="AK14" i="32"/>
  <c r="AJ40" i="32"/>
  <c r="AJ42" i="32" s="1"/>
  <c r="AJ43" i="32" s="1"/>
  <c r="AJ17" i="32"/>
  <c r="AJ20" i="32"/>
  <c r="AJ21" i="32" s="1"/>
  <c r="AK16" i="31"/>
  <c r="AK14" i="31"/>
  <c r="AJ40" i="31"/>
  <c r="AJ42" i="31" s="1"/>
  <c r="AJ43" i="31" s="1"/>
  <c r="AJ17" i="31"/>
  <c r="AJ20" i="31"/>
  <c r="AJ21" i="31" s="1"/>
  <c r="AL29" i="32"/>
  <c r="AL27" i="32"/>
  <c r="AL29" i="31"/>
  <c r="AL27" i="31"/>
  <c r="AD17" i="25"/>
  <c r="AD40" i="25"/>
  <c r="AD42" i="25" s="1"/>
  <c r="AD43" i="25" s="1"/>
  <c r="AD20" i="25"/>
  <c r="AD21" i="25" s="1"/>
  <c r="AF29" i="25"/>
  <c r="AF27" i="25"/>
  <c r="AE30" i="25"/>
  <c r="AE33" i="25"/>
  <c r="AE34" i="25" s="1"/>
  <c r="AE16" i="26"/>
  <c r="AE14" i="26"/>
  <c r="AD40" i="26"/>
  <c r="AD42" i="26" s="1"/>
  <c r="AD43" i="26" s="1"/>
  <c r="AD17" i="26"/>
  <c r="AD20" i="26"/>
  <c r="AD21" i="26" s="1"/>
  <c r="AE29" i="26"/>
  <c r="AE27" i="26"/>
  <c r="AD30" i="26"/>
  <c r="AD33" i="26"/>
  <c r="AD34" i="26" s="1"/>
  <c r="AE16" i="25"/>
  <c r="AE14" i="25"/>
  <c r="K136" i="20"/>
  <c r="BM23" i="22"/>
  <c r="BN23" i="22" s="1"/>
  <c r="BL26" i="22"/>
  <c r="BL36" i="22"/>
  <c r="BL38" i="22" s="1"/>
  <c r="Z23" i="22"/>
  <c r="Y26" i="22"/>
  <c r="Y36" i="22"/>
  <c r="Y38" i="22" s="1"/>
  <c r="M23" i="22"/>
  <c r="L36" i="22"/>
  <c r="X38" i="22"/>
  <c r="AM23" i="22"/>
  <c r="AL36" i="22"/>
  <c r="AL38" i="22" s="1"/>
  <c r="AL26" i="22"/>
  <c r="AY26" i="22"/>
  <c r="AZ23" i="22"/>
  <c r="AY36" i="22"/>
  <c r="AY38" i="22" s="1"/>
  <c r="L37" i="21"/>
  <c r="BM24" i="21"/>
  <c r="BL27" i="21"/>
  <c r="M24" i="21"/>
  <c r="L27" i="21"/>
  <c r="AM24" i="21"/>
  <c r="Z24" i="21"/>
  <c r="AZ24" i="21"/>
  <c r="AY27" i="21"/>
  <c r="J133" i="20"/>
  <c r="J137" i="20" s="1"/>
  <c r="J138" i="20" s="1"/>
  <c r="J140" i="20" s="1"/>
  <c r="L70" i="20"/>
  <c r="K114" i="20"/>
  <c r="L100" i="20"/>
  <c r="K82" i="20"/>
  <c r="L79" i="20" s="1"/>
  <c r="AL30" i="31" l="1"/>
  <c r="AL33" i="31"/>
  <c r="AL34" i="31" s="1"/>
  <c r="AM29" i="32"/>
  <c r="AM27" i="32"/>
  <c r="AN27" i="32" s="1"/>
  <c r="AL30" i="32"/>
  <c r="AL33" i="32"/>
  <c r="AL34" i="32" s="1"/>
  <c r="AL16" i="32"/>
  <c r="AL14" i="32"/>
  <c r="AK40" i="32"/>
  <c r="AK42" i="32" s="1"/>
  <c r="AK43" i="32" s="1"/>
  <c r="AK17" i="32"/>
  <c r="AK20" i="32"/>
  <c r="AK21" i="32" s="1"/>
  <c r="AL16" i="31"/>
  <c r="AL14" i="31"/>
  <c r="AM29" i="31"/>
  <c r="AM27" i="31"/>
  <c r="AN27" i="31" s="1"/>
  <c r="AK40" i="31"/>
  <c r="AK42" i="31" s="1"/>
  <c r="AK43" i="31" s="1"/>
  <c r="AK17" i="31"/>
  <c r="AK20" i="31"/>
  <c r="AK21" i="31" s="1"/>
  <c r="AF29" i="26"/>
  <c r="AF27" i="26"/>
  <c r="AF16" i="25"/>
  <c r="AF14" i="25"/>
  <c r="AE40" i="25"/>
  <c r="AE42" i="25" s="1"/>
  <c r="AE43" i="25" s="1"/>
  <c r="AE17" i="25"/>
  <c r="AE20" i="25"/>
  <c r="AE21" i="25" s="1"/>
  <c r="AF16" i="26"/>
  <c r="AF14" i="26"/>
  <c r="AE40" i="26"/>
  <c r="AE42" i="26" s="1"/>
  <c r="AE43" i="26" s="1"/>
  <c r="AE17" i="26"/>
  <c r="AE20" i="26"/>
  <c r="AE21" i="26" s="1"/>
  <c r="AE30" i="26"/>
  <c r="AE33" i="26"/>
  <c r="AE34" i="26" s="1"/>
  <c r="AG29" i="25"/>
  <c r="AG27" i="25"/>
  <c r="AF30" i="25"/>
  <c r="AF33" i="25"/>
  <c r="AF34" i="25" s="1"/>
  <c r="AZ36" i="22"/>
  <c r="AZ26" i="22"/>
  <c r="BA26" i="22" s="1"/>
  <c r="BA23" i="22"/>
  <c r="Z26" i="22"/>
  <c r="AA26" i="22" s="1"/>
  <c r="Z36" i="22"/>
  <c r="AA23" i="22"/>
  <c r="M26" i="22"/>
  <c r="M36" i="22"/>
  <c r="N23" i="22"/>
  <c r="BM26" i="22"/>
  <c r="BN26" i="22" s="1"/>
  <c r="BM36" i="22"/>
  <c r="AM26" i="22"/>
  <c r="AN26" i="22" s="1"/>
  <c r="AM36" i="22"/>
  <c r="AN23" i="22"/>
  <c r="M37" i="21"/>
  <c r="N24" i="21"/>
  <c r="L39" i="21"/>
  <c r="AZ27" i="21"/>
  <c r="BA24" i="21"/>
  <c r="AA24" i="21"/>
  <c r="BM27" i="21"/>
  <c r="BN24" i="21"/>
  <c r="AN24" i="21"/>
  <c r="L106" i="20"/>
  <c r="L110" i="20"/>
  <c r="L112" i="20" s="1"/>
  <c r="M109" i="20" s="1"/>
  <c r="K84" i="20"/>
  <c r="K132" i="20" s="1"/>
  <c r="L80" i="20"/>
  <c r="L76" i="20"/>
  <c r="AO29" i="31" l="1"/>
  <c r="AO27" i="31"/>
  <c r="AL40" i="32"/>
  <c r="AL42" i="32" s="1"/>
  <c r="AL43" i="32" s="1"/>
  <c r="AL17" i="32"/>
  <c r="AL20" i="32"/>
  <c r="AL21" i="32" s="1"/>
  <c r="AM30" i="31"/>
  <c r="AN30" i="31" s="1"/>
  <c r="AM33" i="31"/>
  <c r="AM34" i="31" s="1"/>
  <c r="AN34" i="31" s="1"/>
  <c r="AN29" i="31"/>
  <c r="AN33" i="31" s="1"/>
  <c r="AM16" i="31"/>
  <c r="AM14" i="31"/>
  <c r="AN14" i="31" s="1"/>
  <c r="AM16" i="32"/>
  <c r="AM14" i="32"/>
  <c r="AN14" i="32" s="1"/>
  <c r="AL40" i="31"/>
  <c r="AL42" i="31" s="1"/>
  <c r="AL43" i="31" s="1"/>
  <c r="AL17" i="31"/>
  <c r="AL20" i="31"/>
  <c r="AL21" i="31" s="1"/>
  <c r="AO29" i="32"/>
  <c r="AO27" i="32"/>
  <c r="AM30" i="32"/>
  <c r="AN30" i="32" s="1"/>
  <c r="AM33" i="32"/>
  <c r="AM34" i="32" s="1"/>
  <c r="AN34" i="32" s="1"/>
  <c r="AN29" i="32"/>
  <c r="AN33" i="32" s="1"/>
  <c r="AG29" i="26"/>
  <c r="AG27" i="26"/>
  <c r="AG16" i="25"/>
  <c r="AG14" i="25"/>
  <c r="AF40" i="25"/>
  <c r="AF42" i="25" s="1"/>
  <c r="AF43" i="25" s="1"/>
  <c r="AF17" i="25"/>
  <c r="AF20" i="25"/>
  <c r="AF21" i="25" s="1"/>
  <c r="AG16" i="26"/>
  <c r="AG14" i="26"/>
  <c r="AG30" i="25"/>
  <c r="AG33" i="25"/>
  <c r="AG34" i="25" s="1"/>
  <c r="AF40" i="26"/>
  <c r="AF42" i="26" s="1"/>
  <c r="AF43" i="26" s="1"/>
  <c r="AF17" i="26"/>
  <c r="AF20" i="26"/>
  <c r="AF21" i="26" s="1"/>
  <c r="AF30" i="26"/>
  <c r="AF33" i="26"/>
  <c r="AF34" i="26" s="1"/>
  <c r="AH29" i="25"/>
  <c r="AH27" i="25"/>
  <c r="L136" i="20"/>
  <c r="M38" i="22"/>
  <c r="N36" i="22"/>
  <c r="AM38" i="22"/>
  <c r="AN38" i="22" s="1"/>
  <c r="AN36" i="22"/>
  <c r="Z38" i="22"/>
  <c r="AA38" i="22" s="1"/>
  <c r="AA36" i="22"/>
  <c r="BM38" i="22"/>
  <c r="AZ38" i="22"/>
  <c r="BA38" i="22" s="1"/>
  <c r="BA36" i="22"/>
  <c r="BN27" i="21"/>
  <c r="N37" i="21"/>
  <c r="BA27" i="21"/>
  <c r="K133" i="20"/>
  <c r="K137" i="20" s="1"/>
  <c r="K138" i="20" s="1"/>
  <c r="K140" i="20" s="1"/>
  <c r="M70" i="20"/>
  <c r="L82" i="20"/>
  <c r="M79" i="20" s="1"/>
  <c r="L114" i="20"/>
  <c r="M100" i="20"/>
  <c r="AO30" i="32" l="1"/>
  <c r="AO33" i="32"/>
  <c r="AO34" i="32" s="1"/>
  <c r="AO16" i="32"/>
  <c r="AO14" i="32"/>
  <c r="AM40" i="32"/>
  <c r="AM42" i="32" s="1"/>
  <c r="AM43" i="32" s="1"/>
  <c r="AN43" i="32" s="1"/>
  <c r="AM17" i="32"/>
  <c r="AN17" i="32" s="1"/>
  <c r="AM20" i="32"/>
  <c r="AM21" i="32" s="1"/>
  <c r="AN21" i="32" s="1"/>
  <c r="AN16" i="32"/>
  <c r="AO16" i="31"/>
  <c r="AO14" i="31"/>
  <c r="AP29" i="31"/>
  <c r="AP27" i="31"/>
  <c r="AP29" i="32"/>
  <c r="AP27" i="32"/>
  <c r="AM40" i="31"/>
  <c r="AM42" i="31" s="1"/>
  <c r="AM43" i="31" s="1"/>
  <c r="AN43" i="31" s="1"/>
  <c r="AM17" i="31"/>
  <c r="AN17" i="31" s="1"/>
  <c r="AM20" i="31"/>
  <c r="AM21" i="31" s="1"/>
  <c r="AN21" i="31" s="1"/>
  <c r="AN16" i="31"/>
  <c r="AO30" i="31"/>
  <c r="AO33" i="31"/>
  <c r="AO34" i="31" s="1"/>
  <c r="AH16" i="25"/>
  <c r="AH14" i="25"/>
  <c r="AG40" i="25"/>
  <c r="AG42" i="25" s="1"/>
  <c r="AG43" i="25" s="1"/>
  <c r="AG17" i="25"/>
  <c r="AG20" i="25"/>
  <c r="AG21" i="25" s="1"/>
  <c r="AI29" i="25"/>
  <c r="AI27" i="25"/>
  <c r="AH29" i="26"/>
  <c r="AH27" i="26"/>
  <c r="AG40" i="26"/>
  <c r="AG42" i="26" s="1"/>
  <c r="AG43" i="26" s="1"/>
  <c r="AG17" i="26"/>
  <c r="AG20" i="26"/>
  <c r="AG21" i="26" s="1"/>
  <c r="AH30" i="25"/>
  <c r="AH33" i="25"/>
  <c r="AH34" i="25" s="1"/>
  <c r="AH16" i="26"/>
  <c r="AH14" i="26"/>
  <c r="AG30" i="26"/>
  <c r="AG33" i="26"/>
  <c r="AG34" i="26" s="1"/>
  <c r="L84" i="20"/>
  <c r="L132" i="20" s="1"/>
  <c r="M80" i="20"/>
  <c r="M76" i="20"/>
  <c r="M106" i="20"/>
  <c r="M110" i="20"/>
  <c r="M112" i="20" s="1"/>
  <c r="N109" i="20" s="1"/>
  <c r="AQ29" i="32" l="1"/>
  <c r="AQ27" i="32"/>
  <c r="AP30" i="32"/>
  <c r="AP33" i="32"/>
  <c r="AP34" i="32" s="1"/>
  <c r="AQ29" i="31"/>
  <c r="AQ27" i="31"/>
  <c r="AP16" i="32"/>
  <c r="AP14" i="32"/>
  <c r="AP30" i="31"/>
  <c r="AP33" i="31"/>
  <c r="AP34" i="31" s="1"/>
  <c r="AO40" i="32"/>
  <c r="AO42" i="32" s="1"/>
  <c r="AO43" i="32" s="1"/>
  <c r="AO17" i="32"/>
  <c r="AO20" i="32"/>
  <c r="AO21" i="32" s="1"/>
  <c r="AN40" i="31"/>
  <c r="AN42" i="31" s="1"/>
  <c r="AN20" i="31"/>
  <c r="AO40" i="31"/>
  <c r="AO42" i="31" s="1"/>
  <c r="AO43" i="31" s="1"/>
  <c r="AO17" i="31"/>
  <c r="AO20" i="31"/>
  <c r="AO21" i="31" s="1"/>
  <c r="AP16" i="31"/>
  <c r="AP14" i="31"/>
  <c r="AN40" i="32"/>
  <c r="AN42" i="32" s="1"/>
  <c r="AN20" i="32"/>
  <c r="AJ29" i="25"/>
  <c r="AJ27" i="25"/>
  <c r="AI30" i="25"/>
  <c r="AI33" i="25"/>
  <c r="AI34" i="25" s="1"/>
  <c r="AI16" i="26"/>
  <c r="AI14" i="26"/>
  <c r="AI16" i="25"/>
  <c r="AI14" i="25"/>
  <c r="AH30" i="26"/>
  <c r="AH33" i="26"/>
  <c r="AH34" i="26" s="1"/>
  <c r="AH40" i="26"/>
  <c r="AH42" i="26" s="1"/>
  <c r="AH43" i="26" s="1"/>
  <c r="AH17" i="26"/>
  <c r="AH20" i="26"/>
  <c r="AH21" i="26" s="1"/>
  <c r="AI29" i="26"/>
  <c r="AI27" i="26"/>
  <c r="AH40" i="25"/>
  <c r="AH42" i="25" s="1"/>
  <c r="AH43" i="25" s="1"/>
  <c r="AH17" i="25"/>
  <c r="AH20" i="25"/>
  <c r="AH21" i="25" s="1"/>
  <c r="M136" i="20"/>
  <c r="L133" i="20"/>
  <c r="L137" i="20" s="1"/>
  <c r="L138" i="20" s="1"/>
  <c r="L140" i="20" s="1"/>
  <c r="M114" i="20"/>
  <c r="N100" i="20"/>
  <c r="N70" i="20"/>
  <c r="M82" i="20"/>
  <c r="N79" i="20" s="1"/>
  <c r="AQ16" i="32" l="1"/>
  <c r="AQ14" i="32"/>
  <c r="AQ16" i="31"/>
  <c r="AQ14" i="31"/>
  <c r="AP40" i="32"/>
  <c r="AP42" i="32" s="1"/>
  <c r="AP43" i="32" s="1"/>
  <c r="AP17" i="32"/>
  <c r="AP20" i="32"/>
  <c r="AP21" i="32" s="1"/>
  <c r="AP40" i="31"/>
  <c r="AP42" i="31" s="1"/>
  <c r="AP43" i="31" s="1"/>
  <c r="AP17" i="31"/>
  <c r="AP20" i="31"/>
  <c r="AP21" i="31" s="1"/>
  <c r="AR29" i="31"/>
  <c r="AR27" i="31"/>
  <c r="AQ30" i="31"/>
  <c r="AQ33" i="31"/>
  <c r="AQ34" i="31" s="1"/>
  <c r="AR29" i="32"/>
  <c r="AR27" i="32"/>
  <c r="AQ30" i="32"/>
  <c r="AQ33" i="32"/>
  <c r="AQ34" i="32" s="1"/>
  <c r="AJ29" i="26"/>
  <c r="AJ27" i="26"/>
  <c r="AI40" i="25"/>
  <c r="AI42" i="25" s="1"/>
  <c r="AI43" i="25" s="1"/>
  <c r="AI17" i="25"/>
  <c r="AI20" i="25"/>
  <c r="AI21" i="25" s="1"/>
  <c r="AI30" i="26"/>
  <c r="AI33" i="26"/>
  <c r="AI34" i="26" s="1"/>
  <c r="AI40" i="26"/>
  <c r="AI42" i="26" s="1"/>
  <c r="AI43" i="26" s="1"/>
  <c r="AI17" i="26"/>
  <c r="AI20" i="26"/>
  <c r="AI21" i="26" s="1"/>
  <c r="AK29" i="25"/>
  <c r="AK27" i="25"/>
  <c r="AJ16" i="25"/>
  <c r="AJ14" i="25"/>
  <c r="AJ16" i="26"/>
  <c r="AJ14" i="26"/>
  <c r="AJ30" i="25"/>
  <c r="AJ33" i="25"/>
  <c r="AJ34" i="25" s="1"/>
  <c r="M84" i="20"/>
  <c r="M132" i="20" s="1"/>
  <c r="N80" i="20"/>
  <c r="N76" i="20"/>
  <c r="N110" i="20"/>
  <c r="N112" i="20" s="1"/>
  <c r="N106" i="20"/>
  <c r="AS29" i="31" l="1"/>
  <c r="AS27" i="31"/>
  <c r="AS29" i="32"/>
  <c r="AS27" i="32"/>
  <c r="AR16" i="32"/>
  <c r="AR14" i="32"/>
  <c r="AQ40" i="32"/>
  <c r="AQ42" i="32" s="1"/>
  <c r="AQ43" i="32" s="1"/>
  <c r="AQ17" i="32"/>
  <c r="AQ20" i="32"/>
  <c r="AQ21" i="32" s="1"/>
  <c r="AR16" i="31"/>
  <c r="AR14" i="31"/>
  <c r="AQ40" i="31"/>
  <c r="AQ42" i="31" s="1"/>
  <c r="AQ43" i="31" s="1"/>
  <c r="AQ17" i="31"/>
  <c r="AQ20" i="31"/>
  <c r="AQ21" i="31" s="1"/>
  <c r="AR30" i="31"/>
  <c r="AR33" i="31"/>
  <c r="AR34" i="31" s="1"/>
  <c r="AR30" i="32"/>
  <c r="AR33" i="32"/>
  <c r="AR34" i="32" s="1"/>
  <c r="AJ40" i="26"/>
  <c r="AJ42" i="26" s="1"/>
  <c r="AJ43" i="26" s="1"/>
  <c r="AJ17" i="26"/>
  <c r="AJ20" i="26"/>
  <c r="AJ21" i="26" s="1"/>
  <c r="AJ40" i="25"/>
  <c r="AJ42" i="25" s="1"/>
  <c r="AJ43" i="25" s="1"/>
  <c r="AJ17" i="25"/>
  <c r="AJ20" i="25"/>
  <c r="AJ21" i="25" s="1"/>
  <c r="AL29" i="25"/>
  <c r="AL27" i="25"/>
  <c r="AK30" i="25"/>
  <c r="AK33" i="25"/>
  <c r="AK34" i="25" s="1"/>
  <c r="AK29" i="26"/>
  <c r="AK27" i="26"/>
  <c r="AK16" i="25"/>
  <c r="AK14" i="25"/>
  <c r="AK16" i="26"/>
  <c r="AK14" i="26"/>
  <c r="AJ30" i="26"/>
  <c r="AJ33" i="26"/>
  <c r="AJ34" i="26" s="1"/>
  <c r="N114" i="20"/>
  <c r="N136" i="20"/>
  <c r="M133" i="20"/>
  <c r="M137" i="20" s="1"/>
  <c r="M138" i="20" s="1"/>
  <c r="M140" i="20" s="1"/>
  <c r="N82" i="20"/>
  <c r="N84" i="20" s="1"/>
  <c r="AR40" i="32" l="1"/>
  <c r="AR42" i="32" s="1"/>
  <c r="AR43" i="32" s="1"/>
  <c r="AR17" i="32"/>
  <c r="AR20" i="32"/>
  <c r="AR21" i="32" s="1"/>
  <c r="AS16" i="32"/>
  <c r="AS14" i="32"/>
  <c r="AT29" i="32"/>
  <c r="AT27" i="32"/>
  <c r="AS16" i="31"/>
  <c r="AS14" i="31"/>
  <c r="AS30" i="32"/>
  <c r="AS33" i="32"/>
  <c r="AS34" i="32" s="1"/>
  <c r="AR40" i="31"/>
  <c r="AR42" i="31" s="1"/>
  <c r="AR43" i="31" s="1"/>
  <c r="AR17" i="31"/>
  <c r="AR20" i="31"/>
  <c r="AR21" i="31" s="1"/>
  <c r="AT29" i="31"/>
  <c r="AT27" i="31"/>
  <c r="AS30" i="31"/>
  <c r="AS33" i="31"/>
  <c r="AS34" i="31" s="1"/>
  <c r="AK40" i="26"/>
  <c r="AK42" i="26" s="1"/>
  <c r="AK43" i="26" s="1"/>
  <c r="AK17" i="26"/>
  <c r="AK20" i="26"/>
  <c r="AK21" i="26" s="1"/>
  <c r="AM29" i="25"/>
  <c r="AM27" i="25"/>
  <c r="AN27" i="25" s="1"/>
  <c r="AK17" i="25"/>
  <c r="AK40" i="25"/>
  <c r="AK42" i="25" s="1"/>
  <c r="AK43" i="25" s="1"/>
  <c r="AK20" i="25"/>
  <c r="AK21" i="25" s="1"/>
  <c r="AL16" i="26"/>
  <c r="AL14" i="26"/>
  <c r="AL30" i="25"/>
  <c r="AL33" i="25"/>
  <c r="AL34" i="25" s="1"/>
  <c r="AL16" i="25"/>
  <c r="AL14" i="25"/>
  <c r="AL29" i="26"/>
  <c r="AL27" i="26"/>
  <c r="AK30" i="26"/>
  <c r="AK33" i="26"/>
  <c r="AK34" i="26" s="1"/>
  <c r="N132" i="20"/>
  <c r="N133" i="20" s="1"/>
  <c r="N137" i="20" s="1"/>
  <c r="N138" i="20"/>
  <c r="N140" i="20" s="1"/>
  <c r="AT16" i="31" l="1"/>
  <c r="AT14" i="31"/>
  <c r="AU29" i="31"/>
  <c r="AU27" i="31"/>
  <c r="AS40" i="31"/>
  <c r="AS42" i="31" s="1"/>
  <c r="AS43" i="31" s="1"/>
  <c r="AS17" i="31"/>
  <c r="AS20" i="31"/>
  <c r="AS21" i="31" s="1"/>
  <c r="AT30" i="31"/>
  <c r="AT33" i="31"/>
  <c r="AT34" i="31" s="1"/>
  <c r="AU29" i="32"/>
  <c r="AU27" i="32"/>
  <c r="AT30" i="32"/>
  <c r="AT33" i="32"/>
  <c r="AT34" i="32" s="1"/>
  <c r="AT16" i="32"/>
  <c r="AT14" i="32"/>
  <c r="AS40" i="32"/>
  <c r="AS42" i="32" s="1"/>
  <c r="AS43" i="32" s="1"/>
  <c r="AS17" i="32"/>
  <c r="AS20" i="32"/>
  <c r="AS21" i="32" s="1"/>
  <c r="AM16" i="25"/>
  <c r="AM14" i="25"/>
  <c r="AN14" i="25" s="1"/>
  <c r="AL40" i="25"/>
  <c r="AL42" i="25" s="1"/>
  <c r="AL43" i="25" s="1"/>
  <c r="AL17" i="25"/>
  <c r="AL20" i="25"/>
  <c r="AL21" i="25" s="1"/>
  <c r="AM16" i="26"/>
  <c r="AM14" i="26"/>
  <c r="AN14" i="26" s="1"/>
  <c r="AM29" i="26"/>
  <c r="AM27" i="26"/>
  <c r="AN27" i="26" s="1"/>
  <c r="AL30" i="26"/>
  <c r="AL33" i="26"/>
  <c r="AL34" i="26" s="1"/>
  <c r="AO29" i="25"/>
  <c r="AO27" i="25"/>
  <c r="AM30" i="25"/>
  <c r="AN30" i="25" s="1"/>
  <c r="AM33" i="25"/>
  <c r="AM34" i="25" s="1"/>
  <c r="AN34" i="25" s="1"/>
  <c r="AN29" i="25"/>
  <c r="AN33" i="25" s="1"/>
  <c r="AL40" i="26"/>
  <c r="AL42" i="26" s="1"/>
  <c r="AL43" i="26" s="1"/>
  <c r="AL17" i="26"/>
  <c r="AL20" i="26"/>
  <c r="AL21" i="26" s="1"/>
  <c r="AE5" i="19"/>
  <c r="BK9" i="21" s="1"/>
  <c r="AU16" i="32" l="1"/>
  <c r="AU14" i="32"/>
  <c r="AT40" i="31"/>
  <c r="AT42" i="31" s="1"/>
  <c r="AT43" i="31" s="1"/>
  <c r="AT17" i="31"/>
  <c r="AT20" i="31"/>
  <c r="AT21" i="31" s="1"/>
  <c r="AT40" i="32"/>
  <c r="AT42" i="32" s="1"/>
  <c r="AT43" i="32" s="1"/>
  <c r="AT17" i="32"/>
  <c r="AT20" i="32"/>
  <c r="AT21" i="32" s="1"/>
  <c r="AU30" i="32"/>
  <c r="AU33" i="32"/>
  <c r="AU34" i="32" s="1"/>
  <c r="AV29" i="32"/>
  <c r="AV27" i="32"/>
  <c r="AV29" i="31"/>
  <c r="AV27" i="31"/>
  <c r="AU30" i="31"/>
  <c r="AU33" i="31"/>
  <c r="AU34" i="31" s="1"/>
  <c r="AU16" i="31"/>
  <c r="AU14" i="31"/>
  <c r="AM40" i="26"/>
  <c r="AM42" i="26" s="1"/>
  <c r="AM43" i="26" s="1"/>
  <c r="AN43" i="26" s="1"/>
  <c r="AM17" i="26"/>
  <c r="AN17" i="26" s="1"/>
  <c r="AM20" i="26"/>
  <c r="AM21" i="26" s="1"/>
  <c r="AN21" i="26" s="1"/>
  <c r="AN16" i="26"/>
  <c r="AO16" i="26"/>
  <c r="AO14" i="26"/>
  <c r="AO30" i="25"/>
  <c r="AO33" i="25"/>
  <c r="AO34" i="25" s="1"/>
  <c r="AP29" i="25"/>
  <c r="AP27" i="25"/>
  <c r="AO16" i="25"/>
  <c r="AO14" i="25"/>
  <c r="AM30" i="26"/>
  <c r="AN30" i="26" s="1"/>
  <c r="AM33" i="26"/>
  <c r="AM34" i="26" s="1"/>
  <c r="AN34" i="26" s="1"/>
  <c r="AN29" i="26"/>
  <c r="AN33" i="26" s="1"/>
  <c r="AO29" i="26"/>
  <c r="AO27" i="26"/>
  <c r="AM40" i="25"/>
  <c r="AM42" i="25" s="1"/>
  <c r="AM43" i="25" s="1"/>
  <c r="AN43" i="25" s="1"/>
  <c r="AM17" i="25"/>
  <c r="AN17" i="25" s="1"/>
  <c r="AM20" i="25"/>
  <c r="AM21" i="25" s="1"/>
  <c r="AN21" i="25" s="1"/>
  <c r="AN16" i="25"/>
  <c r="O5" i="21"/>
  <c r="AV64" i="12"/>
  <c r="BR62" i="12"/>
  <c r="BP62" i="12"/>
  <c r="BL62" i="12"/>
  <c r="BH62" i="12"/>
  <c r="AV62" i="12"/>
  <c r="AX62" i="12" s="1"/>
  <c r="AM62" i="12"/>
  <c r="X62" i="12"/>
  <c r="W62" i="12"/>
  <c r="V62" i="12"/>
  <c r="P62" i="12"/>
  <c r="BQ62" i="12" s="1"/>
  <c r="J62" i="12"/>
  <c r="AW62" i="12" s="1"/>
  <c r="AA62" i="12"/>
  <c r="BR61" i="12"/>
  <c r="BP61" i="12"/>
  <c r="BL61" i="12"/>
  <c r="BH61" i="12"/>
  <c r="AV61" i="12"/>
  <c r="AX61" i="12" s="1"/>
  <c r="X61" i="12"/>
  <c r="W61" i="12"/>
  <c r="V61" i="12"/>
  <c r="P61" i="12"/>
  <c r="BQ61" i="12" s="1"/>
  <c r="BS61" i="12" s="1"/>
  <c r="J61" i="12"/>
  <c r="AW61" i="12" s="1"/>
  <c r="AM61" i="12"/>
  <c r="AG62" i="12"/>
  <c r="AA61" i="12"/>
  <c r="BR60" i="12"/>
  <c r="BP60" i="12"/>
  <c r="BL60" i="12"/>
  <c r="BH60" i="12"/>
  <c r="AV60" i="12"/>
  <c r="AA60" i="12"/>
  <c r="X60" i="12"/>
  <c r="W60" i="12"/>
  <c r="V60" i="12"/>
  <c r="P60" i="12"/>
  <c r="BQ60" i="12" s="1"/>
  <c r="BS60" i="12" s="1"/>
  <c r="J60" i="12"/>
  <c r="AW60" i="12" s="1"/>
  <c r="AY60" i="12" s="1"/>
  <c r="AM60" i="12"/>
  <c r="AG61" i="12"/>
  <c r="BR59" i="12"/>
  <c r="BQ59" i="12"/>
  <c r="BP59" i="12"/>
  <c r="BL59" i="12"/>
  <c r="BH59" i="12"/>
  <c r="AW59" i="12"/>
  <c r="AV59" i="12"/>
  <c r="AX59" i="12" s="1"/>
  <c r="AG59" i="12"/>
  <c r="X59" i="12"/>
  <c r="W59" i="12"/>
  <c r="V59" i="12"/>
  <c r="P59" i="12"/>
  <c r="J59" i="12"/>
  <c r="AM59" i="12"/>
  <c r="AG60" i="12"/>
  <c r="AA59" i="12"/>
  <c r="BR58" i="12"/>
  <c r="BP58" i="12"/>
  <c r="BL58" i="12"/>
  <c r="BF58" i="12"/>
  <c r="BH58" i="12" s="1"/>
  <c r="AV58" i="12"/>
  <c r="AX58" i="12" s="1"/>
  <c r="BC58" i="12" s="1"/>
  <c r="AM58" i="12"/>
  <c r="AG58" i="12"/>
  <c r="X58" i="12"/>
  <c r="W58" i="12"/>
  <c r="V58" i="12"/>
  <c r="P58" i="12"/>
  <c r="BQ58" i="12" s="1"/>
  <c r="BS58" i="12" s="1"/>
  <c r="J58" i="12"/>
  <c r="AW58" i="12" s="1"/>
  <c r="AY58" i="12" s="1"/>
  <c r="AL58" i="12"/>
  <c r="AQ58" i="12" s="1"/>
  <c r="AA58" i="12"/>
  <c r="BR57" i="12"/>
  <c r="BP57" i="12"/>
  <c r="BL57" i="12"/>
  <c r="BH57" i="12"/>
  <c r="BF57" i="12"/>
  <c r="AV57" i="12"/>
  <c r="AX57" i="12" s="1"/>
  <c r="AL57" i="12"/>
  <c r="X57" i="12"/>
  <c r="W57" i="12"/>
  <c r="V57" i="12"/>
  <c r="P57" i="12"/>
  <c r="BQ57" i="12" s="1"/>
  <c r="BS57" i="12" s="1"/>
  <c r="J57" i="12"/>
  <c r="AW57" i="12" s="1"/>
  <c r="AM57" i="12"/>
  <c r="AA57" i="12"/>
  <c r="BR56" i="12"/>
  <c r="BP56" i="12"/>
  <c r="BL56" i="12"/>
  <c r="BF56" i="12"/>
  <c r="BH56" i="12" s="1"/>
  <c r="AV56" i="12"/>
  <c r="AX56" i="12" s="1"/>
  <c r="AG56" i="12"/>
  <c r="X56" i="12"/>
  <c r="W56" i="12"/>
  <c r="V56" i="12"/>
  <c r="U56" i="12" s="1"/>
  <c r="P56" i="12"/>
  <c r="BQ56" i="12" s="1"/>
  <c r="BS56" i="12" s="1"/>
  <c r="J56" i="12"/>
  <c r="AW56" i="12" s="1"/>
  <c r="AY56" i="12" s="1"/>
  <c r="BC56" i="12" s="1"/>
  <c r="AM56" i="12"/>
  <c r="AG57" i="12"/>
  <c r="AA56" i="12"/>
  <c r="BR55" i="12"/>
  <c r="BP55" i="12"/>
  <c r="BL55" i="12"/>
  <c r="BF55" i="12"/>
  <c r="BH55" i="12" s="1"/>
  <c r="AV55" i="12"/>
  <c r="AX55" i="12" s="1"/>
  <c r="AM55" i="12"/>
  <c r="X55" i="12"/>
  <c r="W55" i="12"/>
  <c r="V55" i="12"/>
  <c r="P55" i="12"/>
  <c r="BQ55" i="12" s="1"/>
  <c r="BS55" i="12" s="1"/>
  <c r="J55" i="12"/>
  <c r="AW55" i="12" s="1"/>
  <c r="AL55" i="12"/>
  <c r="AA55" i="12"/>
  <c r="BR54" i="12"/>
  <c r="BP54" i="12"/>
  <c r="BL54" i="12"/>
  <c r="BH54" i="12"/>
  <c r="AV54" i="12"/>
  <c r="AX54" i="12" s="1"/>
  <c r="AM54" i="12"/>
  <c r="X54" i="12"/>
  <c r="W54" i="12"/>
  <c r="V54" i="12"/>
  <c r="P54" i="12"/>
  <c r="BQ54" i="12" s="1"/>
  <c r="J54" i="12"/>
  <c r="AW54" i="12" s="1"/>
  <c r="AG55" i="12"/>
  <c r="AA54" i="12"/>
  <c r="BR53" i="12"/>
  <c r="BQ53" i="12"/>
  <c r="BS53" i="12" s="1"/>
  <c r="BP53" i="12"/>
  <c r="BL53" i="12"/>
  <c r="BH53" i="12"/>
  <c r="AW53" i="12"/>
  <c r="AY53" i="12" s="1"/>
  <c r="AV53" i="12"/>
  <c r="AX53" i="12" s="1"/>
  <c r="BC53" i="12" s="1"/>
  <c r="AG53" i="12"/>
  <c r="X53" i="12"/>
  <c r="W53" i="12"/>
  <c r="V53" i="12"/>
  <c r="P53" i="12"/>
  <c r="J53" i="12"/>
  <c r="AM53" i="12"/>
  <c r="AG54" i="12"/>
  <c r="AA53" i="12"/>
  <c r="BR52" i="12"/>
  <c r="BP52" i="12"/>
  <c r="BL52" i="12"/>
  <c r="BH52" i="12"/>
  <c r="AV52" i="12"/>
  <c r="AX52" i="12" s="1"/>
  <c r="AT52" i="12"/>
  <c r="AL52" i="12"/>
  <c r="AG52" i="12"/>
  <c r="AA52" i="12"/>
  <c r="X52" i="12"/>
  <c r="W52" i="12"/>
  <c r="V52" i="12"/>
  <c r="U52" i="12"/>
  <c r="P52" i="12"/>
  <c r="BQ52" i="12" s="1"/>
  <c r="BS52" i="12" s="1"/>
  <c r="J52" i="12"/>
  <c r="AW52" i="12" s="1"/>
  <c r="AM52" i="12"/>
  <c r="BR51" i="12"/>
  <c r="BP51" i="12"/>
  <c r="BL51" i="12"/>
  <c r="BH51" i="12"/>
  <c r="AW51" i="12"/>
  <c r="AY51" i="12" s="1"/>
  <c r="AV51" i="12"/>
  <c r="BA55" i="12" s="1"/>
  <c r="AL51" i="12"/>
  <c r="X51" i="12"/>
  <c r="W51" i="12"/>
  <c r="U51" i="12" s="1"/>
  <c r="V51" i="12"/>
  <c r="P51" i="12"/>
  <c r="BQ51" i="12" s="1"/>
  <c r="J51" i="12"/>
  <c r="AM51" i="12"/>
  <c r="AA51" i="12"/>
  <c r="BR50" i="12"/>
  <c r="BP50" i="12"/>
  <c r="BL50" i="12"/>
  <c r="BH50" i="12"/>
  <c r="AV50" i="12"/>
  <c r="AX50" i="12" s="1"/>
  <c r="AM50" i="12"/>
  <c r="AA50" i="12"/>
  <c r="X50" i="12"/>
  <c r="W50" i="12"/>
  <c r="V50" i="12"/>
  <c r="U50" i="12" s="1"/>
  <c r="P50" i="12"/>
  <c r="BQ50" i="12" s="1"/>
  <c r="J50" i="12"/>
  <c r="AW50" i="12" s="1"/>
  <c r="AY50" i="12" s="1"/>
  <c r="AG51" i="12"/>
  <c r="AQ51" i="12" s="1"/>
  <c r="BR49" i="12"/>
  <c r="BQ49" i="12"/>
  <c r="BP49" i="12"/>
  <c r="BL49" i="12"/>
  <c r="BH49" i="12"/>
  <c r="AV49" i="12"/>
  <c r="AM49" i="12"/>
  <c r="AG49" i="12"/>
  <c r="X49" i="12"/>
  <c r="W49" i="12"/>
  <c r="V49" i="12"/>
  <c r="U49" i="12" s="1"/>
  <c r="P49" i="12"/>
  <c r="J49" i="12"/>
  <c r="AW49" i="12" s="1"/>
  <c r="AY49" i="12" s="1"/>
  <c r="AX49" i="12"/>
  <c r="AG50" i="12"/>
  <c r="AA49" i="12"/>
  <c r="BR48" i="12"/>
  <c r="BP48" i="12"/>
  <c r="BL48" i="12"/>
  <c r="BH48" i="12"/>
  <c r="AV48" i="12"/>
  <c r="AM48" i="12"/>
  <c r="AL48" i="12"/>
  <c r="AA48" i="12"/>
  <c r="X48" i="12"/>
  <c r="W48" i="12"/>
  <c r="V48" i="12"/>
  <c r="P48" i="12"/>
  <c r="BQ48" i="12" s="1"/>
  <c r="J48" i="12"/>
  <c r="AW48" i="12" s="1"/>
  <c r="AX48" i="12"/>
  <c r="BR47" i="12"/>
  <c r="BS47" i="12" s="1"/>
  <c r="BQ47" i="12"/>
  <c r="BP47" i="12"/>
  <c r="BL47" i="12"/>
  <c r="BF47" i="12"/>
  <c r="BH47" i="12" s="1"/>
  <c r="AV47" i="12"/>
  <c r="AM47" i="12"/>
  <c r="AL47" i="12"/>
  <c r="X47" i="12"/>
  <c r="U47" i="12" s="1"/>
  <c r="W47" i="12"/>
  <c r="V47" i="12"/>
  <c r="P47" i="12"/>
  <c r="J47" i="12"/>
  <c r="AW47" i="12" s="1"/>
  <c r="AX47" i="12"/>
  <c r="AG48" i="12"/>
  <c r="AA47" i="12"/>
  <c r="BR46" i="12"/>
  <c r="BP46" i="12"/>
  <c r="BL46" i="12"/>
  <c r="BF46" i="12"/>
  <c r="BH46" i="12" s="1"/>
  <c r="AV46" i="12"/>
  <c r="AX46" i="12" s="1"/>
  <c r="AM46" i="12"/>
  <c r="AG46" i="12"/>
  <c r="X46" i="12"/>
  <c r="W46" i="12"/>
  <c r="U46" i="12" s="1"/>
  <c r="V46" i="12"/>
  <c r="P46" i="12"/>
  <c r="BQ46" i="12" s="1"/>
  <c r="BS46" i="12" s="1"/>
  <c r="J46" i="12"/>
  <c r="AW46" i="12" s="1"/>
  <c r="AA46" i="12"/>
  <c r="BR45" i="12"/>
  <c r="BP45" i="12"/>
  <c r="BL45" i="12"/>
  <c r="BH45" i="12"/>
  <c r="BF45" i="12"/>
  <c r="AV45" i="12"/>
  <c r="AX45" i="12" s="1"/>
  <c r="AM45" i="12"/>
  <c r="AA45" i="12"/>
  <c r="X45" i="12"/>
  <c r="W45" i="12"/>
  <c r="V45" i="12"/>
  <c r="U45" i="12" s="1"/>
  <c r="P45" i="12"/>
  <c r="BQ45" i="12" s="1"/>
  <c r="J45" i="12"/>
  <c r="AW45" i="12" s="1"/>
  <c r="AY45" i="12" s="1"/>
  <c r="AL45" i="12"/>
  <c r="BR44" i="12"/>
  <c r="BP44" i="12"/>
  <c r="BL44" i="12"/>
  <c r="BF44" i="12"/>
  <c r="BH44" i="12" s="1"/>
  <c r="AV44" i="12"/>
  <c r="AX44" i="12" s="1"/>
  <c r="AM44" i="12"/>
  <c r="AL44" i="12"/>
  <c r="AQ44" i="12" s="1"/>
  <c r="AA44" i="12"/>
  <c r="X44" i="12"/>
  <c r="W44" i="12"/>
  <c r="V44" i="12"/>
  <c r="U44" i="12" s="1"/>
  <c r="P44" i="12"/>
  <c r="BQ44" i="12" s="1"/>
  <c r="BS44" i="12" s="1"/>
  <c r="J44" i="12"/>
  <c r="AW44" i="12" s="1"/>
  <c r="AG45" i="12"/>
  <c r="BR43" i="12"/>
  <c r="BP43" i="12"/>
  <c r="BL43" i="12"/>
  <c r="BF43" i="12"/>
  <c r="BH43" i="12" s="1"/>
  <c r="AV43" i="12"/>
  <c r="AX43" i="12" s="1"/>
  <c r="AM43" i="12"/>
  <c r="AL43" i="12"/>
  <c r="X43" i="12"/>
  <c r="W43" i="12"/>
  <c r="V43" i="12"/>
  <c r="U43" i="12" s="1"/>
  <c r="P43" i="12"/>
  <c r="BQ43" i="12" s="1"/>
  <c r="J43" i="12"/>
  <c r="AW43" i="12" s="1"/>
  <c r="AG44" i="12"/>
  <c r="AA43" i="12"/>
  <c r="BR42" i="12"/>
  <c r="BP42" i="12"/>
  <c r="BL42" i="12"/>
  <c r="BF42" i="12"/>
  <c r="BH42" i="12" s="1"/>
  <c r="AW42" i="12"/>
  <c r="AV42" i="12"/>
  <c r="AX42" i="12" s="1"/>
  <c r="AM42" i="12"/>
  <c r="AG42" i="12"/>
  <c r="X42" i="12"/>
  <c r="W42" i="12"/>
  <c r="V42" i="12"/>
  <c r="P42" i="12"/>
  <c r="BQ42" i="12" s="1"/>
  <c r="K42" i="12"/>
  <c r="AA42" i="12"/>
  <c r="BR41" i="12"/>
  <c r="BP41" i="12"/>
  <c r="BL41" i="12"/>
  <c r="BH41" i="12"/>
  <c r="BF41" i="12"/>
  <c r="AW41" i="12"/>
  <c r="AY41" i="12" s="1"/>
  <c r="AV41" i="12"/>
  <c r="AX41" i="12" s="1"/>
  <c r="AM41" i="12"/>
  <c r="AA41" i="12"/>
  <c r="P41" i="12"/>
  <c r="BQ41" i="12" s="1"/>
  <c r="BS41" i="12" s="1"/>
  <c r="K41" i="12"/>
  <c r="AL41" i="12"/>
  <c r="BR40" i="12"/>
  <c r="BP40" i="12"/>
  <c r="BL40" i="12"/>
  <c r="BF40" i="12"/>
  <c r="BH40" i="12" s="1"/>
  <c r="AW40" i="12"/>
  <c r="AY40" i="12" s="1"/>
  <c r="AV40" i="12"/>
  <c r="AX40" i="12" s="1"/>
  <c r="AM40" i="12"/>
  <c r="AA40" i="12"/>
  <c r="P40" i="12"/>
  <c r="BQ40" i="12" s="1"/>
  <c r="K40" i="12"/>
  <c r="AL40" i="12"/>
  <c r="BR39" i="12"/>
  <c r="BP39" i="12"/>
  <c r="BL39" i="12"/>
  <c r="BF39" i="12"/>
  <c r="BH39" i="12" s="1"/>
  <c r="AW39" i="12"/>
  <c r="AV39" i="12"/>
  <c r="AX39" i="12" s="1"/>
  <c r="AM39" i="12"/>
  <c r="AG39" i="12"/>
  <c r="P39" i="12"/>
  <c r="BQ39" i="12" s="1"/>
  <c r="BS39" i="12" s="1"/>
  <c r="K39" i="12"/>
  <c r="AA39" i="12"/>
  <c r="BR38" i="12"/>
  <c r="BP38" i="12"/>
  <c r="BL38" i="12"/>
  <c r="BF38" i="12"/>
  <c r="BH38" i="12" s="1"/>
  <c r="AW38" i="12"/>
  <c r="AY38" i="12" s="1"/>
  <c r="BC38" i="12" s="1"/>
  <c r="AV38" i="12"/>
  <c r="AM38" i="12"/>
  <c r="AG38" i="12"/>
  <c r="P38" i="12"/>
  <c r="BQ38" i="12" s="1"/>
  <c r="K38" i="12"/>
  <c r="AX38" i="12"/>
  <c r="AL38" i="12"/>
  <c r="AA38" i="12"/>
  <c r="BR37" i="12"/>
  <c r="BP37" i="12"/>
  <c r="BL37" i="12"/>
  <c r="AV37" i="12"/>
  <c r="AX37" i="12" s="1"/>
  <c r="AM37" i="12"/>
  <c r="X37" i="12"/>
  <c r="P37" i="12"/>
  <c r="BQ37" i="12" s="1"/>
  <c r="BS37" i="12" s="1"/>
  <c r="K37" i="12"/>
  <c r="AW37" i="12" s="1"/>
  <c r="AL37" i="12"/>
  <c r="AA37" i="12"/>
  <c r="B38" i="12"/>
  <c r="BR36" i="12"/>
  <c r="BQ36" i="12"/>
  <c r="BS36" i="12" s="1"/>
  <c r="BP36" i="12"/>
  <c r="BL36" i="12"/>
  <c r="BJ36" i="12"/>
  <c r="BF36" i="12"/>
  <c r="BH36" i="12" s="1"/>
  <c r="AX36" i="12"/>
  <c r="AV36" i="12"/>
  <c r="AM36" i="12"/>
  <c r="AL36" i="12"/>
  <c r="X36" i="12"/>
  <c r="V36" i="12"/>
  <c r="U36" i="12" s="1"/>
  <c r="P36" i="12"/>
  <c r="K36" i="12"/>
  <c r="AW36" i="12" s="1"/>
  <c r="AY36" i="12" s="1"/>
  <c r="AG37" i="12"/>
  <c r="AA36" i="12"/>
  <c r="W36" i="12"/>
  <c r="A36" i="12"/>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BR35" i="12"/>
  <c r="BQ35" i="12"/>
  <c r="BS35" i="12" s="1"/>
  <c r="BP35" i="12"/>
  <c r="BL35" i="12"/>
  <c r="AV35" i="12"/>
  <c r="AX35" i="12" s="1"/>
  <c r="AM35" i="12"/>
  <c r="AG35" i="12"/>
  <c r="X35" i="12"/>
  <c r="P35" i="12"/>
  <c r="BF35" i="12" s="1"/>
  <c r="BH35" i="12" s="1"/>
  <c r="K35" i="12"/>
  <c r="AW35" i="12" s="1"/>
  <c r="AG36" i="12"/>
  <c r="AA35" i="12"/>
  <c r="W35" i="12"/>
  <c r="BR34" i="12"/>
  <c r="BP34" i="12"/>
  <c r="BL34" i="12"/>
  <c r="BF34" i="12"/>
  <c r="BH34" i="12" s="1"/>
  <c r="AV34" i="12"/>
  <c r="AX34" i="12" s="1"/>
  <c r="AM34" i="12"/>
  <c r="AL34" i="12"/>
  <c r="AA34" i="12"/>
  <c r="V34" i="12"/>
  <c r="P34" i="12"/>
  <c r="BQ34" i="12" s="1"/>
  <c r="K34" i="12"/>
  <c r="AW34" i="12" s="1"/>
  <c r="X34" i="12"/>
  <c r="BR33" i="12"/>
  <c r="BP33" i="12"/>
  <c r="BL33" i="12"/>
  <c r="AM33" i="12"/>
  <c r="AL33" i="12"/>
  <c r="P33" i="12"/>
  <c r="BF33" i="12" s="1"/>
  <c r="BH33" i="12" s="1"/>
  <c r="K33" i="12"/>
  <c r="AW33" i="12" s="1"/>
  <c r="AY33" i="12" s="1"/>
  <c r="AX33" i="12"/>
  <c r="AG34" i="12"/>
  <c r="X33" i="12"/>
  <c r="BR32" i="12"/>
  <c r="BP32" i="12"/>
  <c r="BL32" i="12"/>
  <c r="BF32" i="12"/>
  <c r="BH32" i="12" s="1"/>
  <c r="AM32" i="12"/>
  <c r="AG32" i="12"/>
  <c r="P32" i="12"/>
  <c r="BQ32" i="12" s="1"/>
  <c r="BS32" i="12" s="1"/>
  <c r="K32" i="12"/>
  <c r="AW32" i="12" s="1"/>
  <c r="AX32" i="12"/>
  <c r="AG33" i="12"/>
  <c r="BR31" i="12"/>
  <c r="BQ31" i="12"/>
  <c r="BS31" i="12" s="1"/>
  <c r="BP31" i="12"/>
  <c r="BL31" i="12"/>
  <c r="AM31" i="12"/>
  <c r="AH31" i="12"/>
  <c r="AG31" i="12"/>
  <c r="P31" i="12"/>
  <c r="BF31" i="12" s="1"/>
  <c r="BH31" i="12" s="1"/>
  <c r="K31" i="12"/>
  <c r="AW31" i="12" s="1"/>
  <c r="AX31" i="12"/>
  <c r="AL31" i="12"/>
  <c r="AQ31" i="12" s="1"/>
  <c r="BR30" i="12"/>
  <c r="BP30" i="12"/>
  <c r="BL30" i="12"/>
  <c r="AM30" i="12"/>
  <c r="X30" i="12"/>
  <c r="P30" i="12"/>
  <c r="BQ30" i="12" s="1"/>
  <c r="BS30" i="12" s="1"/>
  <c r="K30" i="12"/>
  <c r="AW30" i="12" s="1"/>
  <c r="AX30" i="12"/>
  <c r="AL30" i="12"/>
  <c r="W30" i="12"/>
  <c r="BR29" i="12"/>
  <c r="BP29" i="12"/>
  <c r="BL29" i="12"/>
  <c r="BH29" i="12"/>
  <c r="AM29" i="12"/>
  <c r="AL29" i="12"/>
  <c r="W29" i="12"/>
  <c r="P29" i="12"/>
  <c r="BF29" i="12" s="1"/>
  <c r="K29" i="12"/>
  <c r="AW29" i="12" s="1"/>
  <c r="AX29" i="12"/>
  <c r="AG30" i="12"/>
  <c r="V29" i="12"/>
  <c r="BR28" i="12"/>
  <c r="BP28" i="12"/>
  <c r="BL28" i="12"/>
  <c r="AX28" i="12"/>
  <c r="AM28" i="12"/>
  <c r="AG28" i="12"/>
  <c r="X28" i="12"/>
  <c r="V28" i="12"/>
  <c r="P28" i="12"/>
  <c r="BQ28" i="12" s="1"/>
  <c r="K28" i="12"/>
  <c r="AW28" i="12" s="1"/>
  <c r="AL28" i="12"/>
  <c r="W28" i="12"/>
  <c r="BR27" i="12"/>
  <c r="BQ27" i="12"/>
  <c r="BS27" i="12" s="1"/>
  <c r="BP27" i="12"/>
  <c r="BL27" i="12"/>
  <c r="AM27" i="12"/>
  <c r="AL27" i="12"/>
  <c r="X27" i="12"/>
  <c r="U27" i="12" s="1"/>
  <c r="W27" i="12"/>
  <c r="V27" i="12"/>
  <c r="P27" i="12"/>
  <c r="BF27" i="12" s="1"/>
  <c r="BH27" i="12" s="1"/>
  <c r="K27" i="12"/>
  <c r="AW27" i="12" s="1"/>
  <c r="AY27" i="12" s="1"/>
  <c r="AX27" i="12"/>
  <c r="BR26" i="12"/>
  <c r="BP26" i="12"/>
  <c r="BL26" i="12"/>
  <c r="AM26" i="12"/>
  <c r="X26" i="12"/>
  <c r="P26" i="12"/>
  <c r="K26" i="12"/>
  <c r="AW26" i="12" s="1"/>
  <c r="AY26" i="12" s="1"/>
  <c r="AX26" i="12"/>
  <c r="V26" i="12"/>
  <c r="BR25" i="12"/>
  <c r="BP25" i="12"/>
  <c r="BL25" i="12"/>
  <c r="AX25" i="12"/>
  <c r="AM25" i="12"/>
  <c r="P25" i="12"/>
  <c r="BF25" i="12" s="1"/>
  <c r="BH25" i="12" s="1"/>
  <c r="K25" i="12"/>
  <c r="AW25" i="12" s="1"/>
  <c r="AL25" i="12"/>
  <c r="W25" i="12"/>
  <c r="BR24" i="12"/>
  <c r="BP24" i="12"/>
  <c r="BL24" i="12"/>
  <c r="AM24" i="12"/>
  <c r="P24" i="12"/>
  <c r="BQ24" i="12" s="1"/>
  <c r="K24" i="12"/>
  <c r="AW24" i="12" s="1"/>
  <c r="AX24" i="12"/>
  <c r="AG25" i="12"/>
  <c r="BR23" i="12"/>
  <c r="BP23" i="12"/>
  <c r="BL23" i="12"/>
  <c r="BF23" i="12"/>
  <c r="BH23" i="12" s="1"/>
  <c r="AW23" i="12"/>
  <c r="AY23" i="12" s="1"/>
  <c r="AM23" i="12"/>
  <c r="AG23" i="12"/>
  <c r="P23" i="12"/>
  <c r="BQ23" i="12" s="1"/>
  <c r="BS23" i="12" s="1"/>
  <c r="K23" i="12"/>
  <c r="AX23" i="12"/>
  <c r="AL23" i="12"/>
  <c r="W23" i="12"/>
  <c r="BR22" i="12"/>
  <c r="BP22" i="12"/>
  <c r="BL22" i="12"/>
  <c r="AM22" i="12"/>
  <c r="AL22" i="12"/>
  <c r="AG22" i="12"/>
  <c r="AQ22" i="12" s="1"/>
  <c r="V22" i="12"/>
  <c r="P22" i="12"/>
  <c r="BF22" i="12" s="1"/>
  <c r="BH22" i="12" s="1"/>
  <c r="K22" i="12"/>
  <c r="AW22" i="12" s="1"/>
  <c r="AY22" i="12" s="1"/>
  <c r="AX22" i="12"/>
  <c r="W22" i="12"/>
  <c r="BR21" i="12"/>
  <c r="BP21" i="12"/>
  <c r="BL21" i="12"/>
  <c r="AW21" i="12"/>
  <c r="AY21" i="12" s="1"/>
  <c r="AG21" i="12"/>
  <c r="AQ21" i="12" s="1"/>
  <c r="P21" i="12"/>
  <c r="BQ21" i="12" s="1"/>
  <c r="BS21" i="12" s="1"/>
  <c r="K21" i="12"/>
  <c r="AX21" i="12"/>
  <c r="W21" i="12"/>
  <c r="BR20" i="12"/>
  <c r="BP20" i="12"/>
  <c r="BL20" i="12"/>
  <c r="AG20" i="12"/>
  <c r="AQ20" i="12" s="1"/>
  <c r="V20" i="12"/>
  <c r="P20" i="12"/>
  <c r="BQ20" i="12" s="1"/>
  <c r="BS20" i="12" s="1"/>
  <c r="K20" i="12"/>
  <c r="AW20" i="12" s="1"/>
  <c r="AX20" i="12"/>
  <c r="W20" i="12"/>
  <c r="BR19" i="12"/>
  <c r="BP19" i="12"/>
  <c r="BL19" i="12"/>
  <c r="AG19" i="12"/>
  <c r="AQ19" i="12" s="1"/>
  <c r="P19" i="12"/>
  <c r="BF19" i="12" s="1"/>
  <c r="BH19" i="12" s="1"/>
  <c r="K19" i="12"/>
  <c r="AW19" i="12" s="1"/>
  <c r="AY19" i="12" s="1"/>
  <c r="AX19" i="12"/>
  <c r="W19" i="12"/>
  <c r="BR18" i="12"/>
  <c r="BP18" i="12"/>
  <c r="BL18" i="12"/>
  <c r="BF18" i="12"/>
  <c r="BH18" i="12" s="1"/>
  <c r="AW18" i="12"/>
  <c r="AG18" i="12"/>
  <c r="AQ18" i="12" s="1"/>
  <c r="V18" i="12"/>
  <c r="P18" i="12"/>
  <c r="BQ18" i="12" s="1"/>
  <c r="BS18" i="12" s="1"/>
  <c r="K18" i="12"/>
  <c r="AX18" i="12"/>
  <c r="W18" i="12"/>
  <c r="BR17" i="12"/>
  <c r="BP17" i="12"/>
  <c r="BL17" i="12"/>
  <c r="AG17" i="12"/>
  <c r="AQ17" i="12" s="1"/>
  <c r="P17" i="12"/>
  <c r="BQ17" i="12" s="1"/>
  <c r="K17" i="12"/>
  <c r="AW17" i="12" s="1"/>
  <c r="AY17" i="12" s="1"/>
  <c r="AX17" i="12"/>
  <c r="W17" i="12"/>
  <c r="BR16" i="12"/>
  <c r="BP16" i="12"/>
  <c r="BL16" i="12"/>
  <c r="AG16" i="12"/>
  <c r="AQ16" i="12" s="1"/>
  <c r="V16" i="12"/>
  <c r="U16" i="12" s="1"/>
  <c r="P16" i="12"/>
  <c r="BQ16" i="12" s="1"/>
  <c r="BS16" i="12" s="1"/>
  <c r="K16" i="12"/>
  <c r="AW16" i="12" s="1"/>
  <c r="AX16" i="12"/>
  <c r="W16" i="12"/>
  <c r="BR15" i="12"/>
  <c r="BP15" i="12"/>
  <c r="BL15" i="12"/>
  <c r="AW15" i="12"/>
  <c r="AY15" i="12" s="1"/>
  <c r="AG15" i="12"/>
  <c r="AQ15" i="12" s="1"/>
  <c r="P15" i="12"/>
  <c r="BF15" i="12" s="1"/>
  <c r="BH15" i="12" s="1"/>
  <c r="K15" i="12"/>
  <c r="AX15" i="12"/>
  <c r="W15" i="12"/>
  <c r="BR14" i="12"/>
  <c r="BP14" i="12"/>
  <c r="BL14" i="12"/>
  <c r="BF14" i="12"/>
  <c r="BH14" i="12" s="1"/>
  <c r="AY14" i="12"/>
  <c r="W14" i="12"/>
  <c r="P14" i="12"/>
  <c r="BQ14" i="12" s="1"/>
  <c r="BS14" i="12" s="1"/>
  <c r="K14" i="12"/>
  <c r="AX14" i="12"/>
  <c r="V14" i="12"/>
  <c r="BR13" i="12"/>
  <c r="BP13" i="12"/>
  <c r="BL13" i="12"/>
  <c r="AY13" i="12"/>
  <c r="AG13" i="12"/>
  <c r="AQ13" i="12" s="1"/>
  <c r="W13" i="12"/>
  <c r="V13" i="12"/>
  <c r="U13" i="12" s="1"/>
  <c r="P13" i="12"/>
  <c r="BF13" i="12" s="1"/>
  <c r="BH13" i="12" s="1"/>
  <c r="K13" i="12"/>
  <c r="AX13" i="12"/>
  <c r="BC13" i="12" s="1"/>
  <c r="AG14" i="12"/>
  <c r="AQ14" i="12" s="1"/>
  <c r="BR12" i="12"/>
  <c r="BP12" i="12"/>
  <c r="BL12" i="12"/>
  <c r="AY12" i="12"/>
  <c r="AX12" i="12"/>
  <c r="BC12" i="12" s="1"/>
  <c r="W12" i="12"/>
  <c r="V12" i="12"/>
  <c r="U12" i="12" s="1"/>
  <c r="P12" i="12"/>
  <c r="BQ12" i="12" s="1"/>
  <c r="BS12" i="12" s="1"/>
  <c r="K12" i="12"/>
  <c r="BR11" i="12"/>
  <c r="BP11" i="12"/>
  <c r="BL11" i="12"/>
  <c r="AG11" i="12"/>
  <c r="AQ11" i="12" s="1"/>
  <c r="V11" i="12"/>
  <c r="P11" i="12"/>
  <c r="BF11" i="12" s="1"/>
  <c r="BH11" i="12" s="1"/>
  <c r="K11" i="12"/>
  <c r="AY11" i="12"/>
  <c r="AX11" i="12"/>
  <c r="BC11" i="12" s="1"/>
  <c r="AG12" i="12"/>
  <c r="AQ12" i="12" s="1"/>
  <c r="W11" i="12"/>
  <c r="BR10" i="12"/>
  <c r="BP10" i="12"/>
  <c r="BL10" i="12"/>
  <c r="AY10" i="12"/>
  <c r="AK10" i="12"/>
  <c r="AG10" i="12"/>
  <c r="AQ10" i="12" s="1"/>
  <c r="P10" i="12"/>
  <c r="BQ10" i="12" s="1"/>
  <c r="K10" i="12"/>
  <c r="AX10" i="12"/>
  <c r="BC10" i="12" s="1"/>
  <c r="W10" i="12"/>
  <c r="BL9" i="12"/>
  <c r="AG9" i="12"/>
  <c r="AQ9" i="12" s="1"/>
  <c r="AX9" i="12"/>
  <c r="BC9" i="12" s="1"/>
  <c r="BL8" i="12"/>
  <c r="AX8" i="12"/>
  <c r="BC8" i="12" s="1"/>
  <c r="BL7" i="12"/>
  <c r="AG8" i="12"/>
  <c r="AQ8" i="12" s="1"/>
  <c r="AG7" i="12"/>
  <c r="AQ7" i="12" s="1"/>
  <c r="BM7" i="12" s="1"/>
  <c r="BO7" i="12" s="1"/>
  <c r="AW29" i="31" l="1"/>
  <c r="AW27" i="31"/>
  <c r="AW29" i="32"/>
  <c r="AW27" i="32"/>
  <c r="AV30" i="32"/>
  <c r="AV33" i="32"/>
  <c r="AV34" i="32" s="1"/>
  <c r="AV16" i="31"/>
  <c r="AV14" i="31"/>
  <c r="AV30" i="31"/>
  <c r="AV33" i="31"/>
  <c r="AV34" i="31" s="1"/>
  <c r="AU40" i="31"/>
  <c r="AU42" i="31" s="1"/>
  <c r="AU43" i="31" s="1"/>
  <c r="AU17" i="31"/>
  <c r="AU20" i="31"/>
  <c r="AU21" i="31" s="1"/>
  <c r="AV16" i="32"/>
  <c r="AV14" i="32"/>
  <c r="AU40" i="32"/>
  <c r="AU42" i="32" s="1"/>
  <c r="AU43" i="32" s="1"/>
  <c r="AU17" i="32"/>
  <c r="AU20" i="32"/>
  <c r="AU21" i="32" s="1"/>
  <c r="AP16" i="25"/>
  <c r="AP14" i="25"/>
  <c r="AO17" i="26"/>
  <c r="AO40" i="26"/>
  <c r="AO42" i="26" s="1"/>
  <c r="AO43" i="26" s="1"/>
  <c r="AO20" i="26"/>
  <c r="AO21" i="26" s="1"/>
  <c r="AP16" i="26"/>
  <c r="AP14" i="26"/>
  <c r="AO40" i="25"/>
  <c r="AO42" i="25" s="1"/>
  <c r="AO43" i="25" s="1"/>
  <c r="AO17" i="25"/>
  <c r="AO20" i="25"/>
  <c r="AO21" i="25" s="1"/>
  <c r="AN40" i="26"/>
  <c r="AN42" i="26" s="1"/>
  <c r="AN20" i="26"/>
  <c r="AN40" i="25"/>
  <c r="AN42" i="25" s="1"/>
  <c r="AN20" i="25"/>
  <c r="AQ29" i="25"/>
  <c r="AQ27" i="25"/>
  <c r="AP29" i="26"/>
  <c r="AP27" i="26"/>
  <c r="AP30" i="25"/>
  <c r="AP33" i="25"/>
  <c r="AP34" i="25" s="1"/>
  <c r="AO30" i="26"/>
  <c r="AO33" i="26"/>
  <c r="AO34" i="26" s="1"/>
  <c r="AY16" i="12"/>
  <c r="BN16" i="12" s="1"/>
  <c r="AY20" i="12"/>
  <c r="BN20" i="12" s="1"/>
  <c r="AY62" i="12"/>
  <c r="BC62" i="12" s="1"/>
  <c r="BN62" i="12"/>
  <c r="BC27" i="12"/>
  <c r="U58" i="12"/>
  <c r="BS10" i="12"/>
  <c r="BC26" i="12"/>
  <c r="BM12" i="12"/>
  <c r="BO12" i="12" s="1"/>
  <c r="BF12" i="12"/>
  <c r="BH12" i="12" s="1"/>
  <c r="BC14" i="12"/>
  <c r="BC18" i="12"/>
  <c r="U20" i="12"/>
  <c r="BC23" i="12"/>
  <c r="BF24" i="12"/>
  <c r="BH24" i="12" s="1"/>
  <c r="BF30" i="12"/>
  <c r="BH30" i="12" s="1"/>
  <c r="BS51" i="12"/>
  <c r="BC20" i="12"/>
  <c r="AY18" i="12"/>
  <c r="BN18" i="12" s="1"/>
  <c r="AQ48" i="12"/>
  <c r="U54" i="12"/>
  <c r="BN12" i="12"/>
  <c r="BM9" i="12"/>
  <c r="BO9" i="12" s="1"/>
  <c r="BS17" i="12"/>
  <c r="BF28" i="12"/>
  <c r="BH28" i="12" s="1"/>
  <c r="BS38" i="12"/>
  <c r="BS40" i="12"/>
  <c r="BS45" i="12"/>
  <c r="BS50" i="12"/>
  <c r="U55" i="12"/>
  <c r="BS59" i="12"/>
  <c r="AA5" i="21"/>
  <c r="BM16" i="12"/>
  <c r="U57" i="12"/>
  <c r="BF16" i="12"/>
  <c r="BH16" i="12" s="1"/>
  <c r="BC22" i="12"/>
  <c r="AQ30" i="12"/>
  <c r="BS42" i="12"/>
  <c r="BM58" i="12"/>
  <c r="BO58" i="12" s="1"/>
  <c r="BS62" i="12"/>
  <c r="BC49" i="12"/>
  <c r="BC16" i="12"/>
  <c r="AQ37" i="12"/>
  <c r="BS43" i="12"/>
  <c r="U48" i="12"/>
  <c r="AQ52" i="12"/>
  <c r="BM52" i="12" s="1"/>
  <c r="BO52" i="12" s="1"/>
  <c r="U53" i="12"/>
  <c r="BS54" i="12"/>
  <c r="BM18" i="12"/>
  <c r="BF20" i="12"/>
  <c r="BH20" i="12" s="1"/>
  <c r="BC33" i="12"/>
  <c r="U42" i="12"/>
  <c r="BS49" i="12"/>
  <c r="U14" i="12"/>
  <c r="BN14" i="12"/>
  <c r="BC19" i="12"/>
  <c r="BM8" i="12"/>
  <c r="BO8" i="12" s="1"/>
  <c r="BM11" i="12"/>
  <c r="BC17" i="12"/>
  <c r="BN22" i="12"/>
  <c r="BC21" i="12"/>
  <c r="U11" i="12"/>
  <c r="BM14" i="12"/>
  <c r="BM13" i="12"/>
  <c r="BC15" i="12"/>
  <c r="U22" i="12"/>
  <c r="BM22" i="12"/>
  <c r="U18" i="12"/>
  <c r="BM20" i="12"/>
  <c r="BM21" i="12"/>
  <c r="BC31" i="12"/>
  <c r="BN45" i="12"/>
  <c r="BN13" i="12"/>
  <c r="BQ22" i="12"/>
  <c r="BS22" i="12" s="1"/>
  <c r="AY24" i="12"/>
  <c r="BC24" i="12" s="1"/>
  <c r="AQ28" i="12"/>
  <c r="BS34" i="12"/>
  <c r="BC40" i="12"/>
  <c r="AY42" i="12"/>
  <c r="BC42" i="12" s="1"/>
  <c r="BC50" i="12"/>
  <c r="BN58" i="12"/>
  <c r="AY59" i="12"/>
  <c r="BC59" i="12" s="1"/>
  <c r="AL62" i="12"/>
  <c r="AQ62" i="12" s="1"/>
  <c r="BM62" i="12" s="1"/>
  <c r="BO62" i="12" s="1"/>
  <c r="AY34" i="12"/>
  <c r="W24" i="12"/>
  <c r="V24" i="12"/>
  <c r="U24" i="12" s="1"/>
  <c r="BC41" i="12"/>
  <c r="AG47" i="12"/>
  <c r="AQ47" i="12" s="1"/>
  <c r="AL46" i="12"/>
  <c r="AQ46" i="12" s="1"/>
  <c r="AY48" i="12"/>
  <c r="BC48" i="12" s="1"/>
  <c r="BN50" i="12"/>
  <c r="AQ55" i="12"/>
  <c r="AQ33" i="12"/>
  <c r="BS24" i="12"/>
  <c r="BN27" i="12"/>
  <c r="BQ15" i="12"/>
  <c r="BS15" i="12" s="1"/>
  <c r="BC28" i="12"/>
  <c r="AY47" i="12"/>
  <c r="BC47" i="12" s="1"/>
  <c r="BN47" i="12"/>
  <c r="AY52" i="12"/>
  <c r="BC52" i="12" s="1"/>
  <c r="BN52" i="12"/>
  <c r="AY54" i="12"/>
  <c r="BC54" i="12" s="1"/>
  <c r="AY61" i="12"/>
  <c r="BN61" i="12" s="1"/>
  <c r="AY25" i="12"/>
  <c r="AY30" i="12"/>
  <c r="BC30" i="12" s="1"/>
  <c r="BN11" i="12"/>
  <c r="BQ19" i="12"/>
  <c r="BS19" i="12" s="1"/>
  <c r="AG24" i="12"/>
  <c r="AY31" i="12"/>
  <c r="V10" i="12"/>
  <c r="BF10" i="12"/>
  <c r="BH10" i="12" s="1"/>
  <c r="BQ13" i="12"/>
  <c r="BS13" i="12" s="1"/>
  <c r="V15" i="12"/>
  <c r="U15" i="12" s="1"/>
  <c r="V17" i="12"/>
  <c r="U17" i="12" s="1"/>
  <c r="BF17" i="12"/>
  <c r="BH17" i="12" s="1"/>
  <c r="V19" i="12"/>
  <c r="U19" i="12" s="1"/>
  <c r="V21" i="12"/>
  <c r="U21" i="12" s="1"/>
  <c r="BF21" i="12"/>
  <c r="BH21" i="12" s="1"/>
  <c r="W26" i="12"/>
  <c r="U26" i="12" s="1"/>
  <c r="X31" i="12"/>
  <c r="W31" i="12"/>
  <c r="V31" i="12"/>
  <c r="BN31" i="12" s="1"/>
  <c r="AY32" i="12"/>
  <c r="BC32" i="12" s="1"/>
  <c r="AQ34" i="12"/>
  <c r="AQ36" i="12"/>
  <c r="BM36" i="12" s="1"/>
  <c r="AQ38" i="12"/>
  <c r="AY44" i="12"/>
  <c r="BN44" i="12" s="1"/>
  <c r="AQ45" i="12"/>
  <c r="BM45" i="12" s="1"/>
  <c r="BF26" i="12"/>
  <c r="BH26" i="12" s="1"/>
  <c r="BQ26" i="12"/>
  <c r="BS26" i="12" s="1"/>
  <c r="AY35" i="12"/>
  <c r="BC35" i="12" s="1"/>
  <c r="BN36" i="12"/>
  <c r="BS48" i="12"/>
  <c r="V23" i="12"/>
  <c r="AQ25" i="12"/>
  <c r="AY28" i="12"/>
  <c r="BN28" i="12" s="1"/>
  <c r="AY29" i="12"/>
  <c r="BC29" i="12" s="1"/>
  <c r="X32" i="12"/>
  <c r="W32" i="12"/>
  <c r="V32" i="12"/>
  <c r="AG40" i="12"/>
  <c r="AQ40" i="12" s="1"/>
  <c r="AL39" i="12"/>
  <c r="AQ39" i="12" s="1"/>
  <c r="AG43" i="12"/>
  <c r="AQ43" i="12" s="1"/>
  <c r="BM43" i="12" s="1"/>
  <c r="BO43" i="12" s="1"/>
  <c r="AL42" i="12"/>
  <c r="AQ42" i="12" s="1"/>
  <c r="BC46" i="12"/>
  <c r="AQ57" i="12"/>
  <c r="AX60" i="12"/>
  <c r="BC60" i="12" s="1"/>
  <c r="AQ23" i="12"/>
  <c r="BC25" i="12"/>
  <c r="AL26" i="12"/>
  <c r="AG27" i="12"/>
  <c r="AQ27" i="12" s="1"/>
  <c r="BM27" i="12" s="1"/>
  <c r="BS28" i="12"/>
  <c r="BC34" i="12"/>
  <c r="AY37" i="12"/>
  <c r="BC37" i="12" s="1"/>
  <c r="BN37" i="12"/>
  <c r="AY43" i="12"/>
  <c r="BC43" i="12" s="1"/>
  <c r="BN43" i="12"/>
  <c r="AY46" i="12"/>
  <c r="BN46" i="12"/>
  <c r="BM51" i="12"/>
  <c r="BQ11" i="12"/>
  <c r="BS11" i="12" s="1"/>
  <c r="U28" i="12"/>
  <c r="BC36" i="12"/>
  <c r="X38" i="12"/>
  <c r="B39" i="12"/>
  <c r="W38" i="12"/>
  <c r="V38" i="12"/>
  <c r="U38" i="12" s="1"/>
  <c r="AY39" i="12"/>
  <c r="BC39" i="12" s="1"/>
  <c r="BC45" i="12"/>
  <c r="AY55" i="12"/>
  <c r="BC55" i="12" s="1"/>
  <c r="AY57" i="12"/>
  <c r="BC57" i="12" s="1"/>
  <c r="BN57" i="12"/>
  <c r="AL24" i="12"/>
  <c r="X29" i="12"/>
  <c r="U29" i="12" s="1"/>
  <c r="BQ29" i="12"/>
  <c r="BS29" i="12" s="1"/>
  <c r="AL32" i="12"/>
  <c r="AQ32" i="12" s="1"/>
  <c r="AL35" i="12"/>
  <c r="AQ35" i="12" s="1"/>
  <c r="V37" i="12"/>
  <c r="BM37" i="12" s="1"/>
  <c r="AG41" i="12"/>
  <c r="AQ41" i="12" s="1"/>
  <c r="AL49" i="12"/>
  <c r="AQ49" i="12" s="1"/>
  <c r="BM49" i="12" s="1"/>
  <c r="AX51" i="12"/>
  <c r="BC51" i="12" s="1"/>
  <c r="AL53" i="12"/>
  <c r="AQ53" i="12" s="1"/>
  <c r="BM53" i="12" s="1"/>
  <c r="AL56" i="12"/>
  <c r="AQ56" i="12" s="1"/>
  <c r="BM56" i="12" s="1"/>
  <c r="AL59" i="12"/>
  <c r="AQ59" i="12" s="1"/>
  <c r="AG29" i="12"/>
  <c r="AQ29" i="12" s="1"/>
  <c r="W37" i="12"/>
  <c r="AL50" i="12"/>
  <c r="AQ50" i="12" s="1"/>
  <c r="BM50" i="12" s="1"/>
  <c r="BO50" i="12" s="1"/>
  <c r="AL60" i="12"/>
  <c r="AQ60" i="12" s="1"/>
  <c r="AL54" i="12"/>
  <c r="AQ54" i="12" s="1"/>
  <c r="AL61" i="12"/>
  <c r="AQ61" i="12" s="1"/>
  <c r="V25" i="12"/>
  <c r="U25" i="12" s="1"/>
  <c r="V33" i="12"/>
  <c r="W34" i="12"/>
  <c r="U34" i="12" s="1"/>
  <c r="V35" i="12"/>
  <c r="U35" i="12" s="1"/>
  <c r="BQ25" i="12"/>
  <c r="BS25" i="12" s="1"/>
  <c r="AG26" i="12"/>
  <c r="AQ26" i="12" s="1"/>
  <c r="W33" i="12"/>
  <c r="BN49" i="12"/>
  <c r="BN53" i="12"/>
  <c r="BN59" i="12"/>
  <c r="V30" i="12"/>
  <c r="U30" i="12" s="1"/>
  <c r="BQ33" i="12"/>
  <c r="BS33" i="12" s="1"/>
  <c r="BF37" i="12"/>
  <c r="BH37" i="12" s="1"/>
  <c r="BJ37" i="12" s="1"/>
  <c r="BJ38" i="12" s="1"/>
  <c r="BJ39" i="12" s="1"/>
  <c r="BJ40" i="12" s="1"/>
  <c r="BJ41" i="12" s="1"/>
  <c r="BJ42" i="12" s="1"/>
  <c r="BJ43" i="12" s="1"/>
  <c r="BJ44" i="12" s="1"/>
  <c r="BJ45" i="12" s="1"/>
  <c r="BJ46" i="12" s="1"/>
  <c r="BJ47" i="12" s="1"/>
  <c r="BJ48" i="12" s="1"/>
  <c r="BJ49" i="12" s="1"/>
  <c r="BJ50" i="12" s="1"/>
  <c r="BJ51" i="12" s="1"/>
  <c r="BJ52" i="12" s="1"/>
  <c r="BJ53" i="12" s="1"/>
  <c r="BJ54" i="12" s="1"/>
  <c r="BJ55" i="12" s="1"/>
  <c r="BJ56" i="12" s="1"/>
  <c r="BJ57" i="12" s="1"/>
  <c r="BJ58" i="12" s="1"/>
  <c r="BJ59" i="12" s="1"/>
  <c r="BJ60" i="12" s="1"/>
  <c r="BJ61" i="12" s="1"/>
  <c r="BJ62" i="12" s="1"/>
  <c r="BJ64" i="12" s="1"/>
  <c r="BN56" i="12"/>
  <c r="AW16" i="32" l="1"/>
  <c r="AW14" i="32"/>
  <c r="AW16" i="31"/>
  <c r="AW14" i="31"/>
  <c r="AV17" i="32"/>
  <c r="AV40" i="32"/>
  <c r="AV42" i="32" s="1"/>
  <c r="AV43" i="32" s="1"/>
  <c r="AV20" i="32"/>
  <c r="AV21" i="32" s="1"/>
  <c r="AV17" i="31"/>
  <c r="AV40" i="31"/>
  <c r="AV42" i="31" s="1"/>
  <c r="AV43" i="31" s="1"/>
  <c r="AV20" i="31"/>
  <c r="AV21" i="31" s="1"/>
  <c r="AX29" i="32"/>
  <c r="AX27" i="32"/>
  <c r="AW30" i="32"/>
  <c r="AW33" i="32"/>
  <c r="AW34" i="32" s="1"/>
  <c r="AX29" i="31"/>
  <c r="AX27" i="31"/>
  <c r="AW30" i="31"/>
  <c r="AW33" i="31"/>
  <c r="AW34" i="31" s="1"/>
  <c r="AQ16" i="26"/>
  <c r="AQ14" i="26"/>
  <c r="AP40" i="26"/>
  <c r="AP42" i="26" s="1"/>
  <c r="AP43" i="26" s="1"/>
  <c r="AP17" i="26"/>
  <c r="AP20" i="26"/>
  <c r="AP21" i="26" s="1"/>
  <c r="AP30" i="26"/>
  <c r="AP33" i="26"/>
  <c r="AP34" i="26" s="1"/>
  <c r="AR29" i="25"/>
  <c r="AR27" i="25"/>
  <c r="AQ16" i="25"/>
  <c r="AQ14" i="25"/>
  <c r="AQ29" i="26"/>
  <c r="AQ27" i="26"/>
  <c r="AQ30" i="25"/>
  <c r="AQ33" i="25"/>
  <c r="AQ34" i="25" s="1"/>
  <c r="AP40" i="25"/>
  <c r="AP42" i="25" s="1"/>
  <c r="AP43" i="25" s="1"/>
  <c r="AP17" i="25"/>
  <c r="AP20" i="25"/>
  <c r="AP21" i="25" s="1"/>
  <c r="BO18" i="12"/>
  <c r="BN60" i="12"/>
  <c r="BM54" i="12"/>
  <c r="BM31" i="12"/>
  <c r="BO31" i="12" s="1"/>
  <c r="BC61" i="12"/>
  <c r="BM15" i="12"/>
  <c r="BO15" i="12" s="1"/>
  <c r="BN19" i="12"/>
  <c r="BO53" i="12"/>
  <c r="BN33" i="12"/>
  <c r="BO49" i="12"/>
  <c r="BM25" i="12"/>
  <c r="BN25" i="12"/>
  <c r="BM55" i="12"/>
  <c r="BO16" i="12"/>
  <c r="BN54" i="12"/>
  <c r="BO54" i="12" s="1"/>
  <c r="BO20" i="12"/>
  <c r="BO27" i="12"/>
  <c r="BM60" i="12"/>
  <c r="BO60" i="12" s="1"/>
  <c r="BN34" i="12"/>
  <c r="BM61" i="12"/>
  <c r="BO61" i="12" s="1"/>
  <c r="BN30" i="12"/>
  <c r="BM23" i="12"/>
  <c r="BO36" i="12"/>
  <c r="BN15" i="12"/>
  <c r="BN48" i="12"/>
  <c r="BM38" i="12"/>
  <c r="BO37" i="12"/>
  <c r="U37" i="12"/>
  <c r="U10" i="12"/>
  <c r="BN10" i="12"/>
  <c r="BM17" i="12"/>
  <c r="BM35" i="12"/>
  <c r="BO35" i="12" s="1"/>
  <c r="V39" i="12"/>
  <c r="X39" i="12"/>
  <c r="B40" i="12"/>
  <c r="W39" i="12"/>
  <c r="BM44" i="12"/>
  <c r="BO44" i="12" s="1"/>
  <c r="BM34" i="12"/>
  <c r="BO34" i="12" s="1"/>
  <c r="U33" i="12"/>
  <c r="BM59" i="12"/>
  <c r="BO59" i="12" s="1"/>
  <c r="BM32" i="12"/>
  <c r="BN55" i="12"/>
  <c r="BM30" i="12"/>
  <c r="BM57" i="12"/>
  <c r="BO57" i="12" s="1"/>
  <c r="U32" i="12"/>
  <c r="U23" i="12"/>
  <c r="BN23" i="12"/>
  <c r="BO23" i="12" s="1"/>
  <c r="BN26" i="12"/>
  <c r="BN32" i="12"/>
  <c r="BM46" i="12"/>
  <c r="BO46" i="12" s="1"/>
  <c r="BN29" i="12"/>
  <c r="BM48" i="12"/>
  <c r="BO48" i="12" s="1"/>
  <c r="BO13" i="12"/>
  <c r="BM29" i="12"/>
  <c r="BO29" i="12" s="1"/>
  <c r="BO25" i="12"/>
  <c r="BO56" i="12"/>
  <c r="BO45" i="12"/>
  <c r="AQ24" i="12"/>
  <c r="BM24" i="12" s="1"/>
  <c r="BM47" i="12"/>
  <c r="BO47" i="12" s="1"/>
  <c r="BN21" i="12"/>
  <c r="BO21" i="12" s="1"/>
  <c r="BN51" i="12"/>
  <c r="BO51" i="12" s="1"/>
  <c r="BO14" i="12"/>
  <c r="BO11" i="12"/>
  <c r="BC44" i="12"/>
  <c r="U31" i="12"/>
  <c r="BM33" i="12"/>
  <c r="BO33" i="12" s="1"/>
  <c r="BM28" i="12"/>
  <c r="BO28" i="12" s="1"/>
  <c r="BO22" i="12"/>
  <c r="BM10" i="12"/>
  <c r="BO10" i="12" s="1"/>
  <c r="BN38" i="12"/>
  <c r="BM26" i="12"/>
  <c r="BM42" i="12"/>
  <c r="BN35" i="12"/>
  <c r="BN17" i="12"/>
  <c r="BN42" i="12"/>
  <c r="BN24" i="12"/>
  <c r="BM19" i="12"/>
  <c r="BO19" i="12" s="1"/>
  <c r="AY29" i="31" l="1"/>
  <c r="AY27" i="31"/>
  <c r="AY29" i="32"/>
  <c r="AY27" i="32"/>
  <c r="AX16" i="31"/>
  <c r="AX14" i="31"/>
  <c r="AX30" i="31"/>
  <c r="AX33" i="31"/>
  <c r="AX34" i="31" s="1"/>
  <c r="AX30" i="32"/>
  <c r="AX33" i="32"/>
  <c r="AX34" i="32" s="1"/>
  <c r="AW40" i="31"/>
  <c r="AW42" i="31" s="1"/>
  <c r="AW43" i="31" s="1"/>
  <c r="AW17" i="31"/>
  <c r="AW20" i="31"/>
  <c r="AW21" i="31" s="1"/>
  <c r="AX16" i="32"/>
  <c r="AX14" i="32"/>
  <c r="AW40" i="32"/>
  <c r="AW42" i="32" s="1"/>
  <c r="AW43" i="32" s="1"/>
  <c r="AW17" i="32"/>
  <c r="AW20" i="32"/>
  <c r="AW21" i="32" s="1"/>
  <c r="AR29" i="26"/>
  <c r="AR27" i="26"/>
  <c r="AQ40" i="25"/>
  <c r="AQ42" i="25" s="1"/>
  <c r="AQ43" i="25" s="1"/>
  <c r="AQ17" i="25"/>
  <c r="AQ20" i="25"/>
  <c r="AQ21" i="25" s="1"/>
  <c r="AR16" i="26"/>
  <c r="AR14" i="26"/>
  <c r="AQ30" i="26"/>
  <c r="AQ33" i="26"/>
  <c r="AQ34" i="26" s="1"/>
  <c r="AS29" i="25"/>
  <c r="AS27" i="25"/>
  <c r="AQ40" i="26"/>
  <c r="AQ42" i="26" s="1"/>
  <c r="AQ43" i="26" s="1"/>
  <c r="AQ17" i="26"/>
  <c r="AQ20" i="26"/>
  <c r="AQ21" i="26" s="1"/>
  <c r="AR16" i="25"/>
  <c r="AR14" i="25"/>
  <c r="AR30" i="25"/>
  <c r="AR33" i="25"/>
  <c r="AR34" i="25" s="1"/>
  <c r="BO30" i="12"/>
  <c r="BO55" i="12"/>
  <c r="BO38" i="12"/>
  <c r="BO32" i="12"/>
  <c r="BO24" i="12"/>
  <c r="BO17" i="12"/>
  <c r="BO42" i="12"/>
  <c r="U39" i="12"/>
  <c r="BO39" i="12"/>
  <c r="BO26" i="12"/>
  <c r="X40" i="12"/>
  <c r="B41" i="12"/>
  <c r="W40" i="12"/>
  <c r="V40" i="12"/>
  <c r="AY16" i="31" l="1"/>
  <c r="AY14" i="31"/>
  <c r="AX40" i="31"/>
  <c r="AX42" i="31" s="1"/>
  <c r="AX43" i="31" s="1"/>
  <c r="AX17" i="31"/>
  <c r="AX20" i="31"/>
  <c r="AX21" i="31" s="1"/>
  <c r="AZ29" i="32"/>
  <c r="AZ27" i="32"/>
  <c r="BA27" i="32" s="1"/>
  <c r="AY16" i="32"/>
  <c r="AY14" i="32"/>
  <c r="AY30" i="32"/>
  <c r="AY33" i="32"/>
  <c r="AY34" i="32" s="1"/>
  <c r="AX40" i="32"/>
  <c r="AX42" i="32" s="1"/>
  <c r="AX43" i="32" s="1"/>
  <c r="AX17" i="32"/>
  <c r="AX20" i="32"/>
  <c r="AX21" i="32" s="1"/>
  <c r="AZ29" i="31"/>
  <c r="AZ27" i="31"/>
  <c r="BA27" i="31" s="1"/>
  <c r="AY30" i="31"/>
  <c r="AY33" i="31"/>
  <c r="AY34" i="31" s="1"/>
  <c r="AR40" i="26"/>
  <c r="AR42" i="26" s="1"/>
  <c r="AR43" i="26" s="1"/>
  <c r="AR17" i="26"/>
  <c r="AR20" i="26"/>
  <c r="AR21" i="26" s="1"/>
  <c r="AR40" i="25"/>
  <c r="AR42" i="25" s="1"/>
  <c r="AR43" i="25" s="1"/>
  <c r="AR17" i="25"/>
  <c r="AR20" i="25"/>
  <c r="AR21" i="25" s="1"/>
  <c r="AR30" i="26"/>
  <c r="AR33" i="26"/>
  <c r="AR34" i="26" s="1"/>
  <c r="AS16" i="26"/>
  <c r="AS14" i="26"/>
  <c r="AT29" i="25"/>
  <c r="AT27" i="25"/>
  <c r="AS30" i="25"/>
  <c r="AS33" i="25"/>
  <c r="AS34" i="25" s="1"/>
  <c r="AS16" i="25"/>
  <c r="AS14" i="25"/>
  <c r="AS29" i="26"/>
  <c r="AS27" i="26"/>
  <c r="X41" i="12"/>
  <c r="W41" i="12"/>
  <c r="V41" i="12"/>
  <c r="U40" i="12"/>
  <c r="BN40" i="12"/>
  <c r="BM40" i="12"/>
  <c r="AY40" i="32" l="1"/>
  <c r="AY42" i="32" s="1"/>
  <c r="AY43" i="32" s="1"/>
  <c r="AY17" i="32"/>
  <c r="AY20" i="32"/>
  <c r="AY21" i="32" s="1"/>
  <c r="BB29" i="32"/>
  <c r="BB27" i="32"/>
  <c r="BB29" i="31"/>
  <c r="BB27" i="31"/>
  <c r="AZ30" i="31"/>
  <c r="BA30" i="31" s="1"/>
  <c r="AZ33" i="31"/>
  <c r="AZ34" i="31" s="1"/>
  <c r="BA34" i="31" s="1"/>
  <c r="BA29" i="31"/>
  <c r="BA33" i="31" s="1"/>
  <c r="AZ30" i="32"/>
  <c r="BA30" i="32" s="1"/>
  <c r="AZ33" i="32"/>
  <c r="AZ34" i="32" s="1"/>
  <c r="BA34" i="32" s="1"/>
  <c r="BA29" i="32"/>
  <c r="BA33" i="32" s="1"/>
  <c r="AZ16" i="31"/>
  <c r="AZ14" i="31"/>
  <c r="BA14" i="31" s="1"/>
  <c r="AZ16" i="32"/>
  <c r="AZ14" i="32"/>
  <c r="BA14" i="32" s="1"/>
  <c r="AY17" i="31"/>
  <c r="AY40" i="31"/>
  <c r="AY42" i="31" s="1"/>
  <c r="AY43" i="31" s="1"/>
  <c r="AY20" i="31"/>
  <c r="AY21" i="31" s="1"/>
  <c r="AT29" i="26"/>
  <c r="AT27" i="26"/>
  <c r="AT30" i="25"/>
  <c r="AT33" i="25"/>
  <c r="AT34" i="25" s="1"/>
  <c r="AS30" i="26"/>
  <c r="AS33" i="26"/>
  <c r="AS34" i="26" s="1"/>
  <c r="AT16" i="26"/>
  <c r="AT14" i="26"/>
  <c r="AS40" i="26"/>
  <c r="AS42" i="26" s="1"/>
  <c r="AS43" i="26" s="1"/>
  <c r="AS17" i="26"/>
  <c r="AS20" i="26"/>
  <c r="AS21" i="26" s="1"/>
  <c r="AU29" i="25"/>
  <c r="AU27" i="25"/>
  <c r="AT16" i="25"/>
  <c r="AT14" i="25"/>
  <c r="AS40" i="25"/>
  <c r="AS42" i="25" s="1"/>
  <c r="AS43" i="25" s="1"/>
  <c r="AS17" i="25"/>
  <c r="AS20" i="25"/>
  <c r="AS21" i="25" s="1"/>
  <c r="BO40" i="12"/>
  <c r="U41" i="12"/>
  <c r="BN41" i="12"/>
  <c r="BM41" i="12"/>
  <c r="BC29" i="32" l="1"/>
  <c r="BC27" i="32"/>
  <c r="BC29" i="31"/>
  <c r="BC27" i="31"/>
  <c r="BB30" i="32"/>
  <c r="BB33" i="32"/>
  <c r="BB34" i="32" s="1"/>
  <c r="BB16" i="31"/>
  <c r="BB14" i="31"/>
  <c r="AZ40" i="32"/>
  <c r="AZ42" i="32" s="1"/>
  <c r="AZ43" i="32" s="1"/>
  <c r="BA43" i="32" s="1"/>
  <c r="AZ17" i="32"/>
  <c r="BA17" i="32" s="1"/>
  <c r="AZ20" i="32"/>
  <c r="AZ21" i="32" s="1"/>
  <c r="BA21" i="32" s="1"/>
  <c r="BA16" i="32"/>
  <c r="BB30" i="31"/>
  <c r="BB33" i="31"/>
  <c r="BB34" i="31" s="1"/>
  <c r="AZ40" i="31"/>
  <c r="AZ42" i="31" s="1"/>
  <c r="AZ43" i="31" s="1"/>
  <c r="BA43" i="31" s="1"/>
  <c r="AZ17" i="31"/>
  <c r="BA17" i="31" s="1"/>
  <c r="AZ20" i="31"/>
  <c r="AZ21" i="31" s="1"/>
  <c r="BA21" i="31" s="1"/>
  <c r="BA16" i="31"/>
  <c r="BB16" i="32"/>
  <c r="BB14" i="32"/>
  <c r="AU16" i="25"/>
  <c r="AU14" i="25"/>
  <c r="AT40" i="26"/>
  <c r="AT42" i="26" s="1"/>
  <c r="AT43" i="26" s="1"/>
  <c r="AT17" i="26"/>
  <c r="AT20" i="26"/>
  <c r="AT21" i="26" s="1"/>
  <c r="AT30" i="26"/>
  <c r="AT33" i="26"/>
  <c r="AT34" i="26" s="1"/>
  <c r="AU16" i="26"/>
  <c r="AU14" i="26"/>
  <c r="AT17" i="25"/>
  <c r="AT40" i="25"/>
  <c r="AT42" i="25" s="1"/>
  <c r="AT43" i="25" s="1"/>
  <c r="AT20" i="25"/>
  <c r="AT21" i="25" s="1"/>
  <c r="AV29" i="25"/>
  <c r="AV27" i="25"/>
  <c r="AU30" i="25"/>
  <c r="AU33" i="25"/>
  <c r="AU34" i="25" s="1"/>
  <c r="AU29" i="26"/>
  <c r="AU27" i="26"/>
  <c r="BO41" i="12"/>
  <c r="BC16" i="32" l="1"/>
  <c r="BC14" i="32"/>
  <c r="BA40" i="32"/>
  <c r="BA42" i="32" s="1"/>
  <c r="BA20" i="32"/>
  <c r="BB40" i="31"/>
  <c r="BB42" i="31" s="1"/>
  <c r="BB43" i="31" s="1"/>
  <c r="BB17" i="31"/>
  <c r="BB20" i="31"/>
  <c r="BB21" i="31" s="1"/>
  <c r="BC30" i="31"/>
  <c r="BC33" i="31"/>
  <c r="BC34" i="31" s="1"/>
  <c r="BB40" i="32"/>
  <c r="BB42" i="32" s="1"/>
  <c r="BB43" i="32" s="1"/>
  <c r="BB17" i="32"/>
  <c r="BB20" i="32"/>
  <c r="BB21" i="32" s="1"/>
  <c r="BA40" i="31"/>
  <c r="BA42" i="31" s="1"/>
  <c r="BA20" i="31"/>
  <c r="BD29" i="31"/>
  <c r="BD27" i="31"/>
  <c r="BD29" i="32"/>
  <c r="BD27" i="32"/>
  <c r="BC16" i="31"/>
  <c r="BC14" i="31"/>
  <c r="BC30" i="32"/>
  <c r="BC33" i="32"/>
  <c r="BC34" i="32" s="1"/>
  <c r="AV29" i="26"/>
  <c r="AV27" i="26"/>
  <c r="AU30" i="26"/>
  <c r="AU33" i="26"/>
  <c r="AU34" i="26" s="1"/>
  <c r="AV16" i="26"/>
  <c r="AV14" i="26"/>
  <c r="AW29" i="25"/>
  <c r="AW27" i="25"/>
  <c r="AV30" i="25"/>
  <c r="AV33" i="25"/>
  <c r="AV34" i="25" s="1"/>
  <c r="AU40" i="26"/>
  <c r="AU42" i="26" s="1"/>
  <c r="AU43" i="26" s="1"/>
  <c r="AU17" i="26"/>
  <c r="AU20" i="26"/>
  <c r="AU21" i="26" s="1"/>
  <c r="AV16" i="25"/>
  <c r="AV14" i="25"/>
  <c r="AU40" i="25"/>
  <c r="AU42" i="25" s="1"/>
  <c r="AU43" i="25" s="1"/>
  <c r="AU17" i="25"/>
  <c r="AU20" i="25"/>
  <c r="AU21" i="25" s="1"/>
  <c r="AG5" i="19"/>
  <c r="BM9" i="21" s="1"/>
  <c r="AF5" i="19"/>
  <c r="BD16" i="31" l="1"/>
  <c r="BD14" i="31"/>
  <c r="BC40" i="31"/>
  <c r="BC42" i="31" s="1"/>
  <c r="BC43" i="31" s="1"/>
  <c r="BC17" i="31"/>
  <c r="BC20" i="31"/>
  <c r="BC21" i="31" s="1"/>
  <c r="BE29" i="32"/>
  <c r="BE27" i="32"/>
  <c r="BD30" i="32"/>
  <c r="BD33" i="32"/>
  <c r="BD34" i="32" s="1"/>
  <c r="BE29" i="31"/>
  <c r="BE27" i="31"/>
  <c r="BD16" i="32"/>
  <c r="BD14" i="32"/>
  <c r="BD30" i="31"/>
  <c r="BD33" i="31"/>
  <c r="BD34" i="31" s="1"/>
  <c r="BC17" i="32"/>
  <c r="BC40" i="32"/>
  <c r="BC42" i="32" s="1"/>
  <c r="BC43" i="32" s="1"/>
  <c r="BC20" i="32"/>
  <c r="BC21" i="32" s="1"/>
  <c r="AW16" i="25"/>
  <c r="AW14" i="25"/>
  <c r="AW30" i="25"/>
  <c r="AW33" i="25"/>
  <c r="AW34" i="25" s="1"/>
  <c r="AW16" i="26"/>
  <c r="AW14" i="26"/>
  <c r="AV40" i="25"/>
  <c r="AV42" i="25" s="1"/>
  <c r="AV43" i="25" s="1"/>
  <c r="AV17" i="25"/>
  <c r="AV20" i="25"/>
  <c r="AV21" i="25" s="1"/>
  <c r="AW29" i="26"/>
  <c r="AW27" i="26"/>
  <c r="AV30" i="26"/>
  <c r="AV33" i="26"/>
  <c r="AV34" i="26" s="1"/>
  <c r="AV40" i="26"/>
  <c r="AV42" i="26" s="1"/>
  <c r="AV43" i="26" s="1"/>
  <c r="AV17" i="26"/>
  <c r="AV20" i="26"/>
  <c r="AV21" i="26" s="1"/>
  <c r="AX29" i="25"/>
  <c r="AX27" i="25"/>
  <c r="BL9" i="21"/>
  <c r="G5" i="15"/>
  <c r="BF29" i="32" l="1"/>
  <c r="BF27" i="32"/>
  <c r="BE16" i="32"/>
  <c r="BE14" i="32"/>
  <c r="BD40" i="32"/>
  <c r="BD42" i="32" s="1"/>
  <c r="BD43" i="32" s="1"/>
  <c r="BD17" i="32"/>
  <c r="BD20" i="32"/>
  <c r="BD21" i="32" s="1"/>
  <c r="BF29" i="31"/>
  <c r="BF27" i="31"/>
  <c r="BE30" i="32"/>
  <c r="BE33" i="32"/>
  <c r="BE34" i="32" s="1"/>
  <c r="BE30" i="31"/>
  <c r="BE33" i="31"/>
  <c r="BE34" i="31" s="1"/>
  <c r="BE16" i="31"/>
  <c r="BE14" i="31"/>
  <c r="BD40" i="31"/>
  <c r="BD42" i="31" s="1"/>
  <c r="BD43" i="31" s="1"/>
  <c r="BD17" i="31"/>
  <c r="BD20" i="31"/>
  <c r="BD21" i="31" s="1"/>
  <c r="AX30" i="25"/>
  <c r="AX33" i="25"/>
  <c r="AX34" i="25" s="1"/>
  <c r="AW17" i="26"/>
  <c r="AW40" i="26"/>
  <c r="AW42" i="26" s="1"/>
  <c r="AW43" i="26" s="1"/>
  <c r="AW20" i="26"/>
  <c r="AW21" i="26" s="1"/>
  <c r="AX16" i="26"/>
  <c r="AX14" i="26"/>
  <c r="AX29" i="26"/>
  <c r="AX27" i="26"/>
  <c r="AY29" i="25"/>
  <c r="AY27" i="25"/>
  <c r="AW30" i="26"/>
  <c r="AW33" i="26"/>
  <c r="AW34" i="26" s="1"/>
  <c r="AX16" i="25"/>
  <c r="AX14" i="25"/>
  <c r="AW40" i="25"/>
  <c r="AW42" i="25" s="1"/>
  <c r="AW43" i="25" s="1"/>
  <c r="AW17" i="25"/>
  <c r="AW20" i="25"/>
  <c r="AW21" i="25" s="1"/>
  <c r="BN9" i="21"/>
  <c r="C39" i="3"/>
  <c r="D39" i="3"/>
  <c r="E39" i="3"/>
  <c r="F39" i="3"/>
  <c r="G39" i="3"/>
  <c r="C40" i="3"/>
  <c r="D40" i="3"/>
  <c r="E40" i="3"/>
  <c r="F40" i="3"/>
  <c r="G40" i="3"/>
  <c r="B39" i="3"/>
  <c r="B40" i="3"/>
  <c r="H5" i="15"/>
  <c r="J40" i="3"/>
  <c r="K40" i="3"/>
  <c r="BG29" i="32" l="1"/>
  <c r="BG27" i="32"/>
  <c r="BF16" i="32"/>
  <c r="BF14" i="32"/>
  <c r="BG29" i="31"/>
  <c r="BG27" i="31"/>
  <c r="BE40" i="31"/>
  <c r="BE42" i="31" s="1"/>
  <c r="BE43" i="31" s="1"/>
  <c r="BE17" i="31"/>
  <c r="BE20" i="31"/>
  <c r="BE21" i="31" s="1"/>
  <c r="BE40" i="32"/>
  <c r="BE42" i="32" s="1"/>
  <c r="BE43" i="32" s="1"/>
  <c r="BE17" i="32"/>
  <c r="BE20" i="32"/>
  <c r="BE21" i="32" s="1"/>
  <c r="BF30" i="31"/>
  <c r="BF33" i="31"/>
  <c r="BF34" i="31" s="1"/>
  <c r="BF30" i="32"/>
  <c r="BF33" i="32"/>
  <c r="BF34" i="32" s="1"/>
  <c r="BF16" i="31"/>
  <c r="BF14" i="31"/>
  <c r="AX30" i="26"/>
  <c r="AX33" i="26"/>
  <c r="AX34" i="26" s="1"/>
  <c r="AX40" i="26"/>
  <c r="AX42" i="26" s="1"/>
  <c r="AX43" i="26" s="1"/>
  <c r="AX17" i="26"/>
  <c r="AX20" i="26"/>
  <c r="AX21" i="26" s="1"/>
  <c r="AX40" i="25"/>
  <c r="AX42" i="25" s="1"/>
  <c r="AX43" i="25" s="1"/>
  <c r="AX17" i="25"/>
  <c r="AX20" i="25"/>
  <c r="AX21" i="25" s="1"/>
  <c r="AY16" i="25"/>
  <c r="AY14" i="25"/>
  <c r="AY16" i="26"/>
  <c r="AY14" i="26"/>
  <c r="AZ29" i="25"/>
  <c r="AZ27" i="25"/>
  <c r="BA27" i="25" s="1"/>
  <c r="AY30" i="25"/>
  <c r="AY33" i="25"/>
  <c r="AY34" i="25" s="1"/>
  <c r="AY29" i="26"/>
  <c r="AY27" i="26"/>
  <c r="H65" i="8"/>
  <c r="H63" i="4"/>
  <c r="L64" i="6"/>
  <c r="D64" i="6"/>
  <c r="I63" i="4"/>
  <c r="E64" i="6"/>
  <c r="M64" i="6"/>
  <c r="I65" i="8"/>
  <c r="F64" i="6"/>
  <c r="C63" i="4"/>
  <c r="K63" i="4"/>
  <c r="G64" i="6"/>
  <c r="C65" i="8"/>
  <c r="K65" i="8"/>
  <c r="J63" i="4"/>
  <c r="D63" i="4"/>
  <c r="L63" i="4"/>
  <c r="H64" i="6"/>
  <c r="D65" i="8"/>
  <c r="L65" i="8"/>
  <c r="E63" i="4"/>
  <c r="M63" i="4"/>
  <c r="I64" i="6"/>
  <c r="E65" i="8"/>
  <c r="M65" i="8"/>
  <c r="B63" i="4"/>
  <c r="J65" i="8"/>
  <c r="F63" i="4"/>
  <c r="B64" i="6"/>
  <c r="J64" i="6"/>
  <c r="F65" i="8"/>
  <c r="B65" i="8"/>
  <c r="G63" i="4"/>
  <c r="C64" i="6"/>
  <c r="K64" i="6"/>
  <c r="G65" i="8"/>
  <c r="I40" i="3"/>
  <c r="M40" i="3"/>
  <c r="J34" i="3"/>
  <c r="K34" i="3"/>
  <c r="L34" i="3"/>
  <c r="M34" i="3"/>
  <c r="F34" i="3"/>
  <c r="G34" i="3"/>
  <c r="H34" i="3"/>
  <c r="I34" i="3"/>
  <c r="BH29" i="31" l="1"/>
  <c r="BH27" i="31"/>
  <c r="BG30" i="31"/>
  <c r="BG33" i="31"/>
  <c r="BG34" i="31" s="1"/>
  <c r="BG16" i="32"/>
  <c r="BG14" i="32"/>
  <c r="BF40" i="32"/>
  <c r="BF42" i="32" s="1"/>
  <c r="BF43" i="32" s="1"/>
  <c r="BF17" i="32"/>
  <c r="BF20" i="32"/>
  <c r="BF21" i="32" s="1"/>
  <c r="BG16" i="31"/>
  <c r="BG14" i="31"/>
  <c r="BH29" i="32"/>
  <c r="BH27" i="32"/>
  <c r="BF40" i="31"/>
  <c r="BF42" i="31" s="1"/>
  <c r="BF43" i="31" s="1"/>
  <c r="BF17" i="31"/>
  <c r="BF20" i="31"/>
  <c r="BF21" i="31" s="1"/>
  <c r="BG30" i="32"/>
  <c r="BG33" i="32"/>
  <c r="BG34" i="32" s="1"/>
  <c r="AZ30" i="25"/>
  <c r="BA30" i="25" s="1"/>
  <c r="AZ33" i="25"/>
  <c r="AZ34" i="25" s="1"/>
  <c r="BA34" i="25" s="1"/>
  <c r="BA29" i="25"/>
  <c r="BA33" i="25" s="1"/>
  <c r="AZ16" i="26"/>
  <c r="AZ14" i="26"/>
  <c r="BA14" i="26" s="1"/>
  <c r="AZ29" i="26"/>
  <c r="AZ27" i="26"/>
  <c r="BA27" i="26" s="1"/>
  <c r="AZ16" i="25"/>
  <c r="AZ14" i="25"/>
  <c r="BA14" i="25" s="1"/>
  <c r="BB29" i="25"/>
  <c r="BB27" i="25"/>
  <c r="AY40" i="26"/>
  <c r="AY42" i="26" s="1"/>
  <c r="AY43" i="26" s="1"/>
  <c r="AY17" i="26"/>
  <c r="AY20" i="26"/>
  <c r="AY21" i="26" s="1"/>
  <c r="AY30" i="26"/>
  <c r="AY33" i="26"/>
  <c r="AY34" i="26" s="1"/>
  <c r="AY40" i="25"/>
  <c r="AY42" i="25" s="1"/>
  <c r="AY43" i="25" s="1"/>
  <c r="AY17" i="25"/>
  <c r="AY20" i="25"/>
  <c r="AY21" i="25" s="1"/>
  <c r="B34" i="21"/>
  <c r="B35" i="21" s="1"/>
  <c r="B31" i="21"/>
  <c r="C31" i="21" s="1"/>
  <c r="D31" i="21" s="1"/>
  <c r="C34" i="21"/>
  <c r="I21" i="21"/>
  <c r="I41" i="21"/>
  <c r="I43" i="21" s="1"/>
  <c r="I40" i="22"/>
  <c r="I20" i="22"/>
  <c r="I34" i="21"/>
  <c r="D34" i="21"/>
  <c r="J34" i="21"/>
  <c r="H34" i="21"/>
  <c r="J40" i="22"/>
  <c r="J20" i="22"/>
  <c r="D33" i="22"/>
  <c r="G34" i="21"/>
  <c r="J21" i="21"/>
  <c r="J41" i="21"/>
  <c r="J43" i="21" s="1"/>
  <c r="D40" i="22"/>
  <c r="D42" i="22" s="1"/>
  <c r="D20" i="22"/>
  <c r="H33" i="22"/>
  <c r="C33" i="22"/>
  <c r="G20" i="22"/>
  <c r="G40" i="22"/>
  <c r="H20" i="22"/>
  <c r="H40" i="22"/>
  <c r="E34" i="21"/>
  <c r="F34" i="21"/>
  <c r="B17" i="22"/>
  <c r="C17" i="22" s="1"/>
  <c r="D17" i="22" s="1"/>
  <c r="E17" i="22" s="1"/>
  <c r="F17" i="22" s="1"/>
  <c r="G17" i="22" s="1"/>
  <c r="H17" i="22" s="1"/>
  <c r="I17" i="22" s="1"/>
  <c r="J17" i="22" s="1"/>
  <c r="B20" i="22"/>
  <c r="B40" i="22"/>
  <c r="B33" i="22"/>
  <c r="B30" i="22"/>
  <c r="C30" i="22" s="1"/>
  <c r="D30" i="22" s="1"/>
  <c r="E30" i="22" s="1"/>
  <c r="F30" i="22" s="1"/>
  <c r="G30" i="22" s="1"/>
  <c r="H30" i="22" s="1"/>
  <c r="I30" i="22" s="1"/>
  <c r="J30" i="22" s="1"/>
  <c r="B21" i="21"/>
  <c r="B22" i="21" s="1"/>
  <c r="B18" i="21"/>
  <c r="B41" i="21"/>
  <c r="G21" i="21"/>
  <c r="G41" i="21"/>
  <c r="G43" i="21" s="1"/>
  <c r="E21" i="21"/>
  <c r="E41" i="21"/>
  <c r="E43" i="21" s="1"/>
  <c r="D21" i="21"/>
  <c r="D41" i="21"/>
  <c r="C40" i="22"/>
  <c r="C20" i="22"/>
  <c r="G33" i="22"/>
  <c r="F20" i="22"/>
  <c r="F40" i="22"/>
  <c r="F42" i="22" s="1"/>
  <c r="J33" i="22"/>
  <c r="H21" i="21"/>
  <c r="H41" i="21"/>
  <c r="H43" i="21" s="1"/>
  <c r="F21" i="21"/>
  <c r="F41" i="21"/>
  <c r="F33" i="22"/>
  <c r="E33" i="22"/>
  <c r="C21" i="21"/>
  <c r="C41" i="21"/>
  <c r="C43" i="21" s="1"/>
  <c r="E40" i="22"/>
  <c r="E20" i="22"/>
  <c r="I33" i="22"/>
  <c r="H40" i="3"/>
  <c r="H39" i="3"/>
  <c r="C37" i="6"/>
  <c r="D37" i="6"/>
  <c r="E37" i="6"/>
  <c r="F37" i="6"/>
  <c r="G37" i="6"/>
  <c r="H37" i="6"/>
  <c r="I37" i="6"/>
  <c r="J37" i="6"/>
  <c r="K37" i="6"/>
  <c r="L37" i="6"/>
  <c r="M37" i="6"/>
  <c r="B37" i="6"/>
  <c r="J35" i="3"/>
  <c r="K35" i="3"/>
  <c r="L35" i="3"/>
  <c r="M35" i="3"/>
  <c r="I35" i="3"/>
  <c r="C37" i="4"/>
  <c r="D37" i="4"/>
  <c r="E37" i="4"/>
  <c r="F37" i="4"/>
  <c r="G37" i="4"/>
  <c r="H37" i="4"/>
  <c r="I37" i="4"/>
  <c r="J37" i="4"/>
  <c r="K37" i="4"/>
  <c r="L37" i="4"/>
  <c r="M37" i="4"/>
  <c r="B37" i="4"/>
  <c r="BB18" i="15"/>
  <c r="BO10" i="15"/>
  <c r="BO9" i="15"/>
  <c r="BO8" i="15"/>
  <c r="BO18" i="15" s="1"/>
  <c r="BO5" i="15"/>
  <c r="BO4" i="15"/>
  <c r="BO3" i="15"/>
  <c r="BB10" i="15"/>
  <c r="BB9" i="15"/>
  <c r="BB8" i="15"/>
  <c r="BB5" i="15"/>
  <c r="BB4" i="15"/>
  <c r="BB3" i="15"/>
  <c r="BB14" i="15" s="1"/>
  <c r="BE5" i="22" s="1"/>
  <c r="AO10" i="15"/>
  <c r="AO18" i="15" s="1"/>
  <c r="AO9" i="15"/>
  <c r="AO8" i="15"/>
  <c r="AO5" i="15"/>
  <c r="AO4" i="15"/>
  <c r="AO3" i="15"/>
  <c r="AB10" i="15"/>
  <c r="AB9" i="15"/>
  <c r="AB8" i="15"/>
  <c r="AB18" i="15" s="1"/>
  <c r="AB4" i="15"/>
  <c r="O10" i="15"/>
  <c r="O9" i="15"/>
  <c r="O8" i="15"/>
  <c r="C43" i="8"/>
  <c r="D43" i="8"/>
  <c r="E43" i="8"/>
  <c r="F43" i="8"/>
  <c r="G43" i="8"/>
  <c r="H43" i="8"/>
  <c r="I43" i="8"/>
  <c r="J43" i="8"/>
  <c r="K43" i="8"/>
  <c r="L43" i="8"/>
  <c r="M43" i="8"/>
  <c r="B43" i="8"/>
  <c r="C41" i="6"/>
  <c r="D41" i="6"/>
  <c r="H41" i="6"/>
  <c r="I41" i="6"/>
  <c r="J41" i="6"/>
  <c r="C42" i="6"/>
  <c r="D42" i="6"/>
  <c r="E42" i="6"/>
  <c r="F42" i="6"/>
  <c r="G42" i="6"/>
  <c r="H42" i="6"/>
  <c r="I42" i="6"/>
  <c r="J42" i="6"/>
  <c r="K42" i="6"/>
  <c r="L42" i="6"/>
  <c r="M42" i="6"/>
  <c r="B42" i="6"/>
  <c r="B41" i="6"/>
  <c r="C42" i="4"/>
  <c r="D42" i="4"/>
  <c r="E42" i="4"/>
  <c r="F42" i="4"/>
  <c r="G42" i="4"/>
  <c r="H42" i="4"/>
  <c r="I42" i="4"/>
  <c r="J42" i="4"/>
  <c r="K42" i="4"/>
  <c r="L42" i="4"/>
  <c r="M42" i="4"/>
  <c r="B42" i="4"/>
  <c r="P5" i="15"/>
  <c r="AB5" i="15" s="1"/>
  <c r="BI29" i="32" l="1"/>
  <c r="BI27" i="32"/>
  <c r="BH16" i="32"/>
  <c r="BH14" i="32"/>
  <c r="BH30" i="31"/>
  <c r="BH33" i="31"/>
  <c r="BH34" i="31" s="1"/>
  <c r="BG40" i="32"/>
  <c r="BG42" i="32" s="1"/>
  <c r="BG43" i="32" s="1"/>
  <c r="BG17" i="32"/>
  <c r="BG20" i="32"/>
  <c r="BG21" i="32" s="1"/>
  <c r="BH16" i="31"/>
  <c r="BH14" i="31"/>
  <c r="BI29" i="31"/>
  <c r="BI27" i="31"/>
  <c r="BH30" i="32"/>
  <c r="BH33" i="32"/>
  <c r="BH34" i="32" s="1"/>
  <c r="BG40" i="31"/>
  <c r="BG42" i="31" s="1"/>
  <c r="BG43" i="31" s="1"/>
  <c r="BG17" i="31"/>
  <c r="BG20" i="31"/>
  <c r="BG21" i="31" s="1"/>
  <c r="BB29" i="26"/>
  <c r="BB27" i="26"/>
  <c r="BB16" i="26"/>
  <c r="BB14" i="26"/>
  <c r="AZ40" i="25"/>
  <c r="AZ42" i="25" s="1"/>
  <c r="AZ43" i="25" s="1"/>
  <c r="BA43" i="25" s="1"/>
  <c r="AZ17" i="25"/>
  <c r="BA17" i="25" s="1"/>
  <c r="AZ20" i="25"/>
  <c r="AZ21" i="25" s="1"/>
  <c r="BA21" i="25" s="1"/>
  <c r="BA16" i="25"/>
  <c r="AZ30" i="26"/>
  <c r="BA30" i="26" s="1"/>
  <c r="AZ33" i="26"/>
  <c r="AZ34" i="26" s="1"/>
  <c r="BA34" i="26" s="1"/>
  <c r="BA29" i="26"/>
  <c r="BA33" i="26" s="1"/>
  <c r="AZ40" i="26"/>
  <c r="AZ42" i="26" s="1"/>
  <c r="AZ43" i="26" s="1"/>
  <c r="BA43" i="26" s="1"/>
  <c r="AZ17" i="26"/>
  <c r="BA17" i="26" s="1"/>
  <c r="AZ20" i="26"/>
  <c r="AZ21" i="26" s="1"/>
  <c r="BA21" i="26" s="1"/>
  <c r="BA16" i="26"/>
  <c r="BC29" i="25"/>
  <c r="BC27" i="25"/>
  <c r="BB30" i="25"/>
  <c r="BB33" i="25"/>
  <c r="BB34" i="25" s="1"/>
  <c r="BB16" i="25"/>
  <c r="BB14" i="25"/>
  <c r="BE9" i="22"/>
  <c r="BN5" i="22"/>
  <c r="BN9" i="22" s="1"/>
  <c r="AO14" i="15"/>
  <c r="O18" i="15"/>
  <c r="C18" i="21"/>
  <c r="D18" i="21" s="1"/>
  <c r="C35" i="21"/>
  <c r="D35" i="21" s="1"/>
  <c r="E35" i="21" s="1"/>
  <c r="F35" i="21" s="1"/>
  <c r="G35" i="21" s="1"/>
  <c r="H35" i="21" s="1"/>
  <c r="I35" i="21" s="1"/>
  <c r="J35" i="21" s="1"/>
  <c r="C22" i="21"/>
  <c r="D22" i="21" s="1"/>
  <c r="E22" i="21" s="1"/>
  <c r="F22" i="21" s="1"/>
  <c r="G22" i="21" s="1"/>
  <c r="H22" i="21" s="1"/>
  <c r="I22" i="21" s="1"/>
  <c r="J22" i="21" s="1"/>
  <c r="C42" i="22"/>
  <c r="J42" i="22"/>
  <c r="I42" i="22"/>
  <c r="B42" i="22"/>
  <c r="B34" i="22"/>
  <c r="C34" i="22" s="1"/>
  <c r="D34" i="22" s="1"/>
  <c r="E34" i="22" s="1"/>
  <c r="F34" i="22" s="1"/>
  <c r="G34" i="22" s="1"/>
  <c r="H34" i="22" s="1"/>
  <c r="I34" i="22" s="1"/>
  <c r="J34" i="22" s="1"/>
  <c r="B43" i="21"/>
  <c r="B21" i="22"/>
  <c r="C21" i="22" s="1"/>
  <c r="D21" i="22" s="1"/>
  <c r="E21" i="22" s="1"/>
  <c r="F21" i="22" s="1"/>
  <c r="G21" i="22" s="1"/>
  <c r="H21" i="22" s="1"/>
  <c r="I21" i="22" s="1"/>
  <c r="J21" i="22" s="1"/>
  <c r="H42" i="22"/>
  <c r="F43" i="21"/>
  <c r="E31" i="21"/>
  <c r="D43" i="21"/>
  <c r="E42" i="22"/>
  <c r="G42" i="22"/>
  <c r="BO14" i="15"/>
  <c r="BO15" i="15" s="1"/>
  <c r="BO16" i="15" s="1"/>
  <c r="I5" i="15"/>
  <c r="AB19" i="15"/>
  <c r="AB20" i="15" s="1"/>
  <c r="AO19" i="15"/>
  <c r="AO20" i="15" s="1"/>
  <c r="O19" i="15"/>
  <c r="O20" i="15" s="1"/>
  <c r="AB3" i="15"/>
  <c r="AB14" i="15" s="1"/>
  <c r="BB19" i="15"/>
  <c r="BB20" i="15" s="1"/>
  <c r="BO19" i="15"/>
  <c r="BO20" i="15" s="1"/>
  <c r="BB15" i="15"/>
  <c r="AO15" i="15"/>
  <c r="AO16" i="15" s="1"/>
  <c r="BJ29" i="32" l="1"/>
  <c r="BJ27" i="32"/>
  <c r="BI30" i="32"/>
  <c r="BI33" i="32"/>
  <c r="BI34" i="32" s="1"/>
  <c r="BJ29" i="31"/>
  <c r="BJ27" i="31"/>
  <c r="BI30" i="31"/>
  <c r="BI33" i="31"/>
  <c r="BI34" i="31" s="1"/>
  <c r="BH40" i="31"/>
  <c r="BH42" i="31" s="1"/>
  <c r="BH43" i="31" s="1"/>
  <c r="BH17" i="31"/>
  <c r="BH20" i="31"/>
  <c r="BH21" i="31" s="1"/>
  <c r="BI16" i="32"/>
  <c r="BI14" i="32"/>
  <c r="BI16" i="31"/>
  <c r="BI14" i="31"/>
  <c r="BH40" i="32"/>
  <c r="BH42" i="32" s="1"/>
  <c r="BH43" i="32" s="1"/>
  <c r="BH17" i="32"/>
  <c r="BH20" i="32"/>
  <c r="BH21" i="32" s="1"/>
  <c r="BA40" i="25"/>
  <c r="BA42" i="25" s="1"/>
  <c r="BA20" i="25"/>
  <c r="BC16" i="26"/>
  <c r="BC14" i="26"/>
  <c r="BA40" i="26"/>
  <c r="BA42" i="26" s="1"/>
  <c r="BA20" i="26"/>
  <c r="BB40" i="26"/>
  <c r="BB42" i="26" s="1"/>
  <c r="BB43" i="26" s="1"/>
  <c r="BB17" i="26"/>
  <c r="BB20" i="26"/>
  <c r="BB21" i="26" s="1"/>
  <c r="BB40" i="25"/>
  <c r="BB42" i="25" s="1"/>
  <c r="BB43" i="25" s="1"/>
  <c r="BB17" i="25"/>
  <c r="BB20" i="25"/>
  <c r="BB21" i="25" s="1"/>
  <c r="BC29" i="26"/>
  <c r="BC27" i="26"/>
  <c r="BC30" i="25"/>
  <c r="BC33" i="25"/>
  <c r="BC34" i="25" s="1"/>
  <c r="BC16" i="25"/>
  <c r="BC14" i="25"/>
  <c r="BD29" i="25"/>
  <c r="BD27" i="25"/>
  <c r="BB30" i="26"/>
  <c r="BB33" i="26"/>
  <c r="BB34" i="26" s="1"/>
  <c r="BE13" i="22"/>
  <c r="BN13" i="22" s="1"/>
  <c r="BE36" i="22"/>
  <c r="BB16" i="15"/>
  <c r="F31" i="21"/>
  <c r="E18" i="21"/>
  <c r="B44" i="21"/>
  <c r="C44" i="21" s="1"/>
  <c r="D44" i="21" s="1"/>
  <c r="E44" i="21" s="1"/>
  <c r="F44" i="21" s="1"/>
  <c r="G44" i="21" s="1"/>
  <c r="H44" i="21" s="1"/>
  <c r="I44" i="21" s="1"/>
  <c r="J44" i="21" s="1"/>
  <c r="B43" i="22"/>
  <c r="C43" i="22" s="1"/>
  <c r="D43" i="22" s="1"/>
  <c r="E43" i="22" s="1"/>
  <c r="F43" i="22" s="1"/>
  <c r="G43" i="22" s="1"/>
  <c r="H43" i="22" s="1"/>
  <c r="I43" i="22" s="1"/>
  <c r="J43" i="22" s="1"/>
  <c r="AB15" i="15"/>
  <c r="AB16" i="15" s="1"/>
  <c r="BJ16" i="31" l="1"/>
  <c r="BJ14" i="31"/>
  <c r="BJ30" i="32"/>
  <c r="BJ33" i="32"/>
  <c r="BJ34" i="32" s="1"/>
  <c r="BI40" i="31"/>
  <c r="BI42" i="31" s="1"/>
  <c r="BI43" i="31" s="1"/>
  <c r="BI17" i="31"/>
  <c r="BI20" i="31"/>
  <c r="BI21" i="31" s="1"/>
  <c r="BJ16" i="32"/>
  <c r="BJ14" i="32"/>
  <c r="BJ30" i="31"/>
  <c r="BJ33" i="31"/>
  <c r="BJ34" i="31" s="1"/>
  <c r="BK29" i="32"/>
  <c r="BK27" i="32"/>
  <c r="BI40" i="32"/>
  <c r="BI42" i="32" s="1"/>
  <c r="BI43" i="32" s="1"/>
  <c r="BI17" i="32"/>
  <c r="BI20" i="32"/>
  <c r="BI21" i="32" s="1"/>
  <c r="BK29" i="31"/>
  <c r="BK27" i="31"/>
  <c r="BD16" i="26"/>
  <c r="BD14" i="26"/>
  <c r="BC40" i="25"/>
  <c r="BC42" i="25" s="1"/>
  <c r="BC43" i="25" s="1"/>
  <c r="BC17" i="25"/>
  <c r="BC20" i="25"/>
  <c r="BC21" i="25" s="1"/>
  <c r="BC30" i="26"/>
  <c r="BC33" i="26"/>
  <c r="BC34" i="26" s="1"/>
  <c r="BC40" i="26"/>
  <c r="BC42" i="26" s="1"/>
  <c r="BC43" i="26" s="1"/>
  <c r="BC17" i="26"/>
  <c r="BC20" i="26"/>
  <c r="BC21" i="26" s="1"/>
  <c r="BE29" i="25"/>
  <c r="BE27" i="25"/>
  <c r="BD30" i="25"/>
  <c r="BD33" i="25"/>
  <c r="BD34" i="25" s="1"/>
  <c r="BD16" i="25"/>
  <c r="BD14" i="25"/>
  <c r="BD29" i="26"/>
  <c r="BD27" i="26"/>
  <c r="BE38" i="22"/>
  <c r="BN36" i="22"/>
  <c r="G31" i="21"/>
  <c r="F18" i="21"/>
  <c r="L5" i="15"/>
  <c r="K39" i="3"/>
  <c r="N5" i="15"/>
  <c r="M39" i="3"/>
  <c r="J39" i="3"/>
  <c r="K5" i="15"/>
  <c r="BL29" i="32" l="1"/>
  <c r="BL27" i="32"/>
  <c r="BJ40" i="32"/>
  <c r="BJ42" i="32" s="1"/>
  <c r="BJ43" i="32" s="1"/>
  <c r="BJ17" i="32"/>
  <c r="BJ20" i="32"/>
  <c r="BJ21" i="32" s="1"/>
  <c r="BK30" i="32"/>
  <c r="BK33" i="32"/>
  <c r="BK34" i="32" s="1"/>
  <c r="BK16" i="31"/>
  <c r="BK14" i="31"/>
  <c r="BL29" i="31"/>
  <c r="BL27" i="31"/>
  <c r="BK30" i="31"/>
  <c r="BK33" i="31"/>
  <c r="BK34" i="31" s="1"/>
  <c r="BK16" i="32"/>
  <c r="BK14" i="32"/>
  <c r="BJ40" i="31"/>
  <c r="BJ42" i="31" s="1"/>
  <c r="BJ43" i="31" s="1"/>
  <c r="BJ17" i="31"/>
  <c r="BJ20" i="31"/>
  <c r="BJ21" i="31" s="1"/>
  <c r="BF29" i="25"/>
  <c r="BF27" i="25"/>
  <c r="BE30" i="25"/>
  <c r="BE33" i="25"/>
  <c r="BE34" i="25" s="1"/>
  <c r="BD30" i="26"/>
  <c r="BD33" i="26"/>
  <c r="BD34" i="26" s="1"/>
  <c r="BE29" i="26"/>
  <c r="BE27" i="26"/>
  <c r="BE16" i="25"/>
  <c r="BE14" i="25"/>
  <c r="BE16" i="26"/>
  <c r="BE14" i="26"/>
  <c r="BD40" i="25"/>
  <c r="BD42" i="25" s="1"/>
  <c r="BD43" i="25" s="1"/>
  <c r="BD17" i="25"/>
  <c r="BD20" i="25"/>
  <c r="BD21" i="25" s="1"/>
  <c r="BD40" i="26"/>
  <c r="BD42" i="26" s="1"/>
  <c r="BD43" i="26" s="1"/>
  <c r="BD17" i="26"/>
  <c r="BD20" i="26"/>
  <c r="BD21" i="26" s="1"/>
  <c r="BN38" i="22"/>
  <c r="G18" i="21"/>
  <c r="H31" i="21"/>
  <c r="J5" i="15"/>
  <c r="I39" i="3"/>
  <c r="BK40" i="32" l="1"/>
  <c r="BK42" i="32" s="1"/>
  <c r="BK43" i="32" s="1"/>
  <c r="BK17" i="32"/>
  <c r="BK20" i="32"/>
  <c r="BK21" i="32" s="1"/>
  <c r="BL16" i="32"/>
  <c r="BL14" i="32"/>
  <c r="BL30" i="31"/>
  <c r="BL33" i="31"/>
  <c r="BL34" i="31" s="1"/>
  <c r="BK40" i="31"/>
  <c r="BK42" i="31" s="1"/>
  <c r="BK43" i="31" s="1"/>
  <c r="BK17" i="31"/>
  <c r="BK20" i="31"/>
  <c r="BK21" i="31" s="1"/>
  <c r="BM29" i="31"/>
  <c r="BM27" i="31"/>
  <c r="BN27" i="31" s="1"/>
  <c r="BO29" i="31" s="1"/>
  <c r="BO33" i="31" s="1"/>
  <c r="BM29" i="32"/>
  <c r="BM27" i="32"/>
  <c r="BN27" i="32" s="1"/>
  <c r="BO29" i="32" s="1"/>
  <c r="BO33" i="32" s="1"/>
  <c r="BL16" i="31"/>
  <c r="BL14" i="31"/>
  <c r="BL30" i="32"/>
  <c r="BL33" i="32"/>
  <c r="BL34" i="32" s="1"/>
  <c r="BF16" i="26"/>
  <c r="BF14" i="26"/>
  <c r="BE40" i="25"/>
  <c r="BE42" i="25" s="1"/>
  <c r="BE43" i="25" s="1"/>
  <c r="BE17" i="25"/>
  <c r="BE20" i="25"/>
  <c r="BE21" i="25" s="1"/>
  <c r="BF29" i="26"/>
  <c r="BF27" i="26"/>
  <c r="BG29" i="25"/>
  <c r="BG27" i="25"/>
  <c r="BE40" i="26"/>
  <c r="BE42" i="26" s="1"/>
  <c r="BE43" i="26" s="1"/>
  <c r="BE17" i="26"/>
  <c r="BE20" i="26"/>
  <c r="BE21" i="26" s="1"/>
  <c r="BF16" i="25"/>
  <c r="BF14" i="25"/>
  <c r="BE30" i="26"/>
  <c r="BE33" i="26"/>
  <c r="BE34" i="26" s="1"/>
  <c r="BF30" i="25"/>
  <c r="BF33" i="25"/>
  <c r="BF34" i="25" s="1"/>
  <c r="I31" i="21"/>
  <c r="H18" i="21"/>
  <c r="C41" i="3"/>
  <c r="D41" i="3"/>
  <c r="I41" i="3"/>
  <c r="J41" i="3"/>
  <c r="B41" i="3"/>
  <c r="K31" i="3"/>
  <c r="BL40" i="31" l="1"/>
  <c r="BL42" i="31" s="1"/>
  <c r="BL43" i="31" s="1"/>
  <c r="BL17" i="31"/>
  <c r="BL20" i="31"/>
  <c r="BL21" i="31" s="1"/>
  <c r="BM16" i="31"/>
  <c r="BM14" i="31"/>
  <c r="BN14" i="31" s="1"/>
  <c r="BO16" i="31" s="1"/>
  <c r="BM30" i="32"/>
  <c r="BN30" i="32" s="1"/>
  <c r="BM33" i="32"/>
  <c r="BM34" i="32" s="1"/>
  <c r="BN34" i="32" s="1"/>
  <c r="BO34" i="32" s="1"/>
  <c r="BN29" i="32"/>
  <c r="BN33" i="32" s="1"/>
  <c r="BL40" i="32"/>
  <c r="BL42" i="32" s="1"/>
  <c r="BL43" i="32" s="1"/>
  <c r="BL17" i="32"/>
  <c r="BL20" i="32"/>
  <c r="BL21" i="32" s="1"/>
  <c r="BM16" i="32"/>
  <c r="BM14" i="32"/>
  <c r="BN14" i="32" s="1"/>
  <c r="BO16" i="32" s="1"/>
  <c r="BM30" i="31"/>
  <c r="BN30" i="31" s="1"/>
  <c r="BM33" i="31"/>
  <c r="BM34" i="31" s="1"/>
  <c r="BN34" i="31" s="1"/>
  <c r="BO34" i="31" s="1"/>
  <c r="BN29" i="31"/>
  <c r="BN33" i="31" s="1"/>
  <c r="BF30" i="26"/>
  <c r="BF33" i="26"/>
  <c r="BF34" i="26" s="1"/>
  <c r="BF40" i="25"/>
  <c r="BF42" i="25" s="1"/>
  <c r="BF43" i="25" s="1"/>
  <c r="BF17" i="25"/>
  <c r="BF20" i="25"/>
  <c r="BF21" i="25" s="1"/>
  <c r="BG16" i="25"/>
  <c r="BG14" i="25"/>
  <c r="BH29" i="25"/>
  <c r="BH27" i="25"/>
  <c r="BG16" i="26"/>
  <c r="BG14" i="26"/>
  <c r="BG29" i="26"/>
  <c r="BG27" i="26"/>
  <c r="BG30" i="25"/>
  <c r="BG33" i="25"/>
  <c r="BG34" i="25" s="1"/>
  <c r="BF40" i="26"/>
  <c r="BF42" i="26" s="1"/>
  <c r="BF43" i="26" s="1"/>
  <c r="BF17" i="26"/>
  <c r="BF20" i="26"/>
  <c r="BF21" i="26" s="1"/>
  <c r="I18" i="21"/>
  <c r="J31" i="21"/>
  <c r="E41" i="3"/>
  <c r="M41" i="3"/>
  <c r="K41" i="3"/>
  <c r="BO40" i="32" l="1"/>
  <c r="BO42" i="32" s="1"/>
  <c r="BO20" i="32"/>
  <c r="BO40" i="31"/>
  <c r="BO42" i="31" s="1"/>
  <c r="BO20" i="31"/>
  <c r="BM40" i="32"/>
  <c r="BM42" i="32" s="1"/>
  <c r="BM43" i="32" s="1"/>
  <c r="BN43" i="32" s="1"/>
  <c r="BM17" i="32"/>
  <c r="BN17" i="32" s="1"/>
  <c r="BO17" i="32" s="1"/>
  <c r="BM20" i="32"/>
  <c r="BM21" i="32" s="1"/>
  <c r="BN21" i="32" s="1"/>
  <c r="BO21" i="32" s="1"/>
  <c r="BN16" i="32"/>
  <c r="BM40" i="31"/>
  <c r="BM42" i="31" s="1"/>
  <c r="BM43" i="31" s="1"/>
  <c r="BN43" i="31" s="1"/>
  <c r="BM17" i="31"/>
  <c r="BN17" i="31" s="1"/>
  <c r="BO17" i="31" s="1"/>
  <c r="BM20" i="31"/>
  <c r="BM21" i="31" s="1"/>
  <c r="BN21" i="31" s="1"/>
  <c r="BO21" i="31" s="1"/>
  <c r="BN16" i="31"/>
  <c r="BH29" i="26"/>
  <c r="BH27" i="26"/>
  <c r="BG30" i="26"/>
  <c r="BG33" i="26"/>
  <c r="BG34" i="26" s="1"/>
  <c r="BH16" i="26"/>
  <c r="BH14" i="26"/>
  <c r="BG40" i="26"/>
  <c r="BG42" i="26" s="1"/>
  <c r="BG43" i="26" s="1"/>
  <c r="BG17" i="26"/>
  <c r="BG20" i="26"/>
  <c r="BG21" i="26" s="1"/>
  <c r="BH30" i="25"/>
  <c r="BH33" i="25"/>
  <c r="BH34" i="25" s="1"/>
  <c r="BG40" i="25"/>
  <c r="BG42" i="25" s="1"/>
  <c r="BG43" i="25" s="1"/>
  <c r="BG17" i="25"/>
  <c r="BG20" i="25"/>
  <c r="BG21" i="25" s="1"/>
  <c r="BI29" i="25"/>
  <c r="BI27" i="25"/>
  <c r="BH16" i="25"/>
  <c r="BH14" i="25"/>
  <c r="J18" i="21"/>
  <c r="B31" i="4"/>
  <c r="BN40" i="31" l="1"/>
  <c r="BN42" i="31" s="1"/>
  <c r="BN20" i="31"/>
  <c r="C7" i="33"/>
  <c r="BO43" i="31"/>
  <c r="BN40" i="32"/>
  <c r="BN42" i="32" s="1"/>
  <c r="BN20" i="32"/>
  <c r="BO43" i="32"/>
  <c r="C8" i="33"/>
  <c r="D8" i="33" s="1"/>
  <c r="E8" i="33" s="1"/>
  <c r="BH40" i="26"/>
  <c r="BH42" i="26" s="1"/>
  <c r="BH43" i="26" s="1"/>
  <c r="BH17" i="26"/>
  <c r="BH20" i="26"/>
  <c r="BH21" i="26" s="1"/>
  <c r="BH40" i="25"/>
  <c r="BH42" i="25" s="1"/>
  <c r="BH43" i="25" s="1"/>
  <c r="BH17" i="25"/>
  <c r="BH20" i="25"/>
  <c r="BH21" i="25" s="1"/>
  <c r="BJ29" i="25"/>
  <c r="BJ27" i="25"/>
  <c r="BI29" i="26"/>
  <c r="BI27" i="26"/>
  <c r="BI16" i="26"/>
  <c r="BI14" i="26"/>
  <c r="BI16" i="25"/>
  <c r="BI14" i="25"/>
  <c r="BI30" i="25"/>
  <c r="BI33" i="25"/>
  <c r="BI34" i="25" s="1"/>
  <c r="BH30" i="26"/>
  <c r="BH33" i="26"/>
  <c r="BH34" i="26" s="1"/>
  <c r="J9" i="10"/>
  <c r="I9" i="10"/>
  <c r="R9" i="10"/>
  <c r="Q9" i="10"/>
  <c r="P9" i="10"/>
  <c r="O9" i="10"/>
  <c r="N9" i="10"/>
  <c r="M9" i="10"/>
  <c r="L9" i="10"/>
  <c r="K9" i="10"/>
  <c r="R6" i="10"/>
  <c r="Q6" i="10"/>
  <c r="P6" i="10"/>
  <c r="O6" i="10"/>
  <c r="N6" i="10"/>
  <c r="M6" i="10"/>
  <c r="L6" i="10"/>
  <c r="K6" i="10"/>
  <c r="J6" i="10"/>
  <c r="I6" i="10"/>
  <c r="R4" i="10"/>
  <c r="Q4" i="10"/>
  <c r="P4" i="10"/>
  <c r="O4" i="10"/>
  <c r="N4" i="10"/>
  <c r="M4" i="10"/>
  <c r="L4" i="10"/>
  <c r="K4" i="10"/>
  <c r="J4" i="10"/>
  <c r="I4" i="10"/>
  <c r="H16" i="10"/>
  <c r="H23" i="10"/>
  <c r="H22" i="10"/>
  <c r="R24" i="10"/>
  <c r="R15" i="10" s="1"/>
  <c r="R5" i="10" s="1"/>
  <c r="Q24" i="10"/>
  <c r="Q15" i="10" s="1"/>
  <c r="Q5" i="10" s="1"/>
  <c r="P24" i="10"/>
  <c r="P15" i="10" s="1"/>
  <c r="P5" i="10" s="1"/>
  <c r="O24" i="10"/>
  <c r="N24" i="10"/>
  <c r="N15" i="10" s="1"/>
  <c r="N5" i="10" s="1"/>
  <c r="M24" i="10"/>
  <c r="M15" i="10" s="1"/>
  <c r="M5" i="10" s="1"/>
  <c r="L24" i="10"/>
  <c r="K24" i="10"/>
  <c r="J24" i="10"/>
  <c r="J15" i="10" s="1"/>
  <c r="J5" i="10" s="1"/>
  <c r="I24" i="10"/>
  <c r="I15" i="10" s="1"/>
  <c r="I17" i="10" s="1"/>
  <c r="L15" i="10"/>
  <c r="L5" i="10" s="1"/>
  <c r="O15" i="10"/>
  <c r="O5" i="10" s="1"/>
  <c r="R71" i="10"/>
  <c r="Q71" i="10"/>
  <c r="P71" i="10"/>
  <c r="O71" i="10"/>
  <c r="N71" i="10"/>
  <c r="M71" i="10"/>
  <c r="L71" i="10"/>
  <c r="K71" i="10"/>
  <c r="J71" i="10"/>
  <c r="I71" i="10"/>
  <c r="R70" i="10"/>
  <c r="Q70" i="10"/>
  <c r="P70" i="10"/>
  <c r="O70" i="10"/>
  <c r="N70" i="10"/>
  <c r="M70" i="10"/>
  <c r="L70" i="10"/>
  <c r="K70" i="10"/>
  <c r="J70" i="10"/>
  <c r="I70" i="10"/>
  <c r="R69" i="10"/>
  <c r="Q69" i="10"/>
  <c r="P69" i="10"/>
  <c r="O69" i="10"/>
  <c r="N69" i="10"/>
  <c r="M69" i="10"/>
  <c r="L69" i="10"/>
  <c r="K69" i="10"/>
  <c r="J69" i="10"/>
  <c r="I69" i="10"/>
  <c r="R68" i="10"/>
  <c r="Q68" i="10"/>
  <c r="P68" i="10"/>
  <c r="O68" i="10"/>
  <c r="N68" i="10"/>
  <c r="M68" i="10"/>
  <c r="L68" i="10"/>
  <c r="K68" i="10"/>
  <c r="J68" i="10"/>
  <c r="I68" i="10"/>
  <c r="H90" i="10"/>
  <c r="H89" i="10"/>
  <c r="H88" i="10"/>
  <c r="H87" i="10"/>
  <c r="H86" i="10"/>
  <c r="I62" i="10"/>
  <c r="I63" i="10"/>
  <c r="I64" i="10"/>
  <c r="I65" i="10"/>
  <c r="H65" i="10" s="1"/>
  <c r="J62" i="10"/>
  <c r="J66" i="10" s="1"/>
  <c r="J63" i="10"/>
  <c r="J64" i="10"/>
  <c r="J65" i="10"/>
  <c r="K62" i="10"/>
  <c r="K63" i="10"/>
  <c r="K64" i="10"/>
  <c r="K65" i="10"/>
  <c r="L62" i="10"/>
  <c r="L63" i="10"/>
  <c r="L64" i="10"/>
  <c r="L65" i="10"/>
  <c r="M62" i="10"/>
  <c r="M63" i="10"/>
  <c r="M64" i="10"/>
  <c r="M66" i="10" s="1"/>
  <c r="M65" i="10"/>
  <c r="N62" i="10"/>
  <c r="N63" i="10"/>
  <c r="N64" i="10"/>
  <c r="N65" i="10"/>
  <c r="O62" i="10"/>
  <c r="O63" i="10"/>
  <c r="O64" i="10"/>
  <c r="O65" i="10"/>
  <c r="P62" i="10"/>
  <c r="P63" i="10"/>
  <c r="P64" i="10"/>
  <c r="P65" i="10"/>
  <c r="Q62" i="10"/>
  <c r="Q63" i="10"/>
  <c r="Q64" i="10"/>
  <c r="Q65" i="10"/>
  <c r="R62" i="10"/>
  <c r="R63" i="10"/>
  <c r="R64" i="10"/>
  <c r="R65" i="10"/>
  <c r="F22" i="10"/>
  <c r="F23" i="10"/>
  <c r="R34" i="10"/>
  <c r="Q34" i="10"/>
  <c r="P34" i="10"/>
  <c r="O34" i="10"/>
  <c r="N34" i="10"/>
  <c r="M34" i="10"/>
  <c r="L34" i="10"/>
  <c r="K34" i="10"/>
  <c r="J34" i="10"/>
  <c r="I34" i="10"/>
  <c r="H34" i="10"/>
  <c r="R36" i="10"/>
  <c r="R37" i="10"/>
  <c r="R38" i="10"/>
  <c r="R39" i="10"/>
  <c r="R40" i="10"/>
  <c r="Q36" i="10"/>
  <c r="Q37" i="10"/>
  <c r="Q38" i="10"/>
  <c r="Q39" i="10"/>
  <c r="Q40" i="10"/>
  <c r="P36" i="10"/>
  <c r="P37" i="10"/>
  <c r="P38" i="10"/>
  <c r="P39" i="10"/>
  <c r="P40" i="10"/>
  <c r="O36" i="10"/>
  <c r="O37" i="10"/>
  <c r="O38" i="10"/>
  <c r="O39" i="10"/>
  <c r="O40" i="10"/>
  <c r="N36" i="10"/>
  <c r="N37" i="10"/>
  <c r="N38" i="10"/>
  <c r="N39" i="10"/>
  <c r="N40" i="10"/>
  <c r="M36" i="10"/>
  <c r="M37" i="10"/>
  <c r="M38" i="10"/>
  <c r="M39" i="10"/>
  <c r="M40" i="10"/>
  <c r="L36" i="10"/>
  <c r="L37" i="10"/>
  <c r="L38" i="10"/>
  <c r="L39" i="10"/>
  <c r="L40" i="10"/>
  <c r="K36" i="10"/>
  <c r="K37" i="10"/>
  <c r="K38" i="10"/>
  <c r="K39" i="10"/>
  <c r="K40" i="10"/>
  <c r="J36" i="10"/>
  <c r="J37" i="10"/>
  <c r="J38" i="10"/>
  <c r="J39" i="10"/>
  <c r="J40" i="10"/>
  <c r="I36" i="10"/>
  <c r="I37" i="10"/>
  <c r="I38" i="10"/>
  <c r="I39" i="10"/>
  <c r="I40" i="10"/>
  <c r="H36" i="10"/>
  <c r="H37" i="10"/>
  <c r="H38" i="10"/>
  <c r="H39" i="10"/>
  <c r="H40" i="10"/>
  <c r="P122" i="8"/>
  <c r="Q122" i="8" s="1"/>
  <c r="B49" i="8"/>
  <c r="C19" i="8"/>
  <c r="I37" i="8"/>
  <c r="J37" i="8"/>
  <c r="K37" i="8"/>
  <c r="L37" i="8"/>
  <c r="M37" i="8"/>
  <c r="B37" i="8"/>
  <c r="I35" i="8"/>
  <c r="J35" i="8"/>
  <c r="K35" i="8"/>
  <c r="K36" i="8" s="1"/>
  <c r="L35" i="8"/>
  <c r="L36" i="8" s="1"/>
  <c r="M35" i="8"/>
  <c r="M36" i="8" s="1"/>
  <c r="B35" i="8"/>
  <c r="B122" i="8"/>
  <c r="C122" i="8" s="1"/>
  <c r="B53" i="8"/>
  <c r="B54" i="8" s="1"/>
  <c r="M53" i="8"/>
  <c r="L53" i="8"/>
  <c r="I53" i="8"/>
  <c r="I54" i="8" s="1"/>
  <c r="H53" i="8"/>
  <c r="H54" i="8" s="1"/>
  <c r="G53" i="8"/>
  <c r="F53" i="8"/>
  <c r="E53" i="8"/>
  <c r="C53" i="8"/>
  <c r="M49" i="8"/>
  <c r="L49" i="8"/>
  <c r="L54" i="8" s="1"/>
  <c r="K49" i="8"/>
  <c r="J49" i="8"/>
  <c r="J54" i="8" s="1"/>
  <c r="I49" i="8"/>
  <c r="H49" i="8"/>
  <c r="G49" i="8"/>
  <c r="F49" i="8"/>
  <c r="E49" i="8"/>
  <c r="D49" i="8"/>
  <c r="C49" i="8"/>
  <c r="P39" i="8"/>
  <c r="J36" i="8"/>
  <c r="I36" i="8"/>
  <c r="B36" i="8"/>
  <c r="C28" i="8"/>
  <c r="D28" i="8" s="1"/>
  <c r="E28" i="8" s="1"/>
  <c r="F28" i="8" s="1"/>
  <c r="G28" i="8" s="1"/>
  <c r="H28" i="8" s="1"/>
  <c r="C26" i="8"/>
  <c r="C18" i="8"/>
  <c r="C37" i="8" s="1"/>
  <c r="D53" i="8"/>
  <c r="N53" i="8" s="1"/>
  <c r="J53" i="8"/>
  <c r="K53" i="8"/>
  <c r="K54" i="8"/>
  <c r="J56" i="8"/>
  <c r="E54" i="8"/>
  <c r="F54" i="8"/>
  <c r="M54" i="8"/>
  <c r="L56" i="8"/>
  <c r="D18" i="8"/>
  <c r="AQ4" i="21" s="1"/>
  <c r="P56" i="6"/>
  <c r="M51" i="6"/>
  <c r="AM12" i="21" s="1"/>
  <c r="M50" i="6"/>
  <c r="AM25" i="21" s="1"/>
  <c r="L51" i="6"/>
  <c r="AL12" i="21" s="1"/>
  <c r="L50" i="6"/>
  <c r="AL25" i="21" s="1"/>
  <c r="K50" i="6"/>
  <c r="AK25" i="21" s="1"/>
  <c r="K51" i="6"/>
  <c r="AK12" i="21" s="1"/>
  <c r="J51" i="6"/>
  <c r="P40" i="6"/>
  <c r="P41" i="6" s="1"/>
  <c r="P42" i="6" s="1"/>
  <c r="K38" i="6" s="1"/>
  <c r="B121" i="6"/>
  <c r="P38" i="6"/>
  <c r="P39" i="6"/>
  <c r="H50" i="6"/>
  <c r="AH25" i="21" s="1"/>
  <c r="J50" i="6"/>
  <c r="AJ25" i="21" s="1"/>
  <c r="D50" i="6"/>
  <c r="AD25" i="21" s="1"/>
  <c r="H34" i="6"/>
  <c r="H35" i="6" s="1"/>
  <c r="I51" i="6"/>
  <c r="AI12" i="21" s="1"/>
  <c r="I50" i="6"/>
  <c r="AI25" i="21" s="1"/>
  <c r="H51" i="6"/>
  <c r="AH12" i="21" s="1"/>
  <c r="G51" i="6"/>
  <c r="AG12" i="21" s="1"/>
  <c r="F51" i="6"/>
  <c r="E51" i="6"/>
  <c r="G50" i="6"/>
  <c r="AG25" i="21" s="1"/>
  <c r="F50" i="6"/>
  <c r="AF25" i="21" s="1"/>
  <c r="E50" i="6"/>
  <c r="AE25" i="21" s="1"/>
  <c r="C51" i="6"/>
  <c r="AC12" i="21" s="1"/>
  <c r="B50" i="6"/>
  <c r="D51" i="6"/>
  <c r="AD12" i="21" s="1"/>
  <c r="C50" i="6"/>
  <c r="B51" i="6"/>
  <c r="AB12" i="21" s="1"/>
  <c r="M50" i="4"/>
  <c r="C28" i="6"/>
  <c r="D28" i="6" s="1"/>
  <c r="C26" i="6"/>
  <c r="C18" i="6"/>
  <c r="B34" i="6"/>
  <c r="B35" i="6" s="1"/>
  <c r="D52" i="6"/>
  <c r="L52" i="6"/>
  <c r="I52" i="6"/>
  <c r="M48" i="6"/>
  <c r="L48" i="6"/>
  <c r="K48" i="6"/>
  <c r="J48" i="6"/>
  <c r="I48" i="6"/>
  <c r="H48" i="6"/>
  <c r="G48" i="6"/>
  <c r="F48" i="6"/>
  <c r="E48" i="6"/>
  <c r="D48" i="6"/>
  <c r="C48" i="6"/>
  <c r="B48" i="6"/>
  <c r="M36" i="6"/>
  <c r="L36" i="6"/>
  <c r="K36" i="6"/>
  <c r="J36" i="6"/>
  <c r="I36" i="6"/>
  <c r="H36" i="6"/>
  <c r="G36" i="6"/>
  <c r="G39" i="6"/>
  <c r="F36" i="6"/>
  <c r="F39" i="6" s="1"/>
  <c r="F55" i="6"/>
  <c r="E36" i="6"/>
  <c r="E39" i="6" s="1"/>
  <c r="B36" i="6"/>
  <c r="M34" i="6"/>
  <c r="M35" i="6" s="1"/>
  <c r="L34" i="6"/>
  <c r="L35" i="6" s="1"/>
  <c r="K34" i="6"/>
  <c r="K35" i="6"/>
  <c r="J34" i="6"/>
  <c r="J35" i="6" s="1"/>
  <c r="I34" i="6"/>
  <c r="I35" i="6" s="1"/>
  <c r="G34" i="6"/>
  <c r="G35" i="6"/>
  <c r="F34" i="6"/>
  <c r="F35" i="6" s="1"/>
  <c r="E34" i="6"/>
  <c r="E35" i="6" s="1"/>
  <c r="H39" i="6"/>
  <c r="E55" i="6"/>
  <c r="D55" i="6"/>
  <c r="L55" i="6"/>
  <c r="K55" i="6"/>
  <c r="I39" i="6"/>
  <c r="J39" i="6"/>
  <c r="M51" i="4"/>
  <c r="Z12" i="21" s="1"/>
  <c r="J43" i="6"/>
  <c r="H43" i="6"/>
  <c r="E43" i="6"/>
  <c r="I54" i="6"/>
  <c r="L51" i="4"/>
  <c r="L50" i="4"/>
  <c r="Y25" i="21" s="1"/>
  <c r="K51" i="4"/>
  <c r="X12" i="21" s="1"/>
  <c r="K50" i="4"/>
  <c r="X25" i="21" s="1"/>
  <c r="J50" i="4"/>
  <c r="L38" i="4"/>
  <c r="K38" i="4"/>
  <c r="J51" i="4"/>
  <c r="W12" i="21" s="1"/>
  <c r="I50" i="4"/>
  <c r="V25" i="21" s="1"/>
  <c r="I51" i="4"/>
  <c r="V12" i="21" s="1"/>
  <c r="H50" i="4"/>
  <c r="H51" i="4"/>
  <c r="U12" i="21" s="1"/>
  <c r="G51" i="4"/>
  <c r="T12" i="21" s="1"/>
  <c r="G50" i="4"/>
  <c r="J38" i="4"/>
  <c r="I38" i="4"/>
  <c r="H38" i="4"/>
  <c r="F51" i="4"/>
  <c r="S12" i="21" s="1"/>
  <c r="F50" i="4"/>
  <c r="S25" i="21" s="1"/>
  <c r="E51" i="4"/>
  <c r="R12" i="21" s="1"/>
  <c r="G38" i="4"/>
  <c r="F38" i="4"/>
  <c r="E38" i="4"/>
  <c r="D38" i="4"/>
  <c r="C38" i="4"/>
  <c r="B38" i="4"/>
  <c r="D36" i="4"/>
  <c r="D39" i="4" s="1"/>
  <c r="E36" i="4"/>
  <c r="F36" i="4"/>
  <c r="G36" i="4"/>
  <c r="H36" i="4"/>
  <c r="I36" i="4"/>
  <c r="J36" i="4"/>
  <c r="J39" i="4" s="1"/>
  <c r="K36" i="4"/>
  <c r="K39" i="4" s="1"/>
  <c r="L36" i="4"/>
  <c r="M36" i="4"/>
  <c r="B36" i="4"/>
  <c r="B55" i="4" s="1"/>
  <c r="C36" i="4"/>
  <c r="B34" i="4"/>
  <c r="B35" i="4" s="1"/>
  <c r="C34" i="4"/>
  <c r="C35" i="4" s="1"/>
  <c r="D34" i="4"/>
  <c r="D35" i="4"/>
  <c r="E34" i="4"/>
  <c r="E35" i="4" s="1"/>
  <c r="F34" i="4"/>
  <c r="F35" i="4" s="1"/>
  <c r="D52" i="4"/>
  <c r="C52" i="4"/>
  <c r="B52" i="4"/>
  <c r="K52" i="4"/>
  <c r="M48" i="4"/>
  <c r="J48" i="4"/>
  <c r="J55" i="4" s="1"/>
  <c r="I48" i="4"/>
  <c r="H48" i="4"/>
  <c r="G48" i="4"/>
  <c r="G55" i="4" s="1"/>
  <c r="F48" i="4"/>
  <c r="F55" i="4" s="1"/>
  <c r="D48" i="4"/>
  <c r="N48" i="4" s="1"/>
  <c r="C48" i="4"/>
  <c r="B48" i="4"/>
  <c r="L48" i="4"/>
  <c r="K48" i="4"/>
  <c r="K55" i="4" s="1"/>
  <c r="H55" i="4"/>
  <c r="M34" i="4"/>
  <c r="M35" i="4"/>
  <c r="L34" i="4"/>
  <c r="L35" i="4" s="1"/>
  <c r="K34" i="4"/>
  <c r="K35" i="4" s="1"/>
  <c r="J34" i="4"/>
  <c r="J35" i="4" s="1"/>
  <c r="I34" i="4"/>
  <c r="I35" i="4" s="1"/>
  <c r="H34" i="4"/>
  <c r="H35" i="4"/>
  <c r="G34" i="4"/>
  <c r="G35" i="4" s="1"/>
  <c r="M55" i="4"/>
  <c r="C55" i="4"/>
  <c r="E39" i="4"/>
  <c r="H39" i="4"/>
  <c r="B34" i="3"/>
  <c r="B46" i="3"/>
  <c r="C34" i="3"/>
  <c r="C37" i="3" s="1"/>
  <c r="C46" i="3"/>
  <c r="D34" i="3"/>
  <c r="D46" i="3"/>
  <c r="E34" i="3"/>
  <c r="E46" i="3"/>
  <c r="F37" i="3"/>
  <c r="F41" i="3" s="1"/>
  <c r="F46" i="3"/>
  <c r="F53" i="3" s="1"/>
  <c r="G46" i="3"/>
  <c r="G53" i="3" s="1"/>
  <c r="H37" i="3"/>
  <c r="H41" i="3" s="1"/>
  <c r="H46" i="3"/>
  <c r="I46" i="3"/>
  <c r="J53" i="3"/>
  <c r="J46" i="3"/>
  <c r="K44" i="3"/>
  <c r="K45" i="3"/>
  <c r="K11" i="22" s="1"/>
  <c r="L44" i="3"/>
  <c r="L45" i="3"/>
  <c r="L11" i="22" s="1"/>
  <c r="C50" i="3"/>
  <c r="B50" i="3"/>
  <c r="D50" i="3"/>
  <c r="E50" i="3"/>
  <c r="F50" i="3"/>
  <c r="G50" i="3"/>
  <c r="H50" i="3"/>
  <c r="I50" i="3"/>
  <c r="J50" i="3"/>
  <c r="J52" i="3" s="1"/>
  <c r="K48" i="3"/>
  <c r="K25" i="21" s="1"/>
  <c r="K49" i="3"/>
  <c r="L50" i="3"/>
  <c r="M48" i="3"/>
  <c r="M25" i="21" s="1"/>
  <c r="M49" i="3"/>
  <c r="M12" i="21" s="1"/>
  <c r="M46" i="3"/>
  <c r="M53" i="3" s="1"/>
  <c r="L37" i="3"/>
  <c r="K37" i="3"/>
  <c r="J37" i="3"/>
  <c r="J42" i="3" s="1"/>
  <c r="I37" i="3"/>
  <c r="I42" i="3" s="1"/>
  <c r="G37" i="3"/>
  <c r="G41" i="3" s="1"/>
  <c r="B37" i="3"/>
  <c r="B42" i="3" s="1"/>
  <c r="F32" i="3"/>
  <c r="F33" i="3" s="1"/>
  <c r="M32" i="3"/>
  <c r="M33" i="3" s="1"/>
  <c r="L32" i="3"/>
  <c r="L33" i="3" s="1"/>
  <c r="K32" i="3"/>
  <c r="K33" i="3" s="1"/>
  <c r="J32" i="3"/>
  <c r="J33" i="3" s="1"/>
  <c r="I32" i="3"/>
  <c r="I33" i="3" s="1"/>
  <c r="H32" i="3"/>
  <c r="H33" i="3" s="1"/>
  <c r="G32" i="3"/>
  <c r="G33" i="3" s="1"/>
  <c r="E48" i="4"/>
  <c r="E55" i="4" s="1"/>
  <c r="E50" i="4"/>
  <c r="E52" i="4"/>
  <c r="M52" i="6"/>
  <c r="C9" i="33" l="1"/>
  <c r="D7" i="33"/>
  <c r="E7" i="33" s="1"/>
  <c r="BJ30" i="25"/>
  <c r="BJ33" i="25"/>
  <c r="BJ34" i="25" s="1"/>
  <c r="BI17" i="25"/>
  <c r="BI40" i="25"/>
  <c r="BI42" i="25" s="1"/>
  <c r="BI43" i="25" s="1"/>
  <c r="BI20" i="25"/>
  <c r="BI21" i="25" s="1"/>
  <c r="BJ16" i="26"/>
  <c r="BJ14" i="26"/>
  <c r="BJ16" i="25"/>
  <c r="BJ14" i="25"/>
  <c r="BI40" i="26"/>
  <c r="BI42" i="26" s="1"/>
  <c r="BI43" i="26" s="1"/>
  <c r="BI17" i="26"/>
  <c r="BI20" i="26"/>
  <c r="BI21" i="26" s="1"/>
  <c r="BJ29" i="26"/>
  <c r="BJ27" i="26"/>
  <c r="BI30" i="26"/>
  <c r="BI33" i="26"/>
  <c r="BI34" i="26" s="1"/>
  <c r="BK29" i="25"/>
  <c r="BK27" i="25"/>
  <c r="S38" i="21"/>
  <c r="V27" i="21"/>
  <c r="Q8" i="21"/>
  <c r="D41" i="4"/>
  <c r="D43" i="4" s="1"/>
  <c r="D44" i="4" s="1"/>
  <c r="W38" i="21"/>
  <c r="AD38" i="21"/>
  <c r="AG38" i="21"/>
  <c r="AG14" i="21"/>
  <c r="AL27" i="21"/>
  <c r="K41" i="10"/>
  <c r="K50" i="3"/>
  <c r="K12" i="21"/>
  <c r="O8" i="21"/>
  <c r="B41" i="4"/>
  <c r="E52" i="6"/>
  <c r="E54" i="6" s="1"/>
  <c r="AE12" i="21"/>
  <c r="K24" i="22"/>
  <c r="V8" i="21"/>
  <c r="I41" i="4"/>
  <c r="I43" i="4" s="1"/>
  <c r="M50" i="3"/>
  <c r="B52" i="3"/>
  <c r="B53" i="3"/>
  <c r="B59" i="3" s="1"/>
  <c r="C58" i="3" s="1"/>
  <c r="F52" i="4"/>
  <c r="R8" i="21"/>
  <c r="E41" i="4"/>
  <c r="E43" i="4" s="1"/>
  <c r="W8" i="21"/>
  <c r="J41" i="4"/>
  <c r="J43" i="4" s="1"/>
  <c r="J44" i="4" s="1"/>
  <c r="X8" i="21"/>
  <c r="K41" i="4"/>
  <c r="K43" i="4" s="1"/>
  <c r="H55" i="6"/>
  <c r="AB25" i="21"/>
  <c r="AH38" i="21"/>
  <c r="AH14" i="21"/>
  <c r="AL38" i="21"/>
  <c r="J41" i="10"/>
  <c r="R41" i="10"/>
  <c r="O66" i="10"/>
  <c r="L52" i="4"/>
  <c r="Y12" i="21"/>
  <c r="B52" i="6"/>
  <c r="B54" i="6" s="1"/>
  <c r="AQ5" i="21"/>
  <c r="M38" i="21"/>
  <c r="M14" i="21"/>
  <c r="I52" i="4"/>
  <c r="S8" i="21"/>
  <c r="F41" i="4"/>
  <c r="F43" i="4" s="1"/>
  <c r="G52" i="4"/>
  <c r="T25" i="21"/>
  <c r="Y8" i="21"/>
  <c r="L41" i="4"/>
  <c r="L43" i="4" s="1"/>
  <c r="I55" i="6"/>
  <c r="J76" i="6" s="1"/>
  <c r="D18" i="6"/>
  <c r="AC4" i="21"/>
  <c r="AC38" i="21"/>
  <c r="AI27" i="21"/>
  <c r="AM27" i="21"/>
  <c r="C54" i="8"/>
  <c r="M41" i="10"/>
  <c r="O41" i="10"/>
  <c r="AB14" i="21"/>
  <c r="M27" i="21"/>
  <c r="T8" i="21"/>
  <c r="G41" i="4"/>
  <c r="G43" i="4" s="1"/>
  <c r="T38" i="21"/>
  <c r="J52" i="4"/>
  <c r="W25" i="21"/>
  <c r="J55" i="6"/>
  <c r="G52" i="6"/>
  <c r="G54" i="6" s="1"/>
  <c r="D26" i="6"/>
  <c r="AE27" i="21"/>
  <c r="AI38" i="21"/>
  <c r="AI14" i="21"/>
  <c r="AK8" i="21"/>
  <c r="AM38" i="21"/>
  <c r="N41" i="10"/>
  <c r="I66" i="10"/>
  <c r="K72" i="10"/>
  <c r="M72" i="10"/>
  <c r="K37" i="22"/>
  <c r="N11" i="22"/>
  <c r="K13" i="22"/>
  <c r="V38" i="21"/>
  <c r="N25" i="21"/>
  <c r="K27" i="21"/>
  <c r="C39" i="4"/>
  <c r="P8" i="21"/>
  <c r="C41" i="4"/>
  <c r="C43" i="4" s="1"/>
  <c r="C52" i="6"/>
  <c r="N52" i="6" s="1"/>
  <c r="AC25" i="21"/>
  <c r="F52" i="6"/>
  <c r="AF12" i="21"/>
  <c r="AK27" i="21"/>
  <c r="E54" i="4"/>
  <c r="L37" i="22"/>
  <c r="L13" i="22"/>
  <c r="R25" i="21"/>
  <c r="L46" i="3"/>
  <c r="L24" i="22"/>
  <c r="R38" i="21"/>
  <c r="AA12" i="21"/>
  <c r="X27" i="21"/>
  <c r="H52" i="6"/>
  <c r="H54" i="6" s="1"/>
  <c r="AF27" i="21"/>
  <c r="K52" i="6"/>
  <c r="M56" i="8"/>
  <c r="Y27" i="21"/>
  <c r="U8" i="21"/>
  <c r="H41" i="4"/>
  <c r="AH27" i="21"/>
  <c r="K46" i="3"/>
  <c r="K53" i="3" s="1"/>
  <c r="B39" i="4"/>
  <c r="S27" i="21"/>
  <c r="H52" i="4"/>
  <c r="U25" i="21"/>
  <c r="U38" i="21" s="1"/>
  <c r="X38" i="21"/>
  <c r="Z38" i="21"/>
  <c r="M52" i="4"/>
  <c r="Z25" i="21"/>
  <c r="AG27" i="21"/>
  <c r="AD27" i="21"/>
  <c r="J52" i="6"/>
  <c r="J54" i="6" s="1"/>
  <c r="J75" i="6" s="1"/>
  <c r="AJ12" i="21"/>
  <c r="G54" i="8"/>
  <c r="L66" i="10"/>
  <c r="I5" i="10"/>
  <c r="AJ27" i="21"/>
  <c r="AK38" i="21"/>
  <c r="E18" i="8"/>
  <c r="AR4" i="21" s="1"/>
  <c r="AP4" i="21"/>
  <c r="BC4" i="21"/>
  <c r="N72" i="10"/>
  <c r="H70" i="10"/>
  <c r="P72" i="10"/>
  <c r="G52" i="3"/>
  <c r="H44" i="6"/>
  <c r="G75" i="4"/>
  <c r="K41" i="6"/>
  <c r="K43" i="6" s="1"/>
  <c r="K39" i="6"/>
  <c r="L38" i="6"/>
  <c r="C36" i="6"/>
  <c r="E44" i="6"/>
  <c r="B54" i="4"/>
  <c r="B56" i="3"/>
  <c r="C55" i="3" s="1"/>
  <c r="F54" i="4"/>
  <c r="C56" i="8"/>
  <c r="K52" i="3"/>
  <c r="K42" i="3"/>
  <c r="F39" i="4"/>
  <c r="F44" i="4" s="1"/>
  <c r="G39" i="4"/>
  <c r="L39" i="6"/>
  <c r="N52" i="4"/>
  <c r="F52" i="3"/>
  <c r="H53" i="3"/>
  <c r="E53" i="3"/>
  <c r="E37" i="3"/>
  <c r="E39" i="8"/>
  <c r="B39" i="8"/>
  <c r="B40" i="8" s="1"/>
  <c r="I39" i="8"/>
  <c r="D39" i="8"/>
  <c r="J39" i="8"/>
  <c r="H39" i="8"/>
  <c r="C39" i="8"/>
  <c r="F39" i="8"/>
  <c r="G39" i="8"/>
  <c r="C55" i="6"/>
  <c r="L54" i="4"/>
  <c r="J44" i="6"/>
  <c r="I52" i="3"/>
  <c r="M52" i="3"/>
  <c r="P40" i="8"/>
  <c r="H62" i="10"/>
  <c r="B56" i="8"/>
  <c r="K15" i="10"/>
  <c r="K5" i="10" s="1"/>
  <c r="H24" i="10"/>
  <c r="G55" i="6"/>
  <c r="G76" i="6" s="1"/>
  <c r="G43" i="6"/>
  <c r="G44" i="6" s="1"/>
  <c r="F18" i="8"/>
  <c r="AS4" i="21" s="1"/>
  <c r="D54" i="8"/>
  <c r="BD4" i="21"/>
  <c r="D37" i="3"/>
  <c r="D53" i="3"/>
  <c r="I43" i="6"/>
  <c r="I44" i="6" s="1"/>
  <c r="J72" i="10"/>
  <c r="H68" i="10"/>
  <c r="R72" i="10"/>
  <c r="Q41" i="10"/>
  <c r="H69" i="10"/>
  <c r="G42" i="3"/>
  <c r="C53" i="3"/>
  <c r="K39" i="8"/>
  <c r="K40" i="8" s="1"/>
  <c r="L39" i="8"/>
  <c r="M39" i="8"/>
  <c r="H15" i="10"/>
  <c r="I53" i="3"/>
  <c r="I54" i="4"/>
  <c r="D34" i="6"/>
  <c r="D35" i="6"/>
  <c r="H64" i="10"/>
  <c r="L72" i="10"/>
  <c r="F42" i="3"/>
  <c r="L39" i="4"/>
  <c r="L55" i="4"/>
  <c r="B39" i="6"/>
  <c r="B55" i="6"/>
  <c r="N48" i="6"/>
  <c r="D26" i="8"/>
  <c r="I41" i="10"/>
  <c r="L41" i="10"/>
  <c r="R66" i="10"/>
  <c r="K66" i="10"/>
  <c r="E44" i="4"/>
  <c r="J54" i="4"/>
  <c r="B43" i="6"/>
  <c r="N66" i="10"/>
  <c r="J14" i="10"/>
  <c r="J17" i="10" s="1"/>
  <c r="I19" i="10"/>
  <c r="M55" i="6"/>
  <c r="M76" i="6" s="1"/>
  <c r="I56" i="8"/>
  <c r="K56" i="8"/>
  <c r="M77" i="8" s="1"/>
  <c r="P41" i="10"/>
  <c r="P66" i="10"/>
  <c r="H63" i="10"/>
  <c r="I72" i="10"/>
  <c r="Q72" i="10"/>
  <c r="O72" i="10"/>
  <c r="H71" i="10"/>
  <c r="M37" i="3"/>
  <c r="M42" i="3" s="1"/>
  <c r="D55" i="4"/>
  <c r="D75" i="4" s="1"/>
  <c r="C35" i="8"/>
  <c r="C36" i="8" s="1"/>
  <c r="D54" i="4"/>
  <c r="M38" i="4"/>
  <c r="C34" i="6"/>
  <c r="C35" i="6" s="1"/>
  <c r="N49" i="8"/>
  <c r="H41" i="10"/>
  <c r="Q66" i="10"/>
  <c r="I39" i="4"/>
  <c r="I55" i="4"/>
  <c r="J75" i="4" s="1"/>
  <c r="P57" i="6"/>
  <c r="M40" i="8"/>
  <c r="C12" i="33" l="1"/>
  <c r="D9" i="33"/>
  <c r="AN12" i="21"/>
  <c r="BJ40" i="25"/>
  <c r="BJ42" i="25" s="1"/>
  <c r="BJ43" i="25" s="1"/>
  <c r="BJ17" i="25"/>
  <c r="BJ20" i="25"/>
  <c r="BJ21" i="25" s="1"/>
  <c r="BJ40" i="26"/>
  <c r="BJ42" i="26" s="1"/>
  <c r="BJ43" i="26" s="1"/>
  <c r="BJ17" i="26"/>
  <c r="BJ20" i="26"/>
  <c r="BJ21" i="26" s="1"/>
  <c r="BJ30" i="26"/>
  <c r="BJ33" i="26"/>
  <c r="BJ34" i="26" s="1"/>
  <c r="BL29" i="25"/>
  <c r="BL27" i="25"/>
  <c r="BK30" i="25"/>
  <c r="BK33" i="25"/>
  <c r="BK34" i="25" s="1"/>
  <c r="BK16" i="26"/>
  <c r="BK14" i="26"/>
  <c r="BK29" i="26"/>
  <c r="BK27" i="26"/>
  <c r="BK16" i="25"/>
  <c r="BK14" i="25"/>
  <c r="M39" i="21"/>
  <c r="AN25" i="21"/>
  <c r="AB27" i="21"/>
  <c r="Y10" i="21"/>
  <c r="AV8" i="21"/>
  <c r="I42" i="8"/>
  <c r="I44" i="8" s="1"/>
  <c r="L38" i="22"/>
  <c r="AB38" i="21"/>
  <c r="T27" i="21"/>
  <c r="N24" i="22"/>
  <c r="K26" i="22"/>
  <c r="AS5" i="21"/>
  <c r="AT8" i="21"/>
  <c r="G42" i="8"/>
  <c r="G44" i="8" s="1"/>
  <c r="AR8" i="21"/>
  <c r="E42" i="8"/>
  <c r="E44" i="8" s="1"/>
  <c r="U27" i="21"/>
  <c r="H43" i="4"/>
  <c r="H44" i="4" s="1"/>
  <c r="H54" i="4"/>
  <c r="L26" i="22"/>
  <c r="T10" i="21"/>
  <c r="X10" i="21"/>
  <c r="P10" i="21"/>
  <c r="N13" i="22"/>
  <c r="K14" i="22"/>
  <c r="K20" i="22" s="1"/>
  <c r="AE38" i="21"/>
  <c r="AE14" i="21"/>
  <c r="Z8" i="21"/>
  <c r="M41" i="4"/>
  <c r="M43" i="4" s="1"/>
  <c r="AS8" i="21"/>
  <c r="F42" i="8"/>
  <c r="F44" i="8" s="1"/>
  <c r="N50" i="3"/>
  <c r="AP5" i="21"/>
  <c r="U10" i="21"/>
  <c r="N46" i="3"/>
  <c r="K28" i="21"/>
  <c r="L30" i="21" s="1"/>
  <c r="N27" i="21"/>
  <c r="N37" i="22"/>
  <c r="K38" i="22"/>
  <c r="AK10" i="21"/>
  <c r="AC5" i="21"/>
  <c r="AC10" i="21"/>
  <c r="S10" i="21"/>
  <c r="B43" i="4"/>
  <c r="B44" i="4" s="1"/>
  <c r="Q10" i="21"/>
  <c r="AO8" i="21"/>
  <c r="B42" i="8"/>
  <c r="AZ8" i="21"/>
  <c r="M42" i="8"/>
  <c r="M44" i="8" s="1"/>
  <c r="AP8" i="21"/>
  <c r="C42" i="8"/>
  <c r="C44" i="8" s="1"/>
  <c r="L41" i="6"/>
  <c r="AL8" i="21"/>
  <c r="AR5" i="21"/>
  <c r="Z27" i="21"/>
  <c r="AF38" i="21"/>
  <c r="AF14" i="21"/>
  <c r="D36" i="6"/>
  <c r="D39" i="6" s="1"/>
  <c r="AD4" i="21"/>
  <c r="Y38" i="21"/>
  <c r="AH39" i="21"/>
  <c r="W10" i="21"/>
  <c r="AQ8" i="21"/>
  <c r="D42" i="8"/>
  <c r="D44" i="8" s="1"/>
  <c r="AY8" i="21"/>
  <c r="L42" i="8"/>
  <c r="L44" i="8" s="1"/>
  <c r="BD5" i="21"/>
  <c r="BD10" i="21"/>
  <c r="AU8" i="21"/>
  <c r="H42" i="8"/>
  <c r="H44" i="8" s="1"/>
  <c r="AA25" i="21"/>
  <c r="R27" i="21"/>
  <c r="AI39" i="21"/>
  <c r="W27" i="21"/>
  <c r="V10" i="21"/>
  <c r="AA8" i="21"/>
  <c r="AA10" i="21" s="1"/>
  <c r="O10" i="21"/>
  <c r="AG39" i="21"/>
  <c r="BC5" i="21"/>
  <c r="H66" i="10"/>
  <c r="AX8" i="21"/>
  <c r="K42" i="8"/>
  <c r="K44" i="8" s="1"/>
  <c r="AW8" i="21"/>
  <c r="J42" i="8"/>
  <c r="J44" i="8" s="1"/>
  <c r="K54" i="6"/>
  <c r="AJ38" i="21"/>
  <c r="AJ14" i="21"/>
  <c r="AC27" i="21"/>
  <c r="R10" i="21"/>
  <c r="K38" i="21"/>
  <c r="N12" i="21"/>
  <c r="K14" i="21"/>
  <c r="K44" i="6"/>
  <c r="J74" i="4"/>
  <c r="C39" i="6"/>
  <c r="M38" i="6"/>
  <c r="D54" i="6"/>
  <c r="D43" i="6"/>
  <c r="D44" i="6" s="1"/>
  <c r="C42" i="3"/>
  <c r="C52" i="3"/>
  <c r="C56" i="3" s="1"/>
  <c r="D55" i="3" s="1"/>
  <c r="N37" i="3"/>
  <c r="J40" i="8"/>
  <c r="G44" i="4"/>
  <c r="G54" i="4"/>
  <c r="G74" i="4" s="1"/>
  <c r="D52" i="3"/>
  <c r="D42" i="3"/>
  <c r="K54" i="4"/>
  <c r="K44" i="4"/>
  <c r="C43" i="6"/>
  <c r="C54" i="6"/>
  <c r="BE4" i="21"/>
  <c r="H72" i="10"/>
  <c r="E26" i="8"/>
  <c r="D37" i="8"/>
  <c r="I40" i="8"/>
  <c r="C59" i="3"/>
  <c r="D58" i="3" s="1"/>
  <c r="F43" i="6"/>
  <c r="F44" i="6" s="1"/>
  <c r="F54" i="6"/>
  <c r="G75" i="6" s="1"/>
  <c r="P41" i="8"/>
  <c r="P42" i="8" s="1"/>
  <c r="P43" i="8" s="1"/>
  <c r="M39" i="4"/>
  <c r="N39" i="4" s="1"/>
  <c r="C54" i="4"/>
  <c r="C44" i="4"/>
  <c r="M55" i="8"/>
  <c r="K45" i="8"/>
  <c r="E42" i="3"/>
  <c r="E52" i="3"/>
  <c r="M45" i="8"/>
  <c r="L44" i="4"/>
  <c r="H52" i="3"/>
  <c r="H42" i="3"/>
  <c r="K14" i="10"/>
  <c r="K17" i="10" s="1"/>
  <c r="K19" i="10" s="1"/>
  <c r="J19" i="10"/>
  <c r="N55" i="6"/>
  <c r="D76" i="6"/>
  <c r="L40" i="8"/>
  <c r="N55" i="4"/>
  <c r="M39" i="6"/>
  <c r="B44" i="6"/>
  <c r="D35" i="8"/>
  <c r="D36" i="8" s="1"/>
  <c r="I44" i="4"/>
  <c r="G18" i="8"/>
  <c r="AT4" i="21" s="1"/>
  <c r="C40" i="8"/>
  <c r="L43" i="6"/>
  <c r="L44" i="6" s="1"/>
  <c r="L54" i="6"/>
  <c r="E9" i="33" l="1"/>
  <c r="D12" i="33"/>
  <c r="AP10" i="21"/>
  <c r="AP14" i="21" s="1"/>
  <c r="BL16" i="26"/>
  <c r="BL14" i="26"/>
  <c r="BL29" i="26"/>
  <c r="BL27" i="26"/>
  <c r="BK40" i="26"/>
  <c r="BK42" i="26" s="1"/>
  <c r="BK43" i="26" s="1"/>
  <c r="BK17" i="26"/>
  <c r="BK20" i="26"/>
  <c r="BK21" i="26" s="1"/>
  <c r="BL16" i="25"/>
  <c r="BL14" i="25"/>
  <c r="BM29" i="25"/>
  <c r="BM27" i="25"/>
  <c r="BN27" i="25" s="1"/>
  <c r="BO29" i="25" s="1"/>
  <c r="BO33" i="25" s="1"/>
  <c r="BK30" i="26"/>
  <c r="BK33" i="26"/>
  <c r="BK34" i="26" s="1"/>
  <c r="BK40" i="25"/>
  <c r="BK42" i="25" s="1"/>
  <c r="BK43" i="25" s="1"/>
  <c r="BK17" i="25"/>
  <c r="BK20" i="25"/>
  <c r="BK21" i="25" s="1"/>
  <c r="BL30" i="25"/>
  <c r="BL33" i="25"/>
  <c r="BL34" i="25" s="1"/>
  <c r="K21" i="22"/>
  <c r="O14" i="21"/>
  <c r="O37" i="21"/>
  <c r="AL10" i="21"/>
  <c r="AE39" i="21"/>
  <c r="AQ10" i="21"/>
  <c r="K27" i="22"/>
  <c r="L29" i="22" s="1"/>
  <c r="N26" i="22"/>
  <c r="C55" i="8"/>
  <c r="R14" i="21"/>
  <c r="R37" i="21"/>
  <c r="BC10" i="21"/>
  <c r="BA8" i="21"/>
  <c r="AO10" i="21"/>
  <c r="Y14" i="21"/>
  <c r="Y37" i="21"/>
  <c r="AN27" i="21"/>
  <c r="AW10" i="21"/>
  <c r="V14" i="21"/>
  <c r="V37" i="21"/>
  <c r="AD5" i="21"/>
  <c r="T14" i="21"/>
  <c r="T37" i="21"/>
  <c r="AC14" i="21"/>
  <c r="AC37" i="21"/>
  <c r="AK14" i="21"/>
  <c r="AK37" i="21"/>
  <c r="P14" i="21"/>
  <c r="P37" i="21"/>
  <c r="L14" i="22"/>
  <c r="N38" i="21"/>
  <c r="K39" i="21"/>
  <c r="N39" i="21" s="1"/>
  <c r="AT5" i="21"/>
  <c r="Q14" i="21"/>
  <c r="Q37" i="21"/>
  <c r="BD14" i="21"/>
  <c r="BD37" i="21"/>
  <c r="AF39" i="21"/>
  <c r="AX10" i="21"/>
  <c r="W14" i="21"/>
  <c r="W37" i="21"/>
  <c r="AR10" i="21"/>
  <c r="AA38" i="21"/>
  <c r="AN5" i="21"/>
  <c r="Z10" i="21"/>
  <c r="AS10" i="21"/>
  <c r="AY10" i="21"/>
  <c r="S14" i="21"/>
  <c r="S37" i="21"/>
  <c r="L28" i="21"/>
  <c r="M30" i="21" s="1"/>
  <c r="K17" i="22"/>
  <c r="BE5" i="21"/>
  <c r="K55" i="8"/>
  <c r="M41" i="6"/>
  <c r="AM8" i="21"/>
  <c r="N14" i="21"/>
  <c r="K15" i="21"/>
  <c r="L17" i="21" s="1"/>
  <c r="AJ39" i="21"/>
  <c r="AZ10" i="21"/>
  <c r="AN4" i="21"/>
  <c r="N38" i="22"/>
  <c r="X14" i="21"/>
  <c r="X37" i="21"/>
  <c r="AN38" i="21"/>
  <c r="AB39" i="21"/>
  <c r="AV10" i="21"/>
  <c r="AA27" i="21"/>
  <c r="B44" i="8"/>
  <c r="U14" i="21"/>
  <c r="U37" i="21"/>
  <c r="C44" i="6"/>
  <c r="D75" i="6"/>
  <c r="H18" i="8"/>
  <c r="AU4" i="21" s="1"/>
  <c r="BA4" i="21" s="1"/>
  <c r="D74" i="4"/>
  <c r="D59" i="3"/>
  <c r="E58" i="3" s="1"/>
  <c r="M44" i="4"/>
  <c r="BF4" i="21"/>
  <c r="C45" i="8"/>
  <c r="M54" i="4"/>
  <c r="N54" i="4" s="1"/>
  <c r="N56" i="4" s="1"/>
  <c r="I55" i="8"/>
  <c r="I45" i="8"/>
  <c r="M54" i="6"/>
  <c r="N54" i="6" s="1"/>
  <c r="M43" i="6"/>
  <c r="M44" i="6" s="1"/>
  <c r="N39" i="6"/>
  <c r="L14" i="10"/>
  <c r="L17" i="10" s="1"/>
  <c r="L19" i="10"/>
  <c r="D56" i="8"/>
  <c r="D40" i="8"/>
  <c r="D56" i="3"/>
  <c r="E55" i="3" s="1"/>
  <c r="B45" i="8"/>
  <c r="B55" i="8"/>
  <c r="F26" i="8"/>
  <c r="E37" i="8"/>
  <c r="E35" i="8"/>
  <c r="E36" i="8" s="1"/>
  <c r="D55" i="8"/>
  <c r="L45" i="8"/>
  <c r="L55" i="8"/>
  <c r="J55" i="8"/>
  <c r="J45" i="8"/>
  <c r="AP37" i="21" l="1"/>
  <c r="AP39" i="21" s="1"/>
  <c r="BL40" i="25"/>
  <c r="BL42" i="25" s="1"/>
  <c r="BL43" i="25" s="1"/>
  <c r="BL17" i="25"/>
  <c r="BL20" i="25"/>
  <c r="BL21" i="25" s="1"/>
  <c r="BM29" i="26"/>
  <c r="BM27" i="26"/>
  <c r="BN27" i="26" s="1"/>
  <c r="BO29" i="26" s="1"/>
  <c r="BO33" i="26" s="1"/>
  <c r="BL30" i="26"/>
  <c r="BL33" i="26"/>
  <c r="BL34" i="26" s="1"/>
  <c r="BM30" i="25"/>
  <c r="BN30" i="25" s="1"/>
  <c r="BM33" i="25"/>
  <c r="BM34" i="25" s="1"/>
  <c r="BN34" i="25" s="1"/>
  <c r="BO34" i="25" s="1"/>
  <c r="BN29" i="25"/>
  <c r="BN33" i="25" s="1"/>
  <c r="BM16" i="26"/>
  <c r="BM14" i="26"/>
  <c r="BN14" i="26" s="1"/>
  <c r="BO16" i="26" s="1"/>
  <c r="BM16" i="25"/>
  <c r="BM14" i="25"/>
  <c r="BN14" i="25" s="1"/>
  <c r="BO16" i="25" s="1"/>
  <c r="BL40" i="26"/>
  <c r="BL42" i="26" s="1"/>
  <c r="BL43" i="26" s="1"/>
  <c r="BL17" i="26"/>
  <c r="BL20" i="26"/>
  <c r="BL21" i="26" s="1"/>
  <c r="AZ14" i="21"/>
  <c r="AZ37" i="21"/>
  <c r="AV14" i="21"/>
  <c r="AV37" i="21"/>
  <c r="AM10" i="21"/>
  <c r="AY14" i="21"/>
  <c r="AY37" i="21"/>
  <c r="Y39" i="21"/>
  <c r="BF5" i="21"/>
  <c r="BF10" i="21" s="1"/>
  <c r="Q39" i="21"/>
  <c r="AT10" i="21"/>
  <c r="AC39" i="21"/>
  <c r="BC14" i="21"/>
  <c r="BC37" i="21"/>
  <c r="AL14" i="21"/>
  <c r="AL37" i="21"/>
  <c r="X39" i="21"/>
  <c r="L15" i="21"/>
  <c r="M17" i="21" s="1"/>
  <c r="K31" i="21"/>
  <c r="K34" i="21"/>
  <c r="K35" i="21" s="1"/>
  <c r="AS14" i="21"/>
  <c r="AS37" i="21"/>
  <c r="M14" i="22"/>
  <c r="R39" i="21"/>
  <c r="BE10" i="21"/>
  <c r="M28" i="21"/>
  <c r="AR14" i="21"/>
  <c r="AR37" i="21"/>
  <c r="P39" i="21"/>
  <c r="AN8" i="21"/>
  <c r="AN10" i="21" s="1"/>
  <c r="AD10" i="21"/>
  <c r="O39" i="21"/>
  <c r="AK39" i="21"/>
  <c r="T39" i="21"/>
  <c r="AW14" i="21"/>
  <c r="AW37" i="21"/>
  <c r="S39" i="21"/>
  <c r="Z14" i="21"/>
  <c r="Z37" i="21"/>
  <c r="W39" i="21"/>
  <c r="L27" i="22"/>
  <c r="M29" i="22" s="1"/>
  <c r="L17" i="22"/>
  <c r="AX14" i="21"/>
  <c r="AX37" i="21"/>
  <c r="AU5" i="21"/>
  <c r="M76" i="8"/>
  <c r="U39" i="21"/>
  <c r="BD39" i="21"/>
  <c r="V39" i="21"/>
  <c r="AO14" i="21"/>
  <c r="AO37" i="21"/>
  <c r="AQ14" i="21"/>
  <c r="AQ37" i="21"/>
  <c r="BM8" i="21"/>
  <c r="BK8" i="21"/>
  <c r="BL8" i="21"/>
  <c r="M75" i="6"/>
  <c r="N56" i="6"/>
  <c r="E56" i="3"/>
  <c r="F55" i="3" s="1"/>
  <c r="D45" i="8"/>
  <c r="D77" i="8"/>
  <c r="E56" i="8"/>
  <c r="E40" i="8"/>
  <c r="G26" i="8"/>
  <c r="F35" i="8"/>
  <c r="F36" i="8"/>
  <c r="F37" i="8"/>
  <c r="E59" i="3"/>
  <c r="F58" i="3" s="1"/>
  <c r="D76" i="8"/>
  <c r="BG4" i="21"/>
  <c r="M14" i="10"/>
  <c r="M17" i="10" s="1"/>
  <c r="BO40" i="25" l="1"/>
  <c r="BO42" i="25" s="1"/>
  <c r="C7" i="27" s="1"/>
  <c r="BO20" i="25"/>
  <c r="BM30" i="26"/>
  <c r="BN30" i="26" s="1"/>
  <c r="BM33" i="26"/>
  <c r="BM34" i="26" s="1"/>
  <c r="BN34" i="26" s="1"/>
  <c r="BO34" i="26" s="1"/>
  <c r="BN29" i="26"/>
  <c r="BN33" i="26" s="1"/>
  <c r="BM40" i="26"/>
  <c r="BM42" i="26" s="1"/>
  <c r="BM43" i="26" s="1"/>
  <c r="BN43" i="26" s="1"/>
  <c r="BM17" i="26"/>
  <c r="BN17" i="26" s="1"/>
  <c r="BO17" i="26" s="1"/>
  <c r="BM20" i="26"/>
  <c r="BM21" i="26" s="1"/>
  <c r="BN21" i="26" s="1"/>
  <c r="BN16" i="26"/>
  <c r="BM40" i="25"/>
  <c r="BM42" i="25" s="1"/>
  <c r="BM43" i="25" s="1"/>
  <c r="BN43" i="25" s="1"/>
  <c r="BM17" i="25"/>
  <c r="BN17" i="25" s="1"/>
  <c r="BO17" i="25" s="1"/>
  <c r="BM20" i="25"/>
  <c r="BM21" i="25" s="1"/>
  <c r="BN21" i="25" s="1"/>
  <c r="BN16" i="25"/>
  <c r="BO40" i="26"/>
  <c r="BO42" i="26" s="1"/>
  <c r="C8" i="27" s="1"/>
  <c r="BO20" i="26"/>
  <c r="K41" i="21"/>
  <c r="K18" i="21"/>
  <c r="K21" i="21"/>
  <c r="AQ39" i="21"/>
  <c r="AS39" i="21"/>
  <c r="AX39" i="21"/>
  <c r="AD14" i="21"/>
  <c r="AD37" i="21"/>
  <c r="N28" i="21"/>
  <c r="AT14" i="21"/>
  <c r="AT37" i="21"/>
  <c r="K30" i="22"/>
  <c r="K33" i="22"/>
  <c r="K40" i="22"/>
  <c r="AO39" i="21"/>
  <c r="Z39" i="21"/>
  <c r="AA39" i="21" s="1"/>
  <c r="L34" i="21"/>
  <c r="L35" i="21" s="1"/>
  <c r="L31" i="21"/>
  <c r="BG5" i="21"/>
  <c r="BG10" i="21" s="1"/>
  <c r="BC39" i="21"/>
  <c r="AM14" i="21"/>
  <c r="AM37" i="21"/>
  <c r="BE14" i="21"/>
  <c r="BE37" i="21"/>
  <c r="BF14" i="21"/>
  <c r="BF37" i="21"/>
  <c r="AV39" i="21"/>
  <c r="AR39" i="21"/>
  <c r="AA14" i="21"/>
  <c r="AW39" i="21"/>
  <c r="AA37" i="21"/>
  <c r="N30" i="21"/>
  <c r="N34" i="21" s="1"/>
  <c r="BA5" i="21"/>
  <c r="BA10" i="21" s="1"/>
  <c r="N14" i="22"/>
  <c r="O14" i="22" s="1"/>
  <c r="M17" i="22"/>
  <c r="M27" i="22"/>
  <c r="AL39" i="21"/>
  <c r="AZ39" i="21"/>
  <c r="M15" i="21"/>
  <c r="AU10" i="21"/>
  <c r="L20" i="22"/>
  <c r="N16" i="22"/>
  <c r="N20" i="22" s="1"/>
  <c r="AY39" i="21"/>
  <c r="BL10" i="21"/>
  <c r="BN8" i="21"/>
  <c r="BK10" i="21"/>
  <c r="BM10" i="21"/>
  <c r="F40" i="8"/>
  <c r="F56" i="8"/>
  <c r="F59" i="3"/>
  <c r="G58" i="3" s="1"/>
  <c r="BH4" i="21"/>
  <c r="N14" i="10"/>
  <c r="N17" i="10" s="1"/>
  <c r="E55" i="8"/>
  <c r="E45" i="8"/>
  <c r="F56" i="3"/>
  <c r="G55" i="3" s="1"/>
  <c r="H26" i="8"/>
  <c r="G35" i="8"/>
  <c r="G36" i="8" s="1"/>
  <c r="G37" i="8"/>
  <c r="M19" i="10"/>
  <c r="C9" i="27" l="1"/>
  <c r="BO21" i="26"/>
  <c r="BO21" i="25"/>
  <c r="BN40" i="25"/>
  <c r="BN42" i="25" s="1"/>
  <c r="BN20" i="25"/>
  <c r="BO43" i="26"/>
  <c r="BN40" i="26"/>
  <c r="BN42" i="26" s="1"/>
  <c r="BN20" i="26"/>
  <c r="BO43" i="25"/>
  <c r="O28" i="21"/>
  <c r="P30" i="21" s="1"/>
  <c r="O30" i="21"/>
  <c r="BG14" i="21"/>
  <c r="BG37" i="21"/>
  <c r="N17" i="22"/>
  <c r="O17" i="22" s="1"/>
  <c r="BH5" i="21"/>
  <c r="BN5" i="21" s="1"/>
  <c r="L33" i="22"/>
  <c r="K42" i="22"/>
  <c r="L40" i="22"/>
  <c r="L21" i="21"/>
  <c r="L41" i="21"/>
  <c r="L43" i="21" s="1"/>
  <c r="L18" i="21"/>
  <c r="K34" i="22"/>
  <c r="M31" i="21"/>
  <c r="N31" i="21" s="1"/>
  <c r="O31" i="21" s="1"/>
  <c r="M34" i="21"/>
  <c r="M35" i="21" s="1"/>
  <c r="N35" i="21" s="1"/>
  <c r="K22" i="21"/>
  <c r="N15" i="21"/>
  <c r="N27" i="22"/>
  <c r="L30" i="22"/>
  <c r="P28" i="21"/>
  <c r="Q30" i="21" s="1"/>
  <c r="L21" i="22"/>
  <c r="K43" i="21"/>
  <c r="N29" i="22"/>
  <c r="N33" i="22" s="1"/>
  <c r="AD39" i="21"/>
  <c r="AN37" i="21"/>
  <c r="N17" i="21"/>
  <c r="N21" i="21" s="1"/>
  <c r="AU14" i="21"/>
  <c r="AU37" i="21"/>
  <c r="M20" i="22"/>
  <c r="M40" i="22"/>
  <c r="BF39" i="21"/>
  <c r="AM39" i="21"/>
  <c r="AT39" i="21"/>
  <c r="AN14" i="21"/>
  <c r="BE39" i="21"/>
  <c r="P14" i="22"/>
  <c r="BN4" i="21"/>
  <c r="BK14" i="21"/>
  <c r="BK37" i="21"/>
  <c r="BL14" i="21"/>
  <c r="BL37" i="21"/>
  <c r="BM14" i="21"/>
  <c r="BM37" i="21"/>
  <c r="F55" i="8"/>
  <c r="F45" i="8"/>
  <c r="O14" i="10"/>
  <c r="O17" i="10" s="1"/>
  <c r="G59" i="3"/>
  <c r="H58" i="3" s="1"/>
  <c r="G40" i="8"/>
  <c r="G56" i="8"/>
  <c r="H35" i="8"/>
  <c r="H36" i="8" s="1"/>
  <c r="H37" i="8"/>
  <c r="G56" i="3"/>
  <c r="H55" i="3" s="1"/>
  <c r="N19" i="10"/>
  <c r="O15" i="21" l="1"/>
  <c r="P17" i="21" s="1"/>
  <c r="O17" i="21"/>
  <c r="BH10" i="21"/>
  <c r="BH14" i="21" s="1"/>
  <c r="BN14" i="21" s="1"/>
  <c r="BN10" i="21"/>
  <c r="O27" i="22"/>
  <c r="P29" i="22" s="1"/>
  <c r="O29" i="22"/>
  <c r="L34" i="22"/>
  <c r="M30" i="22"/>
  <c r="L42" i="22"/>
  <c r="M42" i="22"/>
  <c r="M21" i="22"/>
  <c r="N21" i="22" s="1"/>
  <c r="M41" i="21"/>
  <c r="M21" i="21"/>
  <c r="M18" i="21"/>
  <c r="K43" i="22"/>
  <c r="P15" i="21"/>
  <c r="Q17" i="21" s="1"/>
  <c r="O34" i="21"/>
  <c r="O35" i="21" s="1"/>
  <c r="N40" i="22"/>
  <c r="BG39" i="21"/>
  <c r="AN39" i="21"/>
  <c r="O20" i="22"/>
  <c r="Q28" i="21"/>
  <c r="R30" i="21" s="1"/>
  <c r="M33" i="22"/>
  <c r="L22" i="21"/>
  <c r="BA14" i="21"/>
  <c r="K44" i="21"/>
  <c r="L44" i="21" s="1"/>
  <c r="BH37" i="21"/>
  <c r="BN37" i="21" s="1"/>
  <c r="Q14" i="22"/>
  <c r="P17" i="22"/>
  <c r="AU39" i="21"/>
  <c r="BA39" i="21" s="1"/>
  <c r="BA37" i="21"/>
  <c r="P27" i="22"/>
  <c r="Q29" i="22" s="1"/>
  <c r="BM39" i="21"/>
  <c r="BL39" i="21"/>
  <c r="BK39" i="21"/>
  <c r="H56" i="3"/>
  <c r="I55" i="3" s="1"/>
  <c r="H56" i="8"/>
  <c r="J77" i="8" s="1"/>
  <c r="H40" i="8"/>
  <c r="H59" i="3"/>
  <c r="I58" i="3" s="1"/>
  <c r="G45" i="8"/>
  <c r="G55" i="8"/>
  <c r="P14" i="10"/>
  <c r="P17" i="10" s="1"/>
  <c r="O19" i="10"/>
  <c r="G77" i="8"/>
  <c r="N42" i="22" l="1"/>
  <c r="O21" i="22"/>
  <c r="M34" i="22"/>
  <c r="N34" i="22" s="1"/>
  <c r="L43" i="22"/>
  <c r="M43" i="22" s="1"/>
  <c r="N43" i="22" s="1"/>
  <c r="O33" i="22"/>
  <c r="Q27" i="22"/>
  <c r="R29" i="22" s="1"/>
  <c r="N30" i="22"/>
  <c r="O30" i="22" s="1"/>
  <c r="M22" i="21"/>
  <c r="N22" i="21" s="1"/>
  <c r="BH39" i="21"/>
  <c r="O40" i="22"/>
  <c r="N18" i="21"/>
  <c r="O18" i="21" s="1"/>
  <c r="P34" i="21"/>
  <c r="P35" i="21" s="1"/>
  <c r="P31" i="21"/>
  <c r="Q15" i="21"/>
  <c r="R17" i="21" s="1"/>
  <c r="R14" i="22"/>
  <c r="P40" i="22"/>
  <c r="P20" i="22"/>
  <c r="R28" i="21"/>
  <c r="S30" i="21" s="1"/>
  <c r="O41" i="21"/>
  <c r="O43" i="21" s="1"/>
  <c r="O21" i="21"/>
  <c r="M43" i="21"/>
  <c r="N41" i="21"/>
  <c r="N40" i="8"/>
  <c r="Q14" i="10"/>
  <c r="Q17" i="10" s="1"/>
  <c r="Q19" i="10"/>
  <c r="P19" i="10"/>
  <c r="G76" i="8"/>
  <c r="I59" i="3"/>
  <c r="J58" i="3" s="1"/>
  <c r="I56" i="3"/>
  <c r="J55" i="3" s="1"/>
  <c r="N56" i="8"/>
  <c r="H45" i="8"/>
  <c r="H55" i="8"/>
  <c r="J76" i="8" s="1"/>
  <c r="O34" i="22" l="1"/>
  <c r="R27" i="22"/>
  <c r="S29" i="22" s="1"/>
  <c r="O22" i="21"/>
  <c r="P21" i="22"/>
  <c r="Q20" i="22"/>
  <c r="N43" i="21"/>
  <c r="P42" i="22"/>
  <c r="BN39" i="21"/>
  <c r="S28" i="21"/>
  <c r="T30" i="21" s="1"/>
  <c r="S14" i="22"/>
  <c r="Q34" i="21"/>
  <c r="Q35" i="21" s="1"/>
  <c r="Q31" i="21"/>
  <c r="R15" i="21"/>
  <c r="S17" i="21" s="1"/>
  <c r="P41" i="21"/>
  <c r="P43" i="21" s="1"/>
  <c r="P21" i="21"/>
  <c r="P18" i="21"/>
  <c r="P30" i="22"/>
  <c r="Q17" i="22"/>
  <c r="M44" i="21"/>
  <c r="N44" i="21" s="1"/>
  <c r="O44" i="21" s="1"/>
  <c r="O42" i="22"/>
  <c r="P33" i="22"/>
  <c r="P34" i="22" s="1"/>
  <c r="R14" i="10"/>
  <c r="R17" i="10" s="1"/>
  <c r="R19" i="10"/>
  <c r="J56" i="3"/>
  <c r="K55" i="3" s="1"/>
  <c r="J59" i="3"/>
  <c r="K58" i="3" s="1"/>
  <c r="N55" i="8"/>
  <c r="N57" i="8" s="1"/>
  <c r="P44" i="21" l="1"/>
  <c r="T14" i="22"/>
  <c r="Q30" i="22"/>
  <c r="S15" i="21"/>
  <c r="T17" i="21" s="1"/>
  <c r="T28" i="21"/>
  <c r="U30" i="21" s="1"/>
  <c r="Q21" i="22"/>
  <c r="Q41" i="21"/>
  <c r="Q43" i="21" s="1"/>
  <c r="Q21" i="21"/>
  <c r="Q18" i="21"/>
  <c r="R34" i="21"/>
  <c r="R35" i="21" s="1"/>
  <c r="R31" i="21"/>
  <c r="P22" i="21"/>
  <c r="Q33" i="22"/>
  <c r="R20" i="22"/>
  <c r="O43" i="22"/>
  <c r="P43" i="22" s="1"/>
  <c r="S27" i="22"/>
  <c r="T29" i="22" s="1"/>
  <c r="R40" i="22"/>
  <c r="R17" i="22"/>
  <c r="Q40" i="22"/>
  <c r="K59" i="3"/>
  <c r="L58" i="3" s="1"/>
  <c r="K56" i="3"/>
  <c r="L55" i="3" s="1"/>
  <c r="Q44" i="21" l="1"/>
  <c r="Q34" i="22"/>
  <c r="R42" i="22"/>
  <c r="Q42" i="22"/>
  <c r="Q43" i="22" s="1"/>
  <c r="S17" i="22"/>
  <c r="Q22" i="21"/>
  <c r="R30" i="22"/>
  <c r="R33" i="22"/>
  <c r="R21" i="22"/>
  <c r="S20" i="22"/>
  <c r="U28" i="21"/>
  <c r="V30" i="21" s="1"/>
  <c r="U14" i="22"/>
  <c r="S34" i="21"/>
  <c r="S35" i="21" s="1"/>
  <c r="S31" i="21"/>
  <c r="R41" i="21"/>
  <c r="R43" i="21" s="1"/>
  <c r="R21" i="21"/>
  <c r="R18" i="21"/>
  <c r="T27" i="22"/>
  <c r="U29" i="22" s="1"/>
  <c r="T15" i="21"/>
  <c r="U17" i="21" s="1"/>
  <c r="R44" i="21" l="1"/>
  <c r="R34" i="22"/>
  <c r="R43" i="22"/>
  <c r="S33" i="22"/>
  <c r="S40" i="22"/>
  <c r="S30" i="22"/>
  <c r="U27" i="22"/>
  <c r="V29" i="22" s="1"/>
  <c r="T40" i="22"/>
  <c r="T20" i="22"/>
  <c r="R22" i="21"/>
  <c r="S22" i="21" s="1"/>
  <c r="V14" i="22"/>
  <c r="S21" i="22"/>
  <c r="U15" i="21"/>
  <c r="V17" i="21" s="1"/>
  <c r="V28" i="21"/>
  <c r="W30" i="21" s="1"/>
  <c r="T17" i="22"/>
  <c r="S41" i="21"/>
  <c r="S43" i="21" s="1"/>
  <c r="S21" i="21"/>
  <c r="S18" i="21"/>
  <c r="T34" i="21"/>
  <c r="T35" i="21" s="1"/>
  <c r="T31" i="21"/>
  <c r="S34" i="22" l="1"/>
  <c r="S44" i="21"/>
  <c r="T21" i="22"/>
  <c r="U21" i="22" s="1"/>
  <c r="U20" i="22"/>
  <c r="W28" i="21"/>
  <c r="X30" i="21" s="1"/>
  <c r="W14" i="22"/>
  <c r="U17" i="22"/>
  <c r="T30" i="22"/>
  <c r="S42" i="22"/>
  <c r="U34" i="21"/>
  <c r="U35" i="21" s="1"/>
  <c r="U31" i="21"/>
  <c r="T33" i="22"/>
  <c r="T34" i="22" s="1"/>
  <c r="V27" i="22"/>
  <c r="W29" i="22" s="1"/>
  <c r="V15" i="21"/>
  <c r="W17" i="21" s="1"/>
  <c r="T41" i="21"/>
  <c r="T43" i="21" s="1"/>
  <c r="T21" i="21"/>
  <c r="T18" i="21"/>
  <c r="T42" i="22"/>
  <c r="L39" i="3"/>
  <c r="L52" i="3" s="1"/>
  <c r="T44" i="21" l="1"/>
  <c r="W15" i="21"/>
  <c r="X17" i="21" s="1"/>
  <c r="U33" i="22"/>
  <c r="V17" i="22"/>
  <c r="W27" i="22"/>
  <c r="X29" i="22" s="1"/>
  <c r="V40" i="22"/>
  <c r="U40" i="22"/>
  <c r="U30" i="22"/>
  <c r="U41" i="21"/>
  <c r="U43" i="21" s="1"/>
  <c r="U44" i="21" s="1"/>
  <c r="U21" i="21"/>
  <c r="U18" i="21"/>
  <c r="T22" i="21"/>
  <c r="U22" i="21" s="1"/>
  <c r="S43" i="22"/>
  <c r="T43" i="22" s="1"/>
  <c r="V20" i="22"/>
  <c r="V34" i="21"/>
  <c r="V35" i="21" s="1"/>
  <c r="V31" i="21"/>
  <c r="X14" i="22"/>
  <c r="X28" i="21"/>
  <c r="Y30" i="21" s="1"/>
  <c r="O3" i="15"/>
  <c r="N52" i="3"/>
  <c r="L56" i="3"/>
  <c r="M55" i="3" s="1"/>
  <c r="O4" i="15"/>
  <c r="L40" i="3"/>
  <c r="M5" i="15"/>
  <c r="O5" i="15" s="1"/>
  <c r="L41" i="3"/>
  <c r="L42" i="3" s="1"/>
  <c r="V42" i="22" l="1"/>
  <c r="W34" i="21"/>
  <c r="W35" i="21" s="1"/>
  <c r="W31" i="21"/>
  <c r="X27" i="22"/>
  <c r="Y29" i="22" s="1"/>
  <c r="Y28" i="21"/>
  <c r="Z30" i="21" s="1"/>
  <c r="U34" i="22"/>
  <c r="X15" i="21"/>
  <c r="Y17" i="21" s="1"/>
  <c r="O14" i="15"/>
  <c r="W20" i="22"/>
  <c r="W40" i="22"/>
  <c r="V41" i="21"/>
  <c r="V43" i="21" s="1"/>
  <c r="V44" i="21" s="1"/>
  <c r="V21" i="21"/>
  <c r="V18" i="21"/>
  <c r="Y14" i="22"/>
  <c r="W17" i="22"/>
  <c r="V30" i="22"/>
  <c r="V21" i="22"/>
  <c r="W21" i="22" s="1"/>
  <c r="V33" i="22"/>
  <c r="U42" i="22"/>
  <c r="O15" i="15"/>
  <c r="O16" i="15" s="1"/>
  <c r="L53" i="3"/>
  <c r="M56" i="3"/>
  <c r="V34" i="22" l="1"/>
  <c r="W41" i="21"/>
  <c r="W43" i="21" s="1"/>
  <c r="W44" i="21" s="1"/>
  <c r="W21" i="21"/>
  <c r="W18" i="21"/>
  <c r="U43" i="22"/>
  <c r="V43" i="22" s="1"/>
  <c r="Y15" i="21"/>
  <c r="Z17" i="21" s="1"/>
  <c r="V22" i="21"/>
  <c r="W22" i="21" s="1"/>
  <c r="W42" i="22"/>
  <c r="W30" i="22"/>
  <c r="Z28" i="21"/>
  <c r="X17" i="22"/>
  <c r="X34" i="21"/>
  <c r="X35" i="21" s="1"/>
  <c r="X31" i="21"/>
  <c r="X40" i="22"/>
  <c r="X20" i="22"/>
  <c r="Y27" i="22"/>
  <c r="Z29" i="22" s="1"/>
  <c r="Z14" i="22"/>
  <c r="W33" i="22"/>
  <c r="N53" i="3"/>
  <c r="N54" i="3" s="1"/>
  <c r="L59" i="3"/>
  <c r="M58" i="3" s="1"/>
  <c r="B57" i="4"/>
  <c r="W43" i="22" l="1"/>
  <c r="AA28" i="21"/>
  <c r="X42" i="22"/>
  <c r="Y34" i="21"/>
  <c r="Y35" i="21" s="1"/>
  <c r="Y31" i="21"/>
  <c r="Z15" i="21"/>
  <c r="Z27" i="22"/>
  <c r="X30" i="22"/>
  <c r="X21" i="22"/>
  <c r="X41" i="21"/>
  <c r="X43" i="21" s="1"/>
  <c r="X44" i="21" s="1"/>
  <c r="X21" i="21"/>
  <c r="X18" i="21"/>
  <c r="Y17" i="22"/>
  <c r="Y40" i="22"/>
  <c r="Y20" i="22"/>
  <c r="AA14" i="22"/>
  <c r="AB14" i="22" s="1"/>
  <c r="X33" i="22"/>
  <c r="W34" i="22"/>
  <c r="M59" i="3"/>
  <c r="B65" i="4"/>
  <c r="B58" i="4"/>
  <c r="C57" i="4" s="1"/>
  <c r="B68" i="4"/>
  <c r="AB28" i="21" l="1"/>
  <c r="AC30" i="21" s="1"/>
  <c r="AB30" i="21"/>
  <c r="X43" i="22"/>
  <c r="X34" i="22"/>
  <c r="AC14" i="22"/>
  <c r="Y21" i="22"/>
  <c r="Z34" i="21"/>
  <c r="Z35" i="21" s="1"/>
  <c r="AA35" i="21" s="1"/>
  <c r="Z31" i="21"/>
  <c r="AA31" i="21" s="1"/>
  <c r="AA30" i="21"/>
  <c r="AA34" i="21" s="1"/>
  <c r="Y41" i="21"/>
  <c r="Y43" i="21" s="1"/>
  <c r="Y44" i="21" s="1"/>
  <c r="Y21" i="21"/>
  <c r="Y18" i="21"/>
  <c r="Y42" i="22"/>
  <c r="X22" i="21"/>
  <c r="AC28" i="21"/>
  <c r="AD30" i="21" s="1"/>
  <c r="Z17" i="22"/>
  <c r="Y30" i="22"/>
  <c r="AA15" i="21"/>
  <c r="Y33" i="22"/>
  <c r="Z20" i="22"/>
  <c r="AA16" i="22"/>
  <c r="AA27" i="22"/>
  <c r="C65" i="4"/>
  <c r="C58" i="4"/>
  <c r="D57" i="4" s="1"/>
  <c r="B69" i="4"/>
  <c r="C68" i="4" s="1"/>
  <c r="B60" i="4"/>
  <c r="AB15" i="21" l="1"/>
  <c r="AC17" i="21" s="1"/>
  <c r="AB17" i="21"/>
  <c r="AB27" i="22"/>
  <c r="AC29" i="22" s="1"/>
  <c r="AB29" i="22"/>
  <c r="Y43" i="22"/>
  <c r="Z21" i="22"/>
  <c r="AA21" i="22" s="1"/>
  <c r="AD28" i="21"/>
  <c r="AE30" i="21" s="1"/>
  <c r="AA20" i="22"/>
  <c r="Z41" i="21"/>
  <c r="Z43" i="21" s="1"/>
  <c r="Z44" i="21" s="1"/>
  <c r="AA44" i="21" s="1"/>
  <c r="Z21" i="21"/>
  <c r="AA17" i="21"/>
  <c r="Z18" i="21"/>
  <c r="AA18" i="21" s="1"/>
  <c r="AB34" i="21"/>
  <c r="AB35" i="21" s="1"/>
  <c r="AB20" i="22"/>
  <c r="Z33" i="22"/>
  <c r="AA29" i="22"/>
  <c r="AA33" i="22" s="1"/>
  <c r="AA17" i="22"/>
  <c r="AB17" i="22" s="1"/>
  <c r="AD14" i="22"/>
  <c r="Z40" i="22"/>
  <c r="Y34" i="22"/>
  <c r="AC27" i="22"/>
  <c r="AD29" i="22" s="1"/>
  <c r="AB40" i="22"/>
  <c r="AB31" i="21"/>
  <c r="Z30" i="22"/>
  <c r="Y22" i="21"/>
  <c r="B71" i="4"/>
  <c r="D58" i="4"/>
  <c r="E57" i="4" s="1"/>
  <c r="D65" i="4"/>
  <c r="B61" i="4"/>
  <c r="C60" i="4" s="1"/>
  <c r="B66" i="4"/>
  <c r="C69" i="4"/>
  <c r="D68" i="4" s="1"/>
  <c r="Z22" i="21" l="1"/>
  <c r="AA22" i="21" s="1"/>
  <c r="AC15" i="21"/>
  <c r="AD17" i="21" s="1"/>
  <c r="AB21" i="22"/>
  <c r="Z34" i="22"/>
  <c r="AA34" i="22" s="1"/>
  <c r="AB42" i="22"/>
  <c r="AD27" i="22"/>
  <c r="AE29" i="22" s="1"/>
  <c r="AA40" i="22"/>
  <c r="AA42" i="22" s="1"/>
  <c r="AA30" i="22"/>
  <c r="AB30" i="22" s="1"/>
  <c r="AC17" i="22"/>
  <c r="AE28" i="21"/>
  <c r="AF30" i="21" s="1"/>
  <c r="AB18" i="21"/>
  <c r="Z42" i="22"/>
  <c r="AC40" i="22"/>
  <c r="AC20" i="22"/>
  <c r="AA41" i="21"/>
  <c r="AA43" i="21" s="1"/>
  <c r="AA21" i="21"/>
  <c r="AE14" i="22"/>
  <c r="AC34" i="21"/>
  <c r="AC35" i="21" s="1"/>
  <c r="AC31" i="21"/>
  <c r="AB33" i="22"/>
  <c r="AB41" i="21"/>
  <c r="AB43" i="21" s="1"/>
  <c r="AB44" i="21" s="1"/>
  <c r="AB21" i="21"/>
  <c r="B72" i="4"/>
  <c r="C71" i="4" s="1"/>
  <c r="C61" i="4"/>
  <c r="D60" i="4" s="1"/>
  <c r="C66" i="4"/>
  <c r="C72" i="4" s="1"/>
  <c r="D71" i="4" s="1"/>
  <c r="D69" i="4"/>
  <c r="E68" i="4" s="1"/>
  <c r="D77" i="4"/>
  <c r="E65" i="4"/>
  <c r="E58" i="4"/>
  <c r="F57" i="4" s="1"/>
  <c r="AB22" i="21" l="1"/>
  <c r="AD15" i="21"/>
  <c r="AE17" i="21" s="1"/>
  <c r="AC21" i="22"/>
  <c r="AE27" i="22"/>
  <c r="AF29" i="22" s="1"/>
  <c r="AF14" i="22"/>
  <c r="AB34" i="22"/>
  <c r="AC41" i="21"/>
  <c r="AC43" i="21" s="1"/>
  <c r="AC44" i="21" s="1"/>
  <c r="AC21" i="21"/>
  <c r="AC22" i="21" s="1"/>
  <c r="AC18" i="21"/>
  <c r="AD20" i="22"/>
  <c r="AD40" i="22"/>
  <c r="AD17" i="22"/>
  <c r="AC30" i="22"/>
  <c r="AC42" i="22"/>
  <c r="Z43" i="22"/>
  <c r="AA43" i="22" s="1"/>
  <c r="AB43" i="22" s="1"/>
  <c r="AF28" i="21"/>
  <c r="AG30" i="21" s="1"/>
  <c r="AD34" i="21"/>
  <c r="AD35" i="21" s="1"/>
  <c r="AD31" i="21"/>
  <c r="AC33" i="22"/>
  <c r="D61" i="4"/>
  <c r="E60" i="4" s="1"/>
  <c r="D66" i="4"/>
  <c r="D72" i="4" s="1"/>
  <c r="E71" i="4" s="1"/>
  <c r="F58" i="4"/>
  <c r="G57" i="4" s="1"/>
  <c r="F65" i="4"/>
  <c r="E69" i="4"/>
  <c r="F68" i="4" s="1"/>
  <c r="AE15" i="21" l="1"/>
  <c r="AF17" i="21" s="1"/>
  <c r="AD41" i="21"/>
  <c r="AD43" i="21" s="1"/>
  <c r="AD44" i="21" s="1"/>
  <c r="AD21" i="21"/>
  <c r="AD18" i="21"/>
  <c r="AD33" i="22"/>
  <c r="D78" i="4"/>
  <c r="AD30" i="22"/>
  <c r="AF27" i="22"/>
  <c r="AG29" i="22" s="1"/>
  <c r="AG28" i="21"/>
  <c r="AH30" i="21" s="1"/>
  <c r="AE34" i="21"/>
  <c r="AE35" i="21" s="1"/>
  <c r="AE31" i="21"/>
  <c r="AC43" i="22"/>
  <c r="AC34" i="22"/>
  <c r="AD34" i="22" s="1"/>
  <c r="AE17" i="22"/>
  <c r="AE20" i="22"/>
  <c r="AD42" i="22"/>
  <c r="AG14" i="22"/>
  <c r="AF15" i="21"/>
  <c r="AG17" i="21" s="1"/>
  <c r="AD21" i="22"/>
  <c r="F69" i="4"/>
  <c r="G68" i="4" s="1"/>
  <c r="G58" i="4"/>
  <c r="H57" i="4" s="1"/>
  <c r="G65" i="4"/>
  <c r="E66" i="4"/>
  <c r="E61" i="4"/>
  <c r="F60" i="4" s="1"/>
  <c r="AE21" i="22" l="1"/>
  <c r="AE30" i="22"/>
  <c r="AD22" i="21"/>
  <c r="AE33" i="22"/>
  <c r="AF17" i="22"/>
  <c r="AH28" i="21"/>
  <c r="AI30" i="21" s="1"/>
  <c r="AG15" i="21"/>
  <c r="AH17" i="21" s="1"/>
  <c r="AE40" i="22"/>
  <c r="AD43" i="22"/>
  <c r="AF34" i="21"/>
  <c r="AF35" i="21" s="1"/>
  <c r="AF31" i="21"/>
  <c r="AF40" i="22"/>
  <c r="AF20" i="22"/>
  <c r="AF21" i="22" s="1"/>
  <c r="AH14" i="22"/>
  <c r="AG27" i="22"/>
  <c r="AH29" i="22" s="1"/>
  <c r="AE41" i="21"/>
  <c r="AE43" i="21" s="1"/>
  <c r="AE44" i="21" s="1"/>
  <c r="AE21" i="21"/>
  <c r="AE18" i="21"/>
  <c r="E72" i="4"/>
  <c r="F71" i="4" s="1"/>
  <c r="F61" i="4"/>
  <c r="G60" i="4" s="1"/>
  <c r="F66" i="4"/>
  <c r="G69" i="4"/>
  <c r="H68" i="4" s="1"/>
  <c r="G77" i="4"/>
  <c r="H65" i="4"/>
  <c r="H58" i="4"/>
  <c r="I57" i="4" s="1"/>
  <c r="AG20" i="22" l="1"/>
  <c r="AI14" i="22"/>
  <c r="AH15" i="21"/>
  <c r="AI17" i="21" s="1"/>
  <c r="AF41" i="21"/>
  <c r="AF43" i="21" s="1"/>
  <c r="AF44" i="21" s="1"/>
  <c r="AF21" i="21"/>
  <c r="AF18" i="21"/>
  <c r="AG17" i="22"/>
  <c r="AF42" i="22"/>
  <c r="AI28" i="21"/>
  <c r="AJ30" i="21" s="1"/>
  <c r="AG34" i="21"/>
  <c r="AG35" i="21" s="1"/>
  <c r="AG31" i="21"/>
  <c r="AF33" i="22"/>
  <c r="AE22" i="21"/>
  <c r="AH27" i="22"/>
  <c r="AI29" i="22" s="1"/>
  <c r="AE34" i="22"/>
  <c r="AF34" i="22" s="1"/>
  <c r="AE42" i="22"/>
  <c r="AF30" i="22"/>
  <c r="G61" i="4"/>
  <c r="H60" i="4" s="1"/>
  <c r="G66" i="4"/>
  <c r="H69" i="4"/>
  <c r="I68" i="4" s="1"/>
  <c r="F72" i="4"/>
  <c r="G71" i="4" s="1"/>
  <c r="I65" i="4"/>
  <c r="I58" i="4"/>
  <c r="J57" i="4" s="1"/>
  <c r="AE43" i="22" l="1"/>
  <c r="AF43" i="22" s="1"/>
  <c r="AG30" i="22"/>
  <c r="AI15" i="21"/>
  <c r="AJ17" i="21" s="1"/>
  <c r="AG41" i="21"/>
  <c r="AG43" i="21" s="1"/>
  <c r="AG44" i="21" s="1"/>
  <c r="AG21" i="21"/>
  <c r="AG18" i="21"/>
  <c r="AG33" i="22"/>
  <c r="AH17" i="22"/>
  <c r="AH40" i="22"/>
  <c r="AH20" i="22"/>
  <c r="AG40" i="22"/>
  <c r="AJ28" i="21"/>
  <c r="AK30" i="21" s="1"/>
  <c r="AJ14" i="22"/>
  <c r="AG21" i="22"/>
  <c r="AI27" i="22"/>
  <c r="AJ29" i="22" s="1"/>
  <c r="AF22" i="21"/>
  <c r="AH34" i="21"/>
  <c r="AH35" i="21" s="1"/>
  <c r="AH31" i="21"/>
  <c r="I69" i="4"/>
  <c r="J68" i="4" s="1"/>
  <c r="J65" i="4"/>
  <c r="J58" i="4"/>
  <c r="K57" i="4" s="1"/>
  <c r="G72" i="4"/>
  <c r="H71" i="4" s="1"/>
  <c r="G78" i="4"/>
  <c r="H66" i="4"/>
  <c r="H61" i="4"/>
  <c r="I60" i="4" s="1"/>
  <c r="AJ27" i="22" l="1"/>
  <c r="AK29" i="22" s="1"/>
  <c r="AI20" i="22"/>
  <c r="AI40" i="22"/>
  <c r="AH42" i="22"/>
  <c r="AK14" i="22"/>
  <c r="AH21" i="22"/>
  <c r="AI21" i="22" s="1"/>
  <c r="AI17" i="22"/>
  <c r="AJ15" i="21"/>
  <c r="AK17" i="21" s="1"/>
  <c r="AI34" i="21"/>
  <c r="AI35" i="21" s="1"/>
  <c r="AI31" i="21"/>
  <c r="AH41" i="21"/>
  <c r="AH43" i="21" s="1"/>
  <c r="AH44" i="21" s="1"/>
  <c r="AH21" i="21"/>
  <c r="AH18" i="21"/>
  <c r="AH30" i="22"/>
  <c r="AK28" i="21"/>
  <c r="AL30" i="21" s="1"/>
  <c r="AG22" i="21"/>
  <c r="AH33" i="22"/>
  <c r="AG42" i="22"/>
  <c r="AG34" i="22"/>
  <c r="J69" i="4"/>
  <c r="K68" i="4" s="1"/>
  <c r="J77" i="4"/>
  <c r="I66" i="4"/>
  <c r="I61" i="4"/>
  <c r="J60" i="4" s="1"/>
  <c r="H72" i="4"/>
  <c r="I71" i="4" s="1"/>
  <c r="K58" i="4"/>
  <c r="L57" i="4" s="1"/>
  <c r="K65" i="4"/>
  <c r="AH34" i="22" l="1"/>
  <c r="AL28" i="21"/>
  <c r="AM30" i="21" s="1"/>
  <c r="AJ20" i="22"/>
  <c r="AJ40" i="22"/>
  <c r="AI33" i="22"/>
  <c r="AH22" i="21"/>
  <c r="AI42" i="22"/>
  <c r="AL14" i="22"/>
  <c r="AK27" i="22"/>
  <c r="AL29" i="22" s="1"/>
  <c r="AK15" i="21"/>
  <c r="AL17" i="21" s="1"/>
  <c r="AJ17" i="22"/>
  <c r="AJ34" i="21"/>
  <c r="AJ35" i="21" s="1"/>
  <c r="AJ31" i="21"/>
  <c r="AI30" i="22"/>
  <c r="AI41" i="21"/>
  <c r="AI43" i="21" s="1"/>
  <c r="AI44" i="21" s="1"/>
  <c r="AI21" i="21"/>
  <c r="AI18" i="21"/>
  <c r="AG43" i="22"/>
  <c r="AH43" i="22" s="1"/>
  <c r="K69" i="4"/>
  <c r="L68" i="4" s="1"/>
  <c r="L65" i="4"/>
  <c r="L58" i="4"/>
  <c r="M57" i="4" s="1"/>
  <c r="J61" i="4"/>
  <c r="K60" i="4" s="1"/>
  <c r="J66" i="4"/>
  <c r="I72" i="4"/>
  <c r="J71" i="4" s="1"/>
  <c r="AI43" i="22" l="1"/>
  <c r="AI34" i="22"/>
  <c r="AJ30" i="22"/>
  <c r="AM28" i="21"/>
  <c r="AJ21" i="22"/>
  <c r="AK20" i="22"/>
  <c r="AJ42" i="22"/>
  <c r="AK17" i="22"/>
  <c r="AM14" i="22"/>
  <c r="AK34" i="21"/>
  <c r="AK35" i="21" s="1"/>
  <c r="AK31" i="21"/>
  <c r="AL15" i="21"/>
  <c r="AM17" i="21" s="1"/>
  <c r="AI22" i="21"/>
  <c r="AJ41" i="21"/>
  <c r="AJ43" i="21" s="1"/>
  <c r="AJ44" i="21" s="1"/>
  <c r="AJ21" i="21"/>
  <c r="AJ18" i="21"/>
  <c r="AL27" i="22"/>
  <c r="AM29" i="22" s="1"/>
  <c r="L69" i="4"/>
  <c r="M68" i="4" s="1"/>
  <c r="AJ33" i="22"/>
  <c r="J72" i="4"/>
  <c r="K71" i="4" s="1"/>
  <c r="J78" i="4"/>
  <c r="K66" i="4"/>
  <c r="K61" i="4"/>
  <c r="L60" i="4" s="1"/>
  <c r="M65" i="4"/>
  <c r="M58" i="4"/>
  <c r="AJ43" i="22" l="1"/>
  <c r="AK33" i="22"/>
  <c r="AL17" i="22"/>
  <c r="AL34" i="21"/>
  <c r="AL35" i="21" s="1"/>
  <c r="AL31" i="21"/>
  <c r="AM27" i="22"/>
  <c r="AN28" i="21"/>
  <c r="AK41" i="21"/>
  <c r="AK43" i="21" s="1"/>
  <c r="AK44" i="21" s="1"/>
  <c r="AK21" i="21"/>
  <c r="AK18" i="21"/>
  <c r="AJ34" i="22"/>
  <c r="AK34" i="22" s="1"/>
  <c r="AK40" i="22"/>
  <c r="AM15" i="21"/>
  <c r="AL20" i="22"/>
  <c r="AK30" i="22"/>
  <c r="AJ22" i="21"/>
  <c r="AN14" i="22"/>
  <c r="AK21" i="22"/>
  <c r="B58" i="6"/>
  <c r="L66" i="4"/>
  <c r="L61" i="4"/>
  <c r="M60" i="4" s="1"/>
  <c r="K72" i="4"/>
  <c r="L71" i="4" s="1"/>
  <c r="M69" i="4"/>
  <c r="N65" i="4"/>
  <c r="AO14" i="22" l="1"/>
  <c r="AP16" i="22" s="1"/>
  <c r="AO16" i="22"/>
  <c r="AO28" i="21"/>
  <c r="AP30" i="21" s="1"/>
  <c r="AO30" i="21"/>
  <c r="AL21" i="22"/>
  <c r="AK22" i="21"/>
  <c r="AL41" i="21"/>
  <c r="AL43" i="21" s="1"/>
  <c r="AL44" i="21" s="1"/>
  <c r="AL21" i="21"/>
  <c r="AL18" i="21"/>
  <c r="AM34" i="21"/>
  <c r="AM35" i="21" s="1"/>
  <c r="AN35" i="21" s="1"/>
  <c r="AN30" i="21"/>
  <c r="AN34" i="21" s="1"/>
  <c r="AM31" i="21"/>
  <c r="AN31" i="21" s="1"/>
  <c r="AN27" i="22"/>
  <c r="AP28" i="21"/>
  <c r="AQ30" i="21" s="1"/>
  <c r="AK42" i="22"/>
  <c r="AL30" i="22"/>
  <c r="AM17" i="22"/>
  <c r="AM20" i="22"/>
  <c r="AN16" i="22"/>
  <c r="AL33" i="22"/>
  <c r="AN15" i="21"/>
  <c r="AL34" i="22"/>
  <c r="AL40" i="22"/>
  <c r="L72" i="4"/>
  <c r="M71" i="4" s="1"/>
  <c r="B69" i="6"/>
  <c r="M66" i="4"/>
  <c r="M61" i="4"/>
  <c r="B66" i="6"/>
  <c r="B59" i="6"/>
  <c r="C58" i="6" s="1"/>
  <c r="AP14" i="22" l="1"/>
  <c r="AQ16" i="22" s="1"/>
  <c r="AO15" i="21"/>
  <c r="AP17" i="21" s="1"/>
  <c r="AO17" i="21"/>
  <c r="AO27" i="22"/>
  <c r="AP29" i="22" s="1"/>
  <c r="AO29" i="22"/>
  <c r="AQ28" i="21"/>
  <c r="AR30" i="21" s="1"/>
  <c r="AM41" i="21"/>
  <c r="AM43" i="21" s="1"/>
  <c r="AM44" i="21" s="1"/>
  <c r="AN44" i="21" s="1"/>
  <c r="AM21" i="21"/>
  <c r="AM18" i="21"/>
  <c r="AN18" i="21" s="1"/>
  <c r="AN17" i="21"/>
  <c r="AN17" i="22"/>
  <c r="AO17" i="22" s="1"/>
  <c r="AO34" i="21"/>
  <c r="AO35" i="21" s="1"/>
  <c r="AO31" i="21"/>
  <c r="AM30" i="22"/>
  <c r="AP27" i="22"/>
  <c r="AQ29" i="22" s="1"/>
  <c r="AO40" i="22"/>
  <c r="AM33" i="22"/>
  <c r="AN29" i="22"/>
  <c r="AN33" i="22" s="1"/>
  <c r="AL42" i="22"/>
  <c r="AN20" i="22"/>
  <c r="AO20" i="22"/>
  <c r="AM21" i="22"/>
  <c r="AN21" i="22" s="1"/>
  <c r="AM40" i="22"/>
  <c r="AK43" i="22"/>
  <c r="AQ14" i="22"/>
  <c r="AR16" i="22" s="1"/>
  <c r="AL22" i="21"/>
  <c r="B70" i="6"/>
  <c r="C69" i="6" s="1"/>
  <c r="C59" i="6"/>
  <c r="D58" i="6" s="1"/>
  <c r="C66" i="6"/>
  <c r="B61" i="6"/>
  <c r="M72" i="4"/>
  <c r="N66" i="4"/>
  <c r="AP15" i="21" l="1"/>
  <c r="AQ17" i="21" s="1"/>
  <c r="AO18" i="21"/>
  <c r="AM22" i="21"/>
  <c r="AN22" i="21" s="1"/>
  <c r="AN40" i="22"/>
  <c r="AN42" i="22" s="1"/>
  <c r="AL43" i="22"/>
  <c r="AO42" i="22"/>
  <c r="AP20" i="22"/>
  <c r="AP40" i="22"/>
  <c r="AM34" i="22"/>
  <c r="AN34" i="22" s="1"/>
  <c r="AQ15" i="21"/>
  <c r="AR17" i="21" s="1"/>
  <c r="AN41" i="21"/>
  <c r="AN43" i="21" s="1"/>
  <c r="AN21" i="21"/>
  <c r="AR14" i="22"/>
  <c r="AS16" i="22" s="1"/>
  <c r="AO33" i="22"/>
  <c r="AO41" i="21"/>
  <c r="AO43" i="21" s="1"/>
  <c r="AO44" i="21" s="1"/>
  <c r="AO21" i="21"/>
  <c r="AO22" i="21" s="1"/>
  <c r="AP34" i="21"/>
  <c r="AP35" i="21" s="1"/>
  <c r="AP31" i="21"/>
  <c r="AQ27" i="22"/>
  <c r="AR29" i="22" s="1"/>
  <c r="AM42" i="22"/>
  <c r="AM43" i="22" s="1"/>
  <c r="AN43" i="22" s="1"/>
  <c r="AN30" i="22"/>
  <c r="AO30" i="22" s="1"/>
  <c r="AR28" i="21"/>
  <c r="AS30" i="21" s="1"/>
  <c r="AO21" i="22"/>
  <c r="AP17" i="22"/>
  <c r="C70" i="6"/>
  <c r="D69" i="6" s="1"/>
  <c r="B72" i="6"/>
  <c r="B62" i="6"/>
  <c r="C61" i="6" s="1"/>
  <c r="B67" i="6"/>
  <c r="D66" i="6"/>
  <c r="D59" i="6"/>
  <c r="E58" i="6" s="1"/>
  <c r="AO43" i="22" l="1"/>
  <c r="AO34" i="22"/>
  <c r="AP21" i="22"/>
  <c r="AP42" i="22"/>
  <c r="AQ20" i="22"/>
  <c r="AQ21" i="22" s="1"/>
  <c r="AS14" i="22"/>
  <c r="AT16" i="22" s="1"/>
  <c r="AP30" i="22"/>
  <c r="AQ34" i="21"/>
  <c r="AQ35" i="21" s="1"/>
  <c r="AQ31" i="21"/>
  <c r="AP33" i="22"/>
  <c r="AR15" i="21"/>
  <c r="AS17" i="21" s="1"/>
  <c r="AQ17" i="22"/>
  <c r="AS28" i="21"/>
  <c r="AT30" i="21" s="1"/>
  <c r="AR27" i="22"/>
  <c r="AS29" i="22" s="1"/>
  <c r="AQ40" i="22"/>
  <c r="AP41" i="21"/>
  <c r="AP43" i="21" s="1"/>
  <c r="AP44" i="21" s="1"/>
  <c r="AP21" i="21"/>
  <c r="AP22" i="21" s="1"/>
  <c r="AP18" i="21"/>
  <c r="D70" i="6"/>
  <c r="E69" i="6" s="1"/>
  <c r="B73" i="6"/>
  <c r="C72" i="6" s="1"/>
  <c r="E66" i="6"/>
  <c r="E59" i="6"/>
  <c r="F58" i="6" s="1"/>
  <c r="C67" i="6"/>
  <c r="C62" i="6"/>
  <c r="D61" i="6" s="1"/>
  <c r="D78" i="6"/>
  <c r="AP43" i="22" l="1"/>
  <c r="AQ42" i="22"/>
  <c r="AR34" i="21"/>
  <c r="AR35" i="21" s="1"/>
  <c r="AR31" i="21"/>
  <c r="AQ30" i="22"/>
  <c r="AT28" i="21"/>
  <c r="AU30" i="21" s="1"/>
  <c r="AQ33" i="22"/>
  <c r="AS27" i="22"/>
  <c r="AT29" i="22" s="1"/>
  <c r="AQ41" i="21"/>
  <c r="AQ43" i="21" s="1"/>
  <c r="AQ44" i="21" s="1"/>
  <c r="AQ21" i="21"/>
  <c r="AQ22" i="21" s="1"/>
  <c r="AQ18" i="21"/>
  <c r="AS15" i="21"/>
  <c r="AT17" i="21" s="1"/>
  <c r="AR17" i="22"/>
  <c r="AT14" i="22"/>
  <c r="AU16" i="22" s="1"/>
  <c r="AR40" i="22"/>
  <c r="AR20" i="22"/>
  <c r="AR21" i="22" s="1"/>
  <c r="AP34" i="22"/>
  <c r="C73" i="6"/>
  <c r="D72" i="6" s="1"/>
  <c r="F59" i="6"/>
  <c r="G58" i="6" s="1"/>
  <c r="F66" i="6"/>
  <c r="D67" i="6"/>
  <c r="D62" i="6"/>
  <c r="E61" i="6" s="1"/>
  <c r="E70" i="6"/>
  <c r="F69" i="6" s="1"/>
  <c r="AQ43" i="22" l="1"/>
  <c r="AQ34" i="22"/>
  <c r="AT15" i="21"/>
  <c r="AU17" i="21" s="1"/>
  <c r="AR30" i="22"/>
  <c r="AR42" i="22"/>
  <c r="AR41" i="21"/>
  <c r="AR43" i="21" s="1"/>
  <c r="AR44" i="21" s="1"/>
  <c r="AR21" i="21"/>
  <c r="AR18" i="21"/>
  <c r="AS17" i="22"/>
  <c r="AU14" i="22"/>
  <c r="AV16" i="22" s="1"/>
  <c r="AR33" i="22"/>
  <c r="AU28" i="21"/>
  <c r="AV30" i="21" s="1"/>
  <c r="AS20" i="22"/>
  <c r="AS21" i="22" s="1"/>
  <c r="AT27" i="22"/>
  <c r="AU29" i="22" s="1"/>
  <c r="AS34" i="21"/>
  <c r="AS35" i="21" s="1"/>
  <c r="AS31" i="21"/>
  <c r="D73" i="6"/>
  <c r="E72" i="6" s="1"/>
  <c r="E67" i="6"/>
  <c r="E62" i="6"/>
  <c r="F61" i="6" s="1"/>
  <c r="F70" i="6"/>
  <c r="G69" i="6" s="1"/>
  <c r="D79" i="6"/>
  <c r="G66" i="6"/>
  <c r="G59" i="6"/>
  <c r="H58" i="6" s="1"/>
  <c r="AT34" i="21" l="1"/>
  <c r="AT35" i="21" s="1"/>
  <c r="AT31" i="21"/>
  <c r="AR43" i="22"/>
  <c r="AT17" i="22"/>
  <c r="AR34" i="22"/>
  <c r="AS33" i="22"/>
  <c r="AU27" i="22"/>
  <c r="AV29" i="22" s="1"/>
  <c r="AS40" i="22"/>
  <c r="AV14" i="22"/>
  <c r="AW16" i="22" s="1"/>
  <c r="AS30" i="22"/>
  <c r="AV28" i="21"/>
  <c r="AW30" i="21" s="1"/>
  <c r="AT20" i="22"/>
  <c r="AT40" i="22"/>
  <c r="AR22" i="21"/>
  <c r="AU15" i="21"/>
  <c r="AV17" i="21" s="1"/>
  <c r="AS41" i="21"/>
  <c r="AS43" i="21" s="1"/>
  <c r="AS44" i="21" s="1"/>
  <c r="AS21" i="21"/>
  <c r="AS18" i="21"/>
  <c r="H59" i="6"/>
  <c r="I58" i="6" s="1"/>
  <c r="H66" i="6"/>
  <c r="G70" i="6"/>
  <c r="H69" i="6" s="1"/>
  <c r="G78" i="6"/>
  <c r="F62" i="6"/>
  <c r="G61" i="6" s="1"/>
  <c r="F67" i="6"/>
  <c r="E73" i="6"/>
  <c r="F72" i="6" s="1"/>
  <c r="AT41" i="21" l="1"/>
  <c r="AT43" i="21" s="1"/>
  <c r="AT44" i="21" s="1"/>
  <c r="AT21" i="21"/>
  <c r="AT18" i="21"/>
  <c r="AT33" i="22"/>
  <c r="AV15" i="21"/>
  <c r="AW17" i="21" s="1"/>
  <c r="AU34" i="21"/>
  <c r="AU35" i="21" s="1"/>
  <c r="AU31" i="21"/>
  <c r="AT30" i="22"/>
  <c r="AV27" i="22"/>
  <c r="AW29" i="22" s="1"/>
  <c r="AS22" i="21"/>
  <c r="AU17" i="22"/>
  <c r="AU20" i="22"/>
  <c r="AU40" i="22"/>
  <c r="AT21" i="22"/>
  <c r="AW14" i="22"/>
  <c r="AX16" i="22" s="1"/>
  <c r="AS42" i="22"/>
  <c r="AS34" i="22"/>
  <c r="AT42" i="22"/>
  <c r="AW28" i="21"/>
  <c r="AX30" i="21" s="1"/>
  <c r="F73" i="6"/>
  <c r="G72" i="6" s="1"/>
  <c r="G67" i="6"/>
  <c r="G62" i="6"/>
  <c r="H61" i="6" s="1"/>
  <c r="H70" i="6"/>
  <c r="I69" i="6" s="1"/>
  <c r="I66" i="6"/>
  <c r="I59" i="6"/>
  <c r="J58" i="6" s="1"/>
  <c r="AS43" i="22" l="1"/>
  <c r="AT43" i="22" s="1"/>
  <c r="AW27" i="22"/>
  <c r="AX29" i="22" s="1"/>
  <c r="AU41" i="21"/>
  <c r="AU43" i="21" s="1"/>
  <c r="AU44" i="21" s="1"/>
  <c r="AU21" i="21"/>
  <c r="AU18" i="21"/>
  <c r="AU30" i="22"/>
  <c r="AU33" i="22"/>
  <c r="AX28" i="21"/>
  <c r="AY30" i="21" s="1"/>
  <c r="AU42" i="22"/>
  <c r="AT34" i="22"/>
  <c r="AV34" i="21"/>
  <c r="AV35" i="21" s="1"/>
  <c r="AV31" i="21"/>
  <c r="AX14" i="22"/>
  <c r="AY16" i="22" s="1"/>
  <c r="AU21" i="22"/>
  <c r="AT22" i="21"/>
  <c r="AV20" i="22"/>
  <c r="AV40" i="22"/>
  <c r="AV17" i="22"/>
  <c r="AW15" i="21"/>
  <c r="AX17" i="21" s="1"/>
  <c r="G73" i="6"/>
  <c r="H72" i="6" s="1"/>
  <c r="I70" i="6"/>
  <c r="J69" i="6" s="1"/>
  <c r="H67" i="6"/>
  <c r="H62" i="6"/>
  <c r="I61" i="6" s="1"/>
  <c r="G79" i="6"/>
  <c r="J59" i="6"/>
  <c r="K58" i="6" s="1"/>
  <c r="J66" i="6"/>
  <c r="AV21" i="22" l="1"/>
  <c r="AU34" i="22"/>
  <c r="AV42" i="22"/>
  <c r="AX15" i="21"/>
  <c r="AY17" i="21" s="1"/>
  <c r="AX27" i="22"/>
  <c r="AY29" i="22" s="1"/>
  <c r="AV30" i="22"/>
  <c r="AV33" i="22"/>
  <c r="AU43" i="22"/>
  <c r="AW17" i="22"/>
  <c r="AW20" i="22"/>
  <c r="AW34" i="21"/>
  <c r="AW35" i="21" s="1"/>
  <c r="AW31" i="21"/>
  <c r="AY14" i="22"/>
  <c r="AZ16" i="22" s="1"/>
  <c r="AY28" i="21"/>
  <c r="AZ30" i="21" s="1"/>
  <c r="AV41" i="21"/>
  <c r="AV43" i="21" s="1"/>
  <c r="AV44" i="21" s="1"/>
  <c r="AV21" i="21"/>
  <c r="AV18" i="21"/>
  <c r="AU22" i="21"/>
  <c r="J70" i="6"/>
  <c r="K69" i="6" s="1"/>
  <c r="K66" i="6"/>
  <c r="K59" i="6"/>
  <c r="L58" i="6" s="1"/>
  <c r="I67" i="6"/>
  <c r="I62" i="6"/>
  <c r="J61" i="6" s="1"/>
  <c r="J78" i="6"/>
  <c r="H73" i="6"/>
  <c r="I72" i="6" s="1"/>
  <c r="AZ14" i="22" l="1"/>
  <c r="AW21" i="21"/>
  <c r="AW41" i="21"/>
  <c r="AW43" i="21" s="1"/>
  <c r="AW44" i="21" s="1"/>
  <c r="AW18" i="21"/>
  <c r="AW30" i="22"/>
  <c r="AW33" i="22"/>
  <c r="AV22" i="21"/>
  <c r="AY15" i="21"/>
  <c r="AZ17" i="21" s="1"/>
  <c r="AV34" i="22"/>
  <c r="AV43" i="22"/>
  <c r="AX20" i="22"/>
  <c r="AX17" i="22"/>
  <c r="AW21" i="22"/>
  <c r="AZ28" i="21"/>
  <c r="AX34" i="21"/>
  <c r="AX35" i="21" s="1"/>
  <c r="AX31" i="21"/>
  <c r="AW40" i="22"/>
  <c r="AY27" i="22"/>
  <c r="AZ29" i="22" s="1"/>
  <c r="AX40" i="22"/>
  <c r="J62" i="6"/>
  <c r="K61" i="6" s="1"/>
  <c r="J67" i="6"/>
  <c r="I73" i="6"/>
  <c r="J72" i="6" s="1"/>
  <c r="L66" i="6"/>
  <c r="L59" i="6"/>
  <c r="M58" i="6" s="1"/>
  <c r="K70" i="6"/>
  <c r="L69" i="6" s="1"/>
  <c r="AX42" i="22" l="1"/>
  <c r="AZ15" i="21"/>
  <c r="BA28" i="21"/>
  <c r="AX21" i="21"/>
  <c r="AX41" i="21"/>
  <c r="AX43" i="21" s="1"/>
  <c r="AX44" i="21" s="1"/>
  <c r="AX18" i="21"/>
  <c r="AY34" i="21"/>
  <c r="AY35" i="21" s="1"/>
  <c r="AY31" i="21"/>
  <c r="AW22" i="21"/>
  <c r="AX33" i="22"/>
  <c r="AX30" i="22"/>
  <c r="AX21" i="22"/>
  <c r="AZ27" i="22"/>
  <c r="BA14" i="22"/>
  <c r="AW42" i="22"/>
  <c r="AW34" i="22"/>
  <c r="AY20" i="22"/>
  <c r="AY17" i="22"/>
  <c r="M59" i="6"/>
  <c r="M66" i="6"/>
  <c r="L70" i="6"/>
  <c r="M69" i="6" s="1"/>
  <c r="J73" i="6"/>
  <c r="K72" i="6" s="1"/>
  <c r="J79" i="6"/>
  <c r="K67" i="6"/>
  <c r="K62" i="6"/>
  <c r="L61" i="6" s="1"/>
  <c r="BB14" i="22" l="1"/>
  <c r="BC16" i="22" s="1"/>
  <c r="BB16" i="22"/>
  <c r="BB28" i="21"/>
  <c r="BC30" i="21" s="1"/>
  <c r="BB30" i="21"/>
  <c r="AY30" i="22"/>
  <c r="AY33" i="22"/>
  <c r="AZ34" i="21"/>
  <c r="AZ35" i="21" s="1"/>
  <c r="BA35" i="21" s="1"/>
  <c r="AZ31" i="21"/>
  <c r="BA31" i="21" s="1"/>
  <c r="BB31" i="21" s="1"/>
  <c r="BA30" i="21"/>
  <c r="BA34" i="21" s="1"/>
  <c r="AW43" i="22"/>
  <c r="AX43" i="22" s="1"/>
  <c r="BA15" i="21"/>
  <c r="BA27" i="22"/>
  <c r="AY21" i="21"/>
  <c r="AY41" i="21"/>
  <c r="AY43" i="21" s="1"/>
  <c r="AY44" i="21" s="1"/>
  <c r="AY18" i="21"/>
  <c r="AZ40" i="22"/>
  <c r="AZ17" i="22"/>
  <c r="AZ20" i="22"/>
  <c r="BA16" i="22"/>
  <c r="AX22" i="21"/>
  <c r="AY40" i="22"/>
  <c r="AY21" i="22"/>
  <c r="AX34" i="22"/>
  <c r="L67" i="6"/>
  <c r="L62" i="6"/>
  <c r="M61" i="6" s="1"/>
  <c r="M70" i="6"/>
  <c r="N66" i="6"/>
  <c r="M78" i="6"/>
  <c r="K73" i="6"/>
  <c r="L72" i="6" s="1"/>
  <c r="B59" i="8"/>
  <c r="BC28" i="21" l="1"/>
  <c r="BD30" i="21" s="1"/>
  <c r="BC14" i="22"/>
  <c r="BD16" i="22" s="1"/>
  <c r="BB15" i="21"/>
  <c r="BC17" i="21" s="1"/>
  <c r="BB17" i="21"/>
  <c r="BB27" i="22"/>
  <c r="BC29" i="22" s="1"/>
  <c r="BB29" i="22"/>
  <c r="BC15" i="21"/>
  <c r="BD17" i="21" s="1"/>
  <c r="BD28" i="21"/>
  <c r="BE30" i="21" s="1"/>
  <c r="AY42" i="22"/>
  <c r="AZ21" i="21"/>
  <c r="AZ41" i="21"/>
  <c r="AZ43" i="21" s="1"/>
  <c r="AZ44" i="21" s="1"/>
  <c r="BA44" i="21" s="1"/>
  <c r="AZ18" i="21"/>
  <c r="BA18" i="21" s="1"/>
  <c r="BB18" i="21" s="1"/>
  <c r="BA17" i="21"/>
  <c r="AZ30" i="22"/>
  <c r="AZ33" i="22"/>
  <c r="BA29" i="22"/>
  <c r="BA33" i="22" s="1"/>
  <c r="AY22" i="21"/>
  <c r="BA20" i="22"/>
  <c r="AZ42" i="22"/>
  <c r="AZ21" i="22"/>
  <c r="BA21" i="22" s="1"/>
  <c r="BB20" i="22"/>
  <c r="AY34" i="22"/>
  <c r="BA17" i="22"/>
  <c r="BB17" i="22" s="1"/>
  <c r="BD14" i="22"/>
  <c r="BE16" i="22" s="1"/>
  <c r="BB34" i="21"/>
  <c r="BB35" i="21" s="1"/>
  <c r="B70" i="8"/>
  <c r="M67" i="6"/>
  <c r="M62" i="6"/>
  <c r="B60" i="8"/>
  <c r="C59" i="8" s="1"/>
  <c r="B67" i="8"/>
  <c r="L73" i="6"/>
  <c r="M72" i="6" s="1"/>
  <c r="BC27" i="22" l="1"/>
  <c r="BD29" i="22" s="1"/>
  <c r="BA40" i="22"/>
  <c r="BA42" i="22" s="1"/>
  <c r="BA30" i="22"/>
  <c r="BB30" i="22" s="1"/>
  <c r="AZ34" i="22"/>
  <c r="BA34" i="22" s="1"/>
  <c r="BD27" i="22"/>
  <c r="BE29" i="22" s="1"/>
  <c r="AY43" i="22"/>
  <c r="AZ43" i="22" s="1"/>
  <c r="BA43" i="22" s="1"/>
  <c r="BB33" i="22"/>
  <c r="BC34" i="21"/>
  <c r="BC35" i="21" s="1"/>
  <c r="BC31" i="21"/>
  <c r="BA21" i="21"/>
  <c r="BA41" i="21"/>
  <c r="BA43" i="21" s="1"/>
  <c r="BE28" i="21"/>
  <c r="BF30" i="21" s="1"/>
  <c r="BB40" i="22"/>
  <c r="BE14" i="22"/>
  <c r="BF16" i="22" s="1"/>
  <c r="BB21" i="22"/>
  <c r="BB21" i="21"/>
  <c r="BB41" i="21"/>
  <c r="BB43" i="21" s="1"/>
  <c r="BB44" i="21" s="1"/>
  <c r="BC20" i="22"/>
  <c r="BC17" i="22"/>
  <c r="AZ22" i="21"/>
  <c r="BA22" i="21" s="1"/>
  <c r="BD15" i="21"/>
  <c r="BE17" i="21" s="1"/>
  <c r="B71" i="8"/>
  <c r="C70" i="8" s="1"/>
  <c r="C67" i="8"/>
  <c r="C60" i="8"/>
  <c r="D59" i="8" s="1"/>
  <c r="B62" i="8"/>
  <c r="M73" i="6"/>
  <c r="N67" i="6"/>
  <c r="M79" i="6"/>
  <c r="BC30" i="22" l="1"/>
  <c r="BC33" i="22"/>
  <c r="BE15" i="21"/>
  <c r="BF17" i="21" s="1"/>
  <c r="BB42" i="22"/>
  <c r="BC21" i="21"/>
  <c r="BC41" i="21"/>
  <c r="BC43" i="21" s="1"/>
  <c r="BC44" i="21" s="1"/>
  <c r="BC18" i="21"/>
  <c r="BF28" i="21"/>
  <c r="BG30" i="21" s="1"/>
  <c r="BD34" i="21"/>
  <c r="BD35" i="21" s="1"/>
  <c r="BD31" i="21"/>
  <c r="BB34" i="22"/>
  <c r="BB22" i="21"/>
  <c r="BC21" i="22"/>
  <c r="BF14" i="22"/>
  <c r="BG16" i="22" s="1"/>
  <c r="BC40" i="22"/>
  <c r="BD40" i="22"/>
  <c r="BD20" i="22"/>
  <c r="BD17" i="22"/>
  <c r="BE27" i="22"/>
  <c r="BF29" i="22" s="1"/>
  <c r="C71" i="8"/>
  <c r="D70" i="8" s="1"/>
  <c r="B73" i="8"/>
  <c r="D60" i="8"/>
  <c r="E59" i="8" s="1"/>
  <c r="D67" i="8"/>
  <c r="B63" i="8"/>
  <c r="C62" i="8" s="1"/>
  <c r="B68" i="8"/>
  <c r="BG14" i="22" l="1"/>
  <c r="BH16" i="22" s="1"/>
  <c r="BB43" i="22"/>
  <c r="BG28" i="21"/>
  <c r="BH30" i="21" s="1"/>
  <c r="BD30" i="22"/>
  <c r="BD33" i="22"/>
  <c r="BD21" i="21"/>
  <c r="BD41" i="21"/>
  <c r="BD43" i="21" s="1"/>
  <c r="BD44" i="21" s="1"/>
  <c r="BD18" i="21"/>
  <c r="BF27" i="22"/>
  <c r="BG29" i="22" s="1"/>
  <c r="BC22" i="21"/>
  <c r="BF15" i="21"/>
  <c r="BG17" i="21" s="1"/>
  <c r="BD21" i="22"/>
  <c r="BC34" i="22"/>
  <c r="BD42" i="22"/>
  <c r="BC42" i="22"/>
  <c r="BE34" i="21"/>
  <c r="BE35" i="21" s="1"/>
  <c r="BE31" i="21"/>
  <c r="BE40" i="22"/>
  <c r="BE17" i="22"/>
  <c r="BE20" i="22"/>
  <c r="D71" i="8"/>
  <c r="E70" i="8" s="1"/>
  <c r="D79" i="8"/>
  <c r="B74" i="8"/>
  <c r="C73" i="8" s="1"/>
  <c r="C68" i="8"/>
  <c r="C63" i="8"/>
  <c r="D62" i="8" s="1"/>
  <c r="E60" i="8"/>
  <c r="F59" i="8" s="1"/>
  <c r="E67" i="8"/>
  <c r="BD22" i="21" l="1"/>
  <c r="BC43" i="22"/>
  <c r="BG15" i="21"/>
  <c r="BH17" i="21" s="1"/>
  <c r="BD34" i="22"/>
  <c r="BE21" i="22"/>
  <c r="BE42" i="22"/>
  <c r="BD43" i="22"/>
  <c r="BG27" i="22"/>
  <c r="BH29" i="22" s="1"/>
  <c r="BF17" i="22"/>
  <c r="BF20" i="22"/>
  <c r="BE21" i="21"/>
  <c r="BE41" i="21"/>
  <c r="BE43" i="21" s="1"/>
  <c r="BE44" i="21" s="1"/>
  <c r="BE18" i="21"/>
  <c r="BE30" i="22"/>
  <c r="BE33" i="22"/>
  <c r="BH28" i="21"/>
  <c r="BI30" i="21" s="1"/>
  <c r="BH14" i="22"/>
  <c r="BI16" i="22" s="1"/>
  <c r="BF34" i="21"/>
  <c r="BF35" i="21" s="1"/>
  <c r="BF31" i="21"/>
  <c r="C74" i="8"/>
  <c r="D73" i="8" s="1"/>
  <c r="E71" i="8"/>
  <c r="F70" i="8" s="1"/>
  <c r="F60" i="8"/>
  <c r="G59" i="8" s="1"/>
  <c r="F67" i="8"/>
  <c r="D68" i="8"/>
  <c r="D80" i="8" s="1"/>
  <c r="D63" i="8"/>
  <c r="E62" i="8" s="1"/>
  <c r="BE22" i="21" l="1"/>
  <c r="BF21" i="22"/>
  <c r="BI28" i="21"/>
  <c r="BJ30" i="21" s="1"/>
  <c r="BF30" i="22"/>
  <c r="BF33" i="22"/>
  <c r="BH27" i="22"/>
  <c r="BI29" i="22" s="1"/>
  <c r="BG34" i="21"/>
  <c r="BG35" i="21" s="1"/>
  <c r="BG31" i="21"/>
  <c r="BF21" i="21"/>
  <c r="BF41" i="21"/>
  <c r="BF43" i="21" s="1"/>
  <c r="BF44" i="21" s="1"/>
  <c r="BF18" i="21"/>
  <c r="BF40" i="22"/>
  <c r="BE43" i="22"/>
  <c r="BH15" i="21"/>
  <c r="BI17" i="21" s="1"/>
  <c r="BI14" i="22"/>
  <c r="BJ16" i="22" s="1"/>
  <c r="BE34" i="22"/>
  <c r="BG17" i="22"/>
  <c r="BG20" i="22"/>
  <c r="BG40" i="22"/>
  <c r="D74" i="8"/>
  <c r="E73" i="8" s="1"/>
  <c r="E68" i="8"/>
  <c r="E63" i="8"/>
  <c r="F62" i="8" s="1"/>
  <c r="F71" i="8"/>
  <c r="G70" i="8" s="1"/>
  <c r="G60" i="8"/>
  <c r="H59" i="8" s="1"/>
  <c r="G67" i="8"/>
  <c r="BG21" i="22" l="1"/>
  <c r="BF42" i="22"/>
  <c r="BJ14" i="22"/>
  <c r="BK16" i="22" s="1"/>
  <c r="BF34" i="22"/>
  <c r="BI27" i="22"/>
  <c r="BJ29" i="22" s="1"/>
  <c r="BG42" i="22"/>
  <c r="BI15" i="21"/>
  <c r="BJ17" i="21" s="1"/>
  <c r="BH34" i="21"/>
  <c r="BH35" i="21" s="1"/>
  <c r="BH31" i="21"/>
  <c r="BH17" i="22"/>
  <c r="BH20" i="22"/>
  <c r="BG21" i="21"/>
  <c r="BG41" i="21"/>
  <c r="BG43" i="21" s="1"/>
  <c r="BG44" i="21" s="1"/>
  <c r="BG18" i="21"/>
  <c r="BJ28" i="21"/>
  <c r="BK30" i="21" s="1"/>
  <c r="BF22" i="21"/>
  <c r="BG30" i="22"/>
  <c r="BG33" i="22"/>
  <c r="G71" i="8"/>
  <c r="H70" i="8" s="1"/>
  <c r="G79" i="8"/>
  <c r="H67" i="8"/>
  <c r="H60" i="8"/>
  <c r="I59" i="8" s="1"/>
  <c r="F68" i="8"/>
  <c r="F63" i="8"/>
  <c r="G62" i="8" s="1"/>
  <c r="E74" i="8"/>
  <c r="F73" i="8" s="1"/>
  <c r="BG22" i="21" l="1"/>
  <c r="BJ15" i="21"/>
  <c r="BK17" i="21" s="1"/>
  <c r="BK14" i="22"/>
  <c r="BL16" i="22" s="1"/>
  <c r="BH30" i="22"/>
  <c r="BH33" i="22"/>
  <c r="BK28" i="21"/>
  <c r="BL30" i="21" s="1"/>
  <c r="BH21" i="21"/>
  <c r="BH41" i="21"/>
  <c r="BH43" i="21" s="1"/>
  <c r="BH44" i="21" s="1"/>
  <c r="BH18" i="21"/>
  <c r="BI20" i="22"/>
  <c r="BI17" i="22"/>
  <c r="BI34" i="21"/>
  <c r="BI35" i="21" s="1"/>
  <c r="BI31" i="21"/>
  <c r="BH21" i="22"/>
  <c r="BF43" i="22"/>
  <c r="BG43" i="22" s="1"/>
  <c r="BG34" i="22"/>
  <c r="BH40" i="22"/>
  <c r="BJ27" i="22"/>
  <c r="BK29" i="22" s="1"/>
  <c r="F74" i="8"/>
  <c r="G73" i="8" s="1"/>
  <c r="G63" i="8"/>
  <c r="H62" i="8" s="1"/>
  <c r="G68" i="8"/>
  <c r="I67" i="8"/>
  <c r="I60" i="8"/>
  <c r="J59" i="8" s="1"/>
  <c r="H71" i="8"/>
  <c r="I70" i="8" s="1"/>
  <c r="BH22" i="21" l="1"/>
  <c r="BI33" i="22"/>
  <c r="BI30" i="22"/>
  <c r="BK27" i="22"/>
  <c r="BL29" i="22" s="1"/>
  <c r="BJ34" i="21"/>
  <c r="BJ35" i="21" s="1"/>
  <c r="BJ31" i="21"/>
  <c r="BJ17" i="22"/>
  <c r="BJ20" i="22"/>
  <c r="BH42" i="22"/>
  <c r="BL28" i="21"/>
  <c r="BM30" i="21" s="1"/>
  <c r="BK15" i="21"/>
  <c r="BL17" i="21" s="1"/>
  <c r="BI40" i="22"/>
  <c r="BI21" i="21"/>
  <c r="BI22" i="21" s="1"/>
  <c r="BI41" i="21"/>
  <c r="BI43" i="21" s="1"/>
  <c r="BI44" i="21" s="1"/>
  <c r="BI18" i="21"/>
  <c r="BL14" i="22"/>
  <c r="BM16" i="22" s="1"/>
  <c r="BI21" i="22"/>
  <c r="BH34" i="22"/>
  <c r="I71" i="8"/>
  <c r="J70" i="8" s="1"/>
  <c r="G74" i="8"/>
  <c r="H73" i="8" s="1"/>
  <c r="G80" i="8"/>
  <c r="J60" i="8"/>
  <c r="K59" i="8" s="1"/>
  <c r="J67" i="8"/>
  <c r="H68" i="8"/>
  <c r="H63" i="8"/>
  <c r="I62" i="8" s="1"/>
  <c r="BK34" i="21" l="1"/>
  <c r="BK35" i="21" s="1"/>
  <c r="BK31" i="21"/>
  <c r="BI42" i="22"/>
  <c r="BH43" i="22"/>
  <c r="BM14" i="22"/>
  <c r="BL15" i="21"/>
  <c r="BM17" i="21" s="1"/>
  <c r="BL27" i="22"/>
  <c r="BM29" i="22" s="1"/>
  <c r="BK40" i="22"/>
  <c r="BK17" i="22"/>
  <c r="BK20" i="22"/>
  <c r="BJ21" i="21"/>
  <c r="BJ22" i="21" s="1"/>
  <c r="BJ41" i="21"/>
  <c r="BJ43" i="21" s="1"/>
  <c r="BJ44" i="21" s="1"/>
  <c r="BJ18" i="21"/>
  <c r="BJ33" i="22"/>
  <c r="BJ30" i="22"/>
  <c r="BM28" i="21"/>
  <c r="BJ21" i="22"/>
  <c r="BJ40" i="22"/>
  <c r="BI34" i="22"/>
  <c r="I68" i="8"/>
  <c r="I63" i="8"/>
  <c r="J62" i="8" s="1"/>
  <c r="H74" i="8"/>
  <c r="I73" i="8" s="1"/>
  <c r="J71" i="8"/>
  <c r="K70" i="8" s="1"/>
  <c r="J79" i="8"/>
  <c r="K60" i="8"/>
  <c r="L59" i="8" s="1"/>
  <c r="K67" i="8"/>
  <c r="BK42" i="22" l="1"/>
  <c r="BJ34" i="22"/>
  <c r="BM27" i="22"/>
  <c r="BL40" i="22"/>
  <c r="BK30" i="22"/>
  <c r="BK33" i="22"/>
  <c r="BI43" i="22"/>
  <c r="BK21" i="22"/>
  <c r="BJ42" i="22"/>
  <c r="BK21" i="21"/>
  <c r="BK22" i="21" s="1"/>
  <c r="BK41" i="21"/>
  <c r="BK43" i="21" s="1"/>
  <c r="BK44" i="21" s="1"/>
  <c r="BK18" i="21"/>
  <c r="BN28" i="21"/>
  <c r="BO30" i="21" s="1"/>
  <c r="BM15" i="21"/>
  <c r="BL17" i="22"/>
  <c r="BL20" i="22"/>
  <c r="BL34" i="21"/>
  <c r="BL35" i="21" s="1"/>
  <c r="BL31" i="21"/>
  <c r="BN14" i="22"/>
  <c r="BO16" i="22" s="1"/>
  <c r="BO20" i="22" s="1"/>
  <c r="K71" i="8"/>
  <c r="L70" i="8" s="1"/>
  <c r="J63" i="8"/>
  <c r="K62" i="8" s="1"/>
  <c r="J68" i="8"/>
  <c r="L60" i="8"/>
  <c r="M59" i="8" s="1"/>
  <c r="L67" i="8"/>
  <c r="I74" i="8"/>
  <c r="J73" i="8" s="1"/>
  <c r="BO34" i="21" l="1"/>
  <c r="BL42" i="22"/>
  <c r="BN27" i="22"/>
  <c r="BO29" i="22" s="1"/>
  <c r="BJ43" i="22"/>
  <c r="BK43" i="22" s="1"/>
  <c r="BN15" i="21"/>
  <c r="BO17" i="21" s="1"/>
  <c r="BO21" i="21" s="1"/>
  <c r="BL30" i="22"/>
  <c r="BL33" i="22"/>
  <c r="BL21" i="22"/>
  <c r="BL21" i="21"/>
  <c r="BL22" i="21" s="1"/>
  <c r="BL41" i="21"/>
  <c r="BL43" i="21" s="1"/>
  <c r="BL44" i="21" s="1"/>
  <c r="BL18" i="21"/>
  <c r="BM40" i="22"/>
  <c r="BM17" i="22"/>
  <c r="BM20" i="22"/>
  <c r="BN16" i="22"/>
  <c r="BM34" i="21"/>
  <c r="BM35" i="21" s="1"/>
  <c r="BN35" i="21" s="1"/>
  <c r="BM31" i="21"/>
  <c r="BN31" i="21" s="1"/>
  <c r="BN30" i="21"/>
  <c r="BN34" i="21" s="1"/>
  <c r="BK34" i="22"/>
  <c r="L71" i="8"/>
  <c r="M70" i="8" s="1"/>
  <c r="M60" i="8"/>
  <c r="B69" i="9" s="1"/>
  <c r="M67" i="8"/>
  <c r="J74" i="8"/>
  <c r="K73" i="8" s="1"/>
  <c r="J80" i="8"/>
  <c r="K68" i="8"/>
  <c r="K63" i="8"/>
  <c r="L62" i="8" s="1"/>
  <c r="M79" i="8"/>
  <c r="B70" i="9" l="1"/>
  <c r="C69" i="9" s="1"/>
  <c r="B77" i="9"/>
  <c r="BO35" i="21"/>
  <c r="BO41" i="21"/>
  <c r="BO43" i="21" s="1"/>
  <c r="B8" i="27" s="1"/>
  <c r="D8" i="27" s="1"/>
  <c r="E8" i="27" s="1"/>
  <c r="BO40" i="22"/>
  <c r="BO42" i="22" s="1"/>
  <c r="B7" i="27" s="1"/>
  <c r="BO33" i="22"/>
  <c r="BM21" i="21"/>
  <c r="BM22" i="21" s="1"/>
  <c r="BN22" i="21" s="1"/>
  <c r="BO22" i="21" s="1"/>
  <c r="BM41" i="21"/>
  <c r="BM43" i="21" s="1"/>
  <c r="BM44" i="21" s="1"/>
  <c r="BN44" i="21" s="1"/>
  <c r="BM18" i="21"/>
  <c r="BN18" i="21" s="1"/>
  <c r="BO18" i="21" s="1"/>
  <c r="BN17" i="21"/>
  <c r="BN20" i="22"/>
  <c r="BN17" i="22"/>
  <c r="BO17" i="22" s="1"/>
  <c r="BM42" i="22"/>
  <c r="BM33" i="22"/>
  <c r="BM30" i="22"/>
  <c r="BN29" i="22"/>
  <c r="BN33" i="22" s="1"/>
  <c r="BL34" i="22"/>
  <c r="BM21" i="22"/>
  <c r="BN21" i="22" s="1"/>
  <c r="BO21" i="22" s="1"/>
  <c r="BL43" i="22"/>
  <c r="L68" i="8"/>
  <c r="L63" i="8"/>
  <c r="M62" i="8" s="1"/>
  <c r="M71" i="8"/>
  <c r="B80" i="9" s="1"/>
  <c r="N67" i="8"/>
  <c r="K74" i="8"/>
  <c r="L73" i="8" s="1"/>
  <c r="B9" i="27" l="1"/>
  <c r="D7" i="27"/>
  <c r="E7" i="27" s="1"/>
  <c r="B81" i="9"/>
  <c r="C80" i="9" s="1"/>
  <c r="D89" i="9"/>
  <c r="N77" i="9"/>
  <c r="C77" i="9"/>
  <c r="C81" i="9" s="1"/>
  <c r="D80" i="9" s="1"/>
  <c r="C70" i="9"/>
  <c r="D69" i="9" s="1"/>
  <c r="BO44" i="21"/>
  <c r="B11" i="27" s="1"/>
  <c r="C11" i="27" s="1"/>
  <c r="BN40" i="22"/>
  <c r="BN42" i="22" s="1"/>
  <c r="BM34" i="22"/>
  <c r="BN34" i="22" s="1"/>
  <c r="BO34" i="22" s="1"/>
  <c r="BN30" i="22"/>
  <c r="BM43" i="22"/>
  <c r="BN43" i="22" s="1"/>
  <c r="BO43" i="22" s="1"/>
  <c r="BN21" i="21"/>
  <c r="BN41" i="21"/>
  <c r="BN43" i="21" s="1"/>
  <c r="M68" i="8"/>
  <c r="M63" i="8"/>
  <c r="L74" i="8"/>
  <c r="M73" i="8" s="1"/>
  <c r="B12" i="27" l="1"/>
  <c r="D9" i="27"/>
  <c r="E9" i="27" s="1"/>
  <c r="D11" i="27"/>
  <c r="C12" i="27"/>
  <c r="D70" i="9"/>
  <c r="E69" i="9" s="1"/>
  <c r="D77" i="9"/>
  <c r="D81" i="9" s="1"/>
  <c r="E80" i="9" s="1"/>
  <c r="M74" i="8"/>
  <c r="B83" i="9" s="1"/>
  <c r="N68" i="8"/>
  <c r="M80" i="8"/>
  <c r="D12" i="27" l="1"/>
  <c r="E77" i="9"/>
  <c r="E70" i="9"/>
  <c r="F69" i="9" s="1"/>
  <c r="F77" i="9" l="1"/>
  <c r="F81" i="9" s="1"/>
  <c r="G80" i="9" s="1"/>
  <c r="F70" i="9"/>
  <c r="G69" i="9" s="1"/>
  <c r="G89" i="9"/>
  <c r="E81" i="9"/>
  <c r="F80" i="9" s="1"/>
  <c r="G77" i="9" l="1"/>
  <c r="G81" i="9" s="1"/>
  <c r="H80" i="9" s="1"/>
  <c r="G70" i="9"/>
  <c r="H69" i="9" s="1"/>
  <c r="H70" i="9" l="1"/>
  <c r="I69" i="9" s="1"/>
  <c r="H77" i="9"/>
  <c r="H81" i="9" l="1"/>
  <c r="I80" i="9" s="1"/>
  <c r="J89" i="9"/>
  <c r="I70" i="9"/>
  <c r="J69" i="9" s="1"/>
  <c r="I77" i="9"/>
  <c r="I81" i="9" s="1"/>
  <c r="J80" i="9" s="1"/>
  <c r="J70" i="9" l="1"/>
  <c r="K69" i="9" s="1"/>
  <c r="J77" i="9"/>
  <c r="J81" i="9" s="1"/>
  <c r="K80" i="9" s="1"/>
  <c r="K77" i="9" l="1"/>
  <c r="K70" i="9"/>
  <c r="L69" i="9" s="1"/>
  <c r="L77" i="9" l="1"/>
  <c r="L81" i="9" s="1"/>
  <c r="M80" i="9" s="1"/>
  <c r="L70" i="9"/>
  <c r="M69" i="9" s="1"/>
  <c r="M89" i="9"/>
  <c r="K81" i="9"/>
  <c r="L80" i="9" s="1"/>
  <c r="M70" i="9" l="1"/>
  <c r="M77" i="9"/>
  <c r="M81"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Hesselink, Tim</author>
  </authors>
  <commentList>
    <comment ref="AM11" authorId="0" shapeId="0" xr:uid="{71A269F8-5BC2-4615-920B-339F6AA69682}">
      <text>
        <r>
          <rPr>
            <b/>
            <sz val="9"/>
            <color indexed="81"/>
            <rFont val="Tahoma"/>
            <family val="2"/>
          </rPr>
          <t>Refer to Staff 12d for explanation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Adomako, Bright</author>
    <author>Hesselink, Tim</author>
    <author>Leung, George</author>
  </authors>
  <commentList>
    <comment ref="C40" authorId="0" shapeId="0" xr:uid="{00000000-0006-0000-0500-000001000000}">
      <text>
        <r>
          <rPr>
            <b/>
            <sz val="9"/>
            <color indexed="81"/>
            <rFont val="Tahoma"/>
            <family val="2"/>
          </rPr>
          <t>Adomako, Bright:</t>
        </r>
        <r>
          <rPr>
            <sz val="9"/>
            <color indexed="81"/>
            <rFont val="Tahoma"/>
            <family val="2"/>
          </rPr>
          <t xml:space="preserve">
LBA</t>
        </r>
      </text>
    </comment>
    <comment ref="E40" authorId="1" shapeId="0" xr:uid="{00000000-0006-0000-0500-000002000000}">
      <text>
        <r>
          <rPr>
            <b/>
            <sz val="9"/>
            <color indexed="81"/>
            <rFont val="Tahoma"/>
            <family val="2"/>
          </rPr>
          <t>Hesselink, Tim:</t>
        </r>
        <r>
          <rPr>
            <sz val="9"/>
            <color indexed="81"/>
            <rFont val="Tahoma"/>
            <family val="2"/>
          </rPr>
          <t xml:space="preserve">
Earnings Sharing Mechanism allocated based on 2023 cost</t>
        </r>
      </text>
    </comment>
    <comment ref="A49" authorId="2" shapeId="0" xr:uid="{00000000-0006-0000-0500-000003000000}">
      <text>
        <r>
          <rPr>
            <b/>
            <sz val="9"/>
            <color indexed="81"/>
            <rFont val="Tahoma"/>
            <family val="2"/>
          </rPr>
          <t>Leung, George:</t>
        </r>
        <r>
          <rPr>
            <sz val="9"/>
            <color indexed="81"/>
            <rFont val="Tahoma"/>
            <family val="2"/>
          </rPr>
          <t xml:space="preserve">
Mei + Ken costs allocated from 5Y to 5F</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Leung, George</author>
  </authors>
  <commentList>
    <comment ref="A39" authorId="0" shapeId="0" xr:uid="{00000000-0006-0000-0600-000001000000}">
      <text>
        <r>
          <rPr>
            <b/>
            <sz val="9"/>
            <color indexed="81"/>
            <rFont val="Tahoma"/>
            <family val="2"/>
          </rPr>
          <t>Leung, George:</t>
        </r>
        <r>
          <rPr>
            <sz val="9"/>
            <color indexed="81"/>
            <rFont val="Tahoma"/>
            <family val="2"/>
          </rPr>
          <t xml:space="preserve">
Mei + Ken costs allocated from 5Y to 5F</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Leung, George</author>
  </authors>
  <commentList>
    <comment ref="M38" authorId="0" shapeId="0" xr:uid="{00000000-0006-0000-0700-000001000000}">
      <text>
        <r>
          <rPr>
            <b/>
            <sz val="9"/>
            <color indexed="81"/>
            <rFont val="Tahoma"/>
            <family val="2"/>
          </rPr>
          <t>Leung, George:</t>
        </r>
        <r>
          <rPr>
            <sz val="9"/>
            <color indexed="81"/>
            <rFont val="Tahoma"/>
            <family val="2"/>
          </rPr>
          <t xml:space="preserve">
Mei + Ken costs allocated from 5C to 5F</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Hesselink, Tim</author>
    <author>Leung, George</author>
  </authors>
  <commentList>
    <comment ref="B31" authorId="0" shapeId="0" xr:uid="{00000000-0006-0000-0800-000001000000}">
      <text>
        <r>
          <rPr>
            <b/>
            <sz val="9"/>
            <color indexed="81"/>
            <rFont val="Tahoma"/>
            <family val="2"/>
          </rPr>
          <t>Hesselink, Tim:</t>
        </r>
        <r>
          <rPr>
            <sz val="9"/>
            <color indexed="81"/>
            <rFont val="Tahoma"/>
            <family val="2"/>
          </rPr>
          <t xml:space="preserve">
Amounts Removed as this is recovered in the CIACVA</t>
        </r>
      </text>
    </comment>
    <comment ref="M38" authorId="1" shapeId="0" xr:uid="{00000000-0006-0000-0800-000002000000}">
      <text>
        <r>
          <rPr>
            <b/>
            <sz val="9"/>
            <color indexed="81"/>
            <rFont val="Tahoma"/>
            <family val="2"/>
          </rPr>
          <t>Leung, George:</t>
        </r>
        <r>
          <rPr>
            <sz val="9"/>
            <color indexed="81"/>
            <rFont val="Tahoma"/>
            <family val="2"/>
          </rPr>
          <t xml:space="preserve">
Mei + Ken costs allocated from 5C to 5F</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Leung, George</author>
  </authors>
  <commentList>
    <comment ref="A67" authorId="0" shapeId="0" xr:uid="{00000000-0006-0000-0A00-000001000000}">
      <text>
        <r>
          <rPr>
            <b/>
            <sz val="9"/>
            <color indexed="81"/>
            <rFont val="Tahoma"/>
            <family val="2"/>
          </rPr>
          <t>Leung, George:</t>
        </r>
        <r>
          <rPr>
            <sz val="9"/>
            <color indexed="81"/>
            <rFont val="Tahoma"/>
            <family val="2"/>
          </rPr>
          <t xml:space="preserve">
Exhibit 6, upstream recovery revenue with delay (row 15673 of Calculation tab), need to think about impacts to forecast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Xu, Mei</author>
    <author>Poon, Kenneth</author>
  </authors>
  <commentList>
    <comment ref="H2" authorId="0" shapeId="0" xr:uid="{00000000-0006-0000-0B00-000001000000}">
      <text>
        <r>
          <rPr>
            <b/>
            <sz val="9"/>
            <color indexed="81"/>
            <rFont val="Tahoma"/>
            <family val="2"/>
          </rPr>
          <t>Xu, Mei:</t>
        </r>
        <r>
          <rPr>
            <sz val="9"/>
            <color indexed="81"/>
            <rFont val="Tahoma"/>
            <family val="2"/>
          </rPr>
          <t xml:space="preserve">
Facility Carbon Charge in M17 rate book</t>
        </r>
      </text>
    </comment>
    <comment ref="AI34" authorId="0" shapeId="0" xr:uid="{00000000-0006-0000-0B00-000002000000}">
      <text>
        <r>
          <rPr>
            <b/>
            <sz val="9"/>
            <color indexed="81"/>
            <rFont val="Tahoma"/>
            <family val="2"/>
          </rPr>
          <t>Xu, Mei:</t>
        </r>
        <r>
          <rPr>
            <sz val="9"/>
            <color indexed="81"/>
            <rFont val="Tahoma"/>
            <family val="2"/>
          </rPr>
          <t xml:space="preserve">
calculation in Storage file and copy the value to this cell</t>
        </r>
      </text>
    </comment>
    <comment ref="AZ34" authorId="0" shapeId="0" xr:uid="{00000000-0006-0000-0B00-000003000000}">
      <text>
        <r>
          <rPr>
            <b/>
            <sz val="9"/>
            <color indexed="81"/>
            <rFont val="Tahoma"/>
            <family val="2"/>
          </rPr>
          <t>Xu, Mei:</t>
        </r>
        <r>
          <rPr>
            <sz val="9"/>
            <color indexed="81"/>
            <rFont val="Tahoma"/>
            <family val="2"/>
          </rPr>
          <t xml:space="preserve">
Link to LBA file</t>
        </r>
      </text>
    </comment>
    <comment ref="BA39" authorId="1" shapeId="0" xr:uid="{00000000-0006-0000-0B00-000004000000}">
      <text>
        <r>
          <rPr>
            <b/>
            <sz val="9"/>
            <color indexed="81"/>
            <rFont val="Tahoma"/>
            <family val="2"/>
          </rPr>
          <t>Poon, Kenneth:</t>
        </r>
        <r>
          <rPr>
            <sz val="9"/>
            <color indexed="81"/>
            <rFont val="Tahoma"/>
            <family val="2"/>
          </rPr>
          <t xml:space="preserve">
Based on 2021 CD or vol. need to understand how to split this cost up between Sys Gas and R16, Detailed system and R16 calculation in Misc. Cal tab</t>
        </r>
      </text>
    </comment>
    <comment ref="BI46" authorId="0" shapeId="0" xr:uid="{00000000-0006-0000-0B00-000005000000}">
      <text>
        <r>
          <rPr>
            <b/>
            <sz val="9"/>
            <color indexed="81"/>
            <rFont val="Tahoma"/>
            <family val="2"/>
          </rPr>
          <t>Xu, Mei:</t>
        </r>
        <r>
          <rPr>
            <sz val="9"/>
            <color indexed="81"/>
            <rFont val="Tahoma"/>
            <family val="2"/>
          </rPr>
          <t xml:space="preserve">
Annual increase with CPI increase 6.8%</t>
        </r>
      </text>
    </comment>
    <comment ref="BJ46" authorId="1" shapeId="0" xr:uid="{00000000-0006-0000-0B00-000006000000}">
      <text>
        <r>
          <rPr>
            <b/>
            <sz val="9"/>
            <color indexed="81"/>
            <rFont val="Tahoma"/>
            <family val="2"/>
          </rPr>
          <t>Poon, Kenneth:</t>
        </r>
        <r>
          <rPr>
            <sz val="9"/>
            <color indexed="81"/>
            <rFont val="Tahoma"/>
            <family val="2"/>
          </rPr>
          <t xml:space="preserve">
$60,000 added to PO 8/15/23</t>
        </r>
      </text>
    </comment>
    <comment ref="AW51" authorId="0" shapeId="0" xr:uid="{00000000-0006-0000-0B00-000007000000}">
      <text>
        <r>
          <rPr>
            <b/>
            <sz val="9"/>
            <color indexed="81"/>
            <rFont val="Tahoma"/>
            <family val="2"/>
          </rPr>
          <t>Xu, Mei:</t>
        </r>
        <r>
          <rPr>
            <sz val="9"/>
            <color indexed="81"/>
            <rFont val="Tahoma"/>
            <family val="2"/>
          </rPr>
          <t xml:space="preserve">
Revised to 143528 GJ with 0.869% fuel ratio</t>
        </r>
      </text>
    </comment>
    <comment ref="AZ51" authorId="0" shapeId="0" xr:uid="{00000000-0006-0000-0B00-000008000000}">
      <text>
        <r>
          <rPr>
            <b/>
            <sz val="9"/>
            <color indexed="81"/>
            <rFont val="Tahoma"/>
            <family val="2"/>
          </rPr>
          <t>Xu, Mei:</t>
        </r>
        <r>
          <rPr>
            <sz val="9"/>
            <color indexed="81"/>
            <rFont val="Tahoma"/>
            <family val="2"/>
          </rPr>
          <t xml:space="preserve">
Revised to 1261 GJ with 0.869% fuel ratio</t>
        </r>
      </text>
    </comment>
    <comment ref="AW52" authorId="0" shapeId="0" xr:uid="{00000000-0006-0000-0B00-000009000000}">
      <text>
        <r>
          <rPr>
            <b/>
            <sz val="9"/>
            <color indexed="81"/>
            <rFont val="Tahoma"/>
            <family val="2"/>
          </rPr>
          <t>Xu, Mei:</t>
        </r>
        <r>
          <rPr>
            <sz val="9"/>
            <color indexed="81"/>
            <rFont val="Tahoma"/>
            <family val="2"/>
          </rPr>
          <t xml:space="preserve">
Revised to 115954 GJ with 0.869% fuel ratio
</t>
        </r>
      </text>
    </comment>
    <comment ref="AZ52" authorId="0" shapeId="0" xr:uid="{00000000-0006-0000-0B00-00000A000000}">
      <text>
        <r>
          <rPr>
            <b/>
            <sz val="9"/>
            <color indexed="81"/>
            <rFont val="Tahoma"/>
            <family val="2"/>
          </rPr>
          <t>Xu, Mei:</t>
        </r>
        <r>
          <rPr>
            <sz val="9"/>
            <color indexed="81"/>
            <rFont val="Tahoma"/>
            <family val="2"/>
          </rPr>
          <t xml:space="preserve">
Revised to 1009 GJ with 0.869% fuel ratio</t>
        </r>
      </text>
    </comment>
    <comment ref="AW53" authorId="0" shapeId="0" xr:uid="{00000000-0006-0000-0B00-00000B000000}">
      <text>
        <r>
          <rPr>
            <b/>
            <sz val="9"/>
            <color indexed="81"/>
            <rFont val="Tahoma"/>
            <family val="2"/>
          </rPr>
          <t>Xu, Mei:</t>
        </r>
        <r>
          <rPr>
            <sz val="9"/>
            <color indexed="81"/>
            <rFont val="Tahoma"/>
            <family val="2"/>
          </rPr>
          <t xml:space="preserve">
Revised to 111803 GJ with 0.869% fuel ratio</t>
        </r>
      </text>
    </comment>
    <comment ref="AZ53" authorId="0" shapeId="0" xr:uid="{00000000-0006-0000-0B00-00000C000000}">
      <text>
        <r>
          <rPr>
            <b/>
            <sz val="9"/>
            <color indexed="81"/>
            <rFont val="Tahoma"/>
            <family val="2"/>
          </rPr>
          <t>Xu, Mei:</t>
        </r>
        <r>
          <rPr>
            <sz val="9"/>
            <color indexed="81"/>
            <rFont val="Tahoma"/>
            <family val="2"/>
          </rPr>
          <t xml:space="preserve">
Revised to 985 GJ with 0.869% fuel ratio</t>
        </r>
      </text>
    </comment>
    <comment ref="AW54" authorId="0" shapeId="0" xr:uid="{00000000-0006-0000-0B00-00000D000000}">
      <text>
        <r>
          <rPr>
            <b/>
            <sz val="9"/>
            <color indexed="81"/>
            <rFont val="Tahoma"/>
            <family val="2"/>
          </rPr>
          <t>Xu, Mei:</t>
        </r>
        <r>
          <rPr>
            <sz val="9"/>
            <color indexed="81"/>
            <rFont val="Tahoma"/>
            <family val="2"/>
          </rPr>
          <t xml:space="preserve">
Revised to 90360 GJ with 0.387% fuel ratio</t>
        </r>
      </text>
    </comment>
    <comment ref="AZ54" authorId="0" shapeId="0" xr:uid="{00000000-0006-0000-0B00-00000E000000}">
      <text>
        <r>
          <rPr>
            <b/>
            <sz val="9"/>
            <color indexed="81"/>
            <rFont val="Tahoma"/>
            <family val="2"/>
          </rPr>
          <t>Xu, Mei:</t>
        </r>
        <r>
          <rPr>
            <sz val="9"/>
            <color indexed="81"/>
            <rFont val="Tahoma"/>
            <family val="2"/>
          </rPr>
          <t xml:space="preserve">
Revised to 339 GJ with 0.387% fuel ratio</t>
        </r>
      </text>
    </comment>
    <comment ref="BA54" authorId="0" shapeId="0" xr:uid="{00000000-0006-0000-0B00-00000F000000}">
      <text>
        <r>
          <rPr>
            <b/>
            <sz val="9"/>
            <color indexed="81"/>
            <rFont val="Tahoma"/>
            <family val="2"/>
          </rPr>
          <t>Xu, Mei:</t>
        </r>
        <r>
          <rPr>
            <sz val="9"/>
            <color indexed="81"/>
            <rFont val="Tahoma"/>
            <family val="2"/>
          </rPr>
          <t xml:space="preserve">
EB-2023-0092 final decision pg.50</t>
        </r>
      </text>
    </comment>
    <comment ref="Z55" authorId="0" shapeId="0" xr:uid="{00000000-0006-0000-0B00-000010000000}">
      <text>
        <r>
          <rPr>
            <b/>
            <sz val="9"/>
            <color indexed="81"/>
            <rFont val="Tahoma"/>
            <family val="2"/>
          </rPr>
          <t>Xu, Mei:</t>
        </r>
        <r>
          <rPr>
            <sz val="9"/>
            <color indexed="81"/>
            <rFont val="Tahoma"/>
            <family val="2"/>
          </rPr>
          <t xml:space="preserve">
Replace invoice #1109268</t>
        </r>
      </text>
    </comment>
    <comment ref="AU55" authorId="0" shapeId="0" xr:uid="{00000000-0006-0000-0B00-000011000000}">
      <text>
        <r>
          <rPr>
            <b/>
            <sz val="9"/>
            <color indexed="81"/>
            <rFont val="Tahoma"/>
            <family val="2"/>
          </rPr>
          <t>Xu, Mei:</t>
        </r>
        <r>
          <rPr>
            <sz val="9"/>
            <color indexed="81"/>
            <rFont val="Tahoma"/>
            <family val="2"/>
          </rPr>
          <t xml:space="preserve">
EB-2022-0200
</t>
        </r>
      </text>
    </comment>
    <comment ref="BA55" authorId="0" shapeId="0" xr:uid="{00000000-0006-0000-0B00-000012000000}">
      <text>
        <r>
          <rPr>
            <b/>
            <sz val="9"/>
            <color indexed="81"/>
            <rFont val="Tahoma"/>
            <family val="2"/>
          </rPr>
          <t>Xu, Mei:</t>
        </r>
        <r>
          <rPr>
            <sz val="9"/>
            <color indexed="81"/>
            <rFont val="Tahoma"/>
            <family val="2"/>
          </rPr>
          <t xml:space="preserve">
Including Jan 1- Apr 30, 2024 Misc adjustment $4537.86 with Fuel adjustment $612.88</t>
        </r>
      </text>
    </comment>
    <comment ref="BI58" authorId="0" shapeId="0" xr:uid="{00000000-0006-0000-0B00-000013000000}">
      <text>
        <r>
          <rPr>
            <b/>
            <sz val="9"/>
            <color indexed="81"/>
            <rFont val="Tahoma"/>
            <family val="2"/>
          </rPr>
          <t>Xu, Mei:</t>
        </r>
        <r>
          <rPr>
            <sz val="9"/>
            <color indexed="81"/>
            <rFont val="Tahoma"/>
            <family val="2"/>
          </rPr>
          <t xml:space="preserve">
Annual increase with CPI increase 3.9%</t>
        </r>
      </text>
    </comment>
  </commentList>
</comments>
</file>

<file path=xl/sharedStrings.xml><?xml version="1.0" encoding="utf-8"?>
<sst xmlns="http://schemas.openxmlformats.org/spreadsheetml/2006/main" count="2047" uniqueCount="532">
  <si>
    <t>OCT</t>
  </si>
  <si>
    <t>NOV</t>
  </si>
  <si>
    <t>DEC</t>
  </si>
  <si>
    <t>JAN</t>
  </si>
  <si>
    <t>FEB</t>
  </si>
  <si>
    <t>MAR</t>
  </si>
  <si>
    <t>APR</t>
  </si>
  <si>
    <t>MAY</t>
  </si>
  <si>
    <t>JUN</t>
  </si>
  <si>
    <t>JUL</t>
  </si>
  <si>
    <t>AUG</t>
  </si>
  <si>
    <t>SEP</t>
  </si>
  <si>
    <t>EPCOR Natural Gas Limited Partnership</t>
  </si>
  <si>
    <t>Purchased Gas Transportation Variance Account Calculation</t>
  </si>
  <si>
    <t>Enbridge</t>
  </si>
  <si>
    <t>LT Storage</t>
  </si>
  <si>
    <t>Demand Charge</t>
  </si>
  <si>
    <t>Firm Injection Commodity Charge</t>
  </si>
  <si>
    <t>Firm Injection Customer Supplied Fuel</t>
  </si>
  <si>
    <t>HST</t>
  </si>
  <si>
    <t>Miscellaneous Adjustments</t>
  </si>
  <si>
    <t>Overrun Injection Commodity Charge (Dawn Facilities to Dawn Storage)</t>
  </si>
  <si>
    <t>Overrun Injectino Customer Supplied Fuel</t>
  </si>
  <si>
    <t>Miscellaneous Charge Firm Commodity Charge (Dawn to EPCOR SB)</t>
  </si>
  <si>
    <t>Miscellaneous Charge Firm Customer Supplied Fuel</t>
  </si>
  <si>
    <t>Aid to Construct</t>
  </si>
  <si>
    <t>Monthly Charge (M1700)</t>
  </si>
  <si>
    <t>Monthly ChargeM17001</t>
  </si>
  <si>
    <t>Monthly Charge Demand M1700</t>
  </si>
  <si>
    <t>Demand Charge M17001 (Dawn to EPCOR SB)</t>
  </si>
  <si>
    <t>R16 Upstream Recovery</t>
  </si>
  <si>
    <t>R1/R6/R11 Upstream Recovery</t>
  </si>
  <si>
    <t>R16 Transportation</t>
  </si>
  <si>
    <t>R1/R6/R11 Transportation</t>
  </si>
  <si>
    <t>Billed Charges</t>
  </si>
  <si>
    <t>Enbridge Costs</t>
  </si>
  <si>
    <t>Gas Supply Admin</t>
  </si>
  <si>
    <t>ECNG</t>
  </si>
  <si>
    <t>Enbridge Costs net of HST/CIAC</t>
  </si>
  <si>
    <t>Allocated to S&amp;TVA</t>
  </si>
  <si>
    <t>Allocated to TVA</t>
  </si>
  <si>
    <t>Opening S&amp;TVA</t>
  </si>
  <si>
    <t>Closing S&amp;TVA</t>
  </si>
  <si>
    <t>TVA Billed Charges</t>
  </si>
  <si>
    <t>S&amp;TVA Billed Charges</t>
  </si>
  <si>
    <t>Change in S&amp;TVA</t>
  </si>
  <si>
    <t>Change in TVA</t>
  </si>
  <si>
    <t>Opening TVA</t>
  </si>
  <si>
    <t>Closing TVA</t>
  </si>
  <si>
    <t>Monthly Interest Calculation - S&amp;TVA</t>
  </si>
  <si>
    <t>Monthly Interest Calculation - TVA</t>
  </si>
  <si>
    <t>Opening Interest Balance - S&amp;TVA</t>
  </si>
  <si>
    <t>Closing Interest Balance - S&amp;TVA</t>
  </si>
  <si>
    <t>Opening Interest Balance - TVA</t>
  </si>
  <si>
    <t>Closing Interest Balance - TVA</t>
  </si>
  <si>
    <t>Check</t>
  </si>
  <si>
    <t>Firm withdrawal commodity charge (Dawn Storage to Dawn Facilities)</t>
  </si>
  <si>
    <t>Miscellaneous Charge EPCOR 57-16-310</t>
  </si>
  <si>
    <t>Name Change Charge (Dawn Facilities)</t>
  </si>
  <si>
    <t>Change in STVA</t>
  </si>
  <si>
    <t>Intrest on STVA</t>
  </si>
  <si>
    <t>Interst on TVA</t>
  </si>
  <si>
    <t>\\epcor.ca\appdata\public\Finance\Commercial Services\5 - Regulatory\RRR\Invoices\Enbridge - SB</t>
  </si>
  <si>
    <t xml:space="preserve">Invoice has be collected out of oracle - ECNG </t>
  </si>
  <si>
    <t>ENGLP Monthly Sales File - Detailed GL - Filter TranType (Adjustment, Billing Adjustment, Charge, Transaction Reversal) and Filter Service (Upstream Recovery Charge)</t>
  </si>
  <si>
    <t>ENGLP Monthly Sales File - Detailed GL - Filter TranType (Adjustment, Billing Adjustment, Charge, Transaction Reversal) and Filter Service (Upstream Transportation)</t>
  </si>
  <si>
    <t xml:space="preserve">Ken and Mei </t>
  </si>
  <si>
    <t>Source</t>
  </si>
  <si>
    <t>Enerlline Website to get invoice re LT Storage and Miscellaneous Adjustments row 17 and 24</t>
  </si>
  <si>
    <t>1. Change in STVA</t>
  </si>
  <si>
    <t>2. Change in TVA</t>
  </si>
  <si>
    <t>1. Intrest on STVA</t>
  </si>
  <si>
    <t>2. Interst on TVA</t>
  </si>
  <si>
    <t>Filter the R16 customers in TranCode (S column) in Sales report generated in row 50  - Confirm Jan to Aug in Q4</t>
  </si>
  <si>
    <t>Filter the R16 customers in TranCode (S column) in Sales report generated in row 51 - Confirm Jan to Aug in Q4</t>
  </si>
  <si>
    <t>Monthly Amount</t>
  </si>
  <si>
    <t>Costs Upto Q3</t>
  </si>
  <si>
    <t xml:space="preserve">Remaining Costs to Recover </t>
  </si>
  <si>
    <t xml:space="preserve">Cost Per Month Q4 </t>
  </si>
  <si>
    <t xml:space="preserve">ECNG Invoices located </t>
  </si>
  <si>
    <t>\\epcor.ca\appdata\public\Finance\Commercial Services\5 - Regulatory\RRR\Invoices\ECNG - SB</t>
  </si>
  <si>
    <t xml:space="preserve">Interest Rates </t>
  </si>
  <si>
    <t xml:space="preserve">Gas Supply Costs from 5Y - Ken and Mei </t>
  </si>
  <si>
    <t>Invoice has be collected out of oracle - ECNG - see location of files below.</t>
  </si>
  <si>
    <t xml:space="preserve"> </t>
  </si>
  <si>
    <t>Annual</t>
  </si>
  <si>
    <t>Monthly</t>
  </si>
  <si>
    <t>Deferral/Earnings Sharing Adjustment Deferral/Earnings Sharing Adjustment 2021 - M17</t>
  </si>
  <si>
    <t>Enerlline Website to get invoice re LT Storage and Miscellaneous Adjustments row 17 and 24 if not saved in Enbridge folder referenced above</t>
  </si>
  <si>
    <t>ENGLP Monthly Sales File - Detailed GL - Filter TranType (Adjustment, Billing Adjustment, Charge, Transaction Reversal, Misc Charge, NSF Fee) and Filter Service, (Upstream Recovery Charge)</t>
  </si>
  <si>
    <t>ENGLP Monthly Sales File - Detailed GL - Filter TranType (Adjustment, Billing Adjustment, Charge, Transaction Reversal, Misc Charge, NSF Fee) and Filter Service (Upstream Transportation)</t>
  </si>
  <si>
    <t>S&amp;TVA</t>
  </si>
  <si>
    <t>file:///O:\Finance\Commercial%20Services\1%20-%20Month%20End\Prior%20Years\2023\12-Dec%202023\JVs\ENGLP\Ready%20For%20Review\ECS%20BOA%2027DEC23%2002%20-GL%202103%20-%20ENGLP%20Accrue%20(Inter_Audit_Intra).xlsm</t>
  </si>
  <si>
    <t>TVA Billed charge tab of sales entry</t>
  </si>
  <si>
    <t>Transportation costs</t>
  </si>
  <si>
    <t>Storage costs</t>
  </si>
  <si>
    <t>Upstream recovery costs</t>
  </si>
  <si>
    <t>a) variance between the forecast storage and transportation demand levels and the actual storage and transportation demand levels</t>
  </si>
  <si>
    <t>b) amounts credited or invoiced from storage and transportation suppliers related to the disposition of the suppliers' deferral/variance accounts</t>
  </si>
  <si>
    <t>c) the variance between the forecasted commodity cost for fuel and the updated reference price set through the QRAM process</t>
  </si>
  <si>
    <t>d) the variance between the forecast and actual administrative costs for storage and transportation including costs associated with daily nominations, load balancing, and storage procurement</t>
  </si>
  <si>
    <t>Deferred Revenue Account Continuity</t>
  </si>
  <si>
    <t>Opening Balance</t>
  </si>
  <si>
    <t>$0,000s</t>
  </si>
  <si>
    <t>Addition</t>
  </si>
  <si>
    <t>Disposition</t>
  </si>
  <si>
    <t>Closing Balance</t>
  </si>
  <si>
    <t>Mid-year Balance</t>
  </si>
  <si>
    <t>Breakdown of the Deferred Revenue Account</t>
  </si>
  <si>
    <t>Deferred Transportation and Storage Costs</t>
  </si>
  <si>
    <t>Function</t>
  </si>
  <si>
    <t>First Year of Disposition</t>
  </si>
  <si>
    <t>Target Year of Full Disposition</t>
  </si>
  <si>
    <t>Supporting Calculation</t>
  </si>
  <si>
    <t>Transportation and Storage Revenue</t>
  </si>
  <si>
    <t>Transportation and Storage Cost</t>
  </si>
  <si>
    <t>Deferred  Recovery of Transportation and Storage Cost</t>
  </si>
  <si>
    <t>Deferred Upstream Recovery Costs (Rates 1, 6 11)</t>
  </si>
  <si>
    <t>Deferred Upstream Recovery Costs (Rate 16)</t>
  </si>
  <si>
    <t>Upstream Transportation</t>
  </si>
  <si>
    <t>Industrial Direct Assignment</t>
  </si>
  <si>
    <t>Rate 1 - General Firm Service</t>
  </si>
  <si>
    <t>Rate 6 - Large Volume General Firm Service</t>
  </si>
  <si>
    <t>Rate 11 - Large Volume Seasonal Service</t>
  </si>
  <si>
    <t>Rate 16 - Contracted Firm Service</t>
  </si>
  <si>
    <t>Sum</t>
  </si>
  <si>
    <t>Upstream Recovery Revenue</t>
  </si>
  <si>
    <t>Upstream Recovery Charge</t>
  </si>
  <si>
    <t>Upstream Recovery Cost</t>
  </si>
  <si>
    <t>Deferred Upstream Recovery (Rates 1, 6, 11)</t>
  </si>
  <si>
    <t>Deferred Upstream Recovery (Rate 16)</t>
  </si>
  <si>
    <t>Allocation of Net Upstream Recovery Costs</t>
  </si>
  <si>
    <t>Commodity Volume by Rate Class</t>
  </si>
  <si>
    <t>m3</t>
  </si>
  <si>
    <t>$ / m3</t>
  </si>
  <si>
    <t>$ / month for every m3 of Contracted Daily Capacity</t>
  </si>
  <si>
    <t>Input 430/431/432/445/446</t>
  </si>
  <si>
    <t>Storage</t>
  </si>
  <si>
    <t>Upstream</t>
  </si>
  <si>
    <t>Load Balancing Admin</t>
  </si>
  <si>
    <t>Enbridge Transportation Charge</t>
  </si>
  <si>
    <t>Load Balancing Admin - Industrial</t>
  </si>
  <si>
    <t>Enbridge Transportation Charge - Industrial</t>
  </si>
  <si>
    <t>Real costs</t>
  </si>
  <si>
    <t>A</t>
  </si>
  <si>
    <t>B</t>
  </si>
  <si>
    <t>Nominal costs (Real * CPI factor)</t>
  </si>
  <si>
    <t>CPI Factor</t>
  </si>
  <si>
    <t>Closing Balance - Receivable / (Payable) to customers</t>
  </si>
  <si>
    <t>Volume Forecast by Rate Class</t>
  </si>
  <si>
    <t>Transportation and Storage Charge</t>
  </si>
  <si>
    <t>R1</t>
  </si>
  <si>
    <t>R6</t>
  </si>
  <si>
    <t>R11</t>
  </si>
  <si>
    <t>R16</t>
  </si>
  <si>
    <t>Coincidental Peak</t>
  </si>
  <si>
    <t>m3/day</t>
  </si>
  <si>
    <t>Average Months in Service - Rate 16</t>
  </si>
  <si>
    <t>T1</t>
  </si>
  <si>
    <t>T6</t>
  </si>
  <si>
    <t>T11</t>
  </si>
  <si>
    <t>T16</t>
  </si>
  <si>
    <t>V1</t>
  </si>
  <si>
    <t>V6</t>
  </si>
  <si>
    <t>V11</t>
  </si>
  <si>
    <t>CD16</t>
  </si>
  <si>
    <t>T1 x V1</t>
  </si>
  <si>
    <t>T6 x V6</t>
  </si>
  <si>
    <t>T11 x V11</t>
  </si>
  <si>
    <t>M16</t>
  </si>
  <si>
    <t>T16 x CD16 x M16</t>
  </si>
  <si>
    <t>V16</t>
  </si>
  <si>
    <t>U1</t>
  </si>
  <si>
    <t>U6</t>
  </si>
  <si>
    <t>U11</t>
  </si>
  <si>
    <t>U16</t>
  </si>
  <si>
    <t>U1 x V1</t>
  </si>
  <si>
    <t>U6 x V6</t>
  </si>
  <si>
    <t>U11 x V11</t>
  </si>
  <si>
    <t>U16 x CD16 x M16</t>
  </si>
  <si>
    <t>Rates</t>
  </si>
  <si>
    <t>Billing Determinants</t>
  </si>
  <si>
    <t>Revenues</t>
  </si>
  <si>
    <t>Transportation and Storage Expenses</t>
  </si>
  <si>
    <t>DTS + DURC1,6,11 + DURC16</t>
  </si>
  <si>
    <t>DTS</t>
  </si>
  <si>
    <t>DURC1,6,11</t>
  </si>
  <si>
    <t>DURC16</t>
  </si>
  <si>
    <t>Storage Rate</t>
  </si>
  <si>
    <t>Transportation Rate</t>
  </si>
  <si>
    <t>Nominated Volume (GJ)</t>
  </si>
  <si>
    <t>Actual Consumption (GJ)</t>
  </si>
  <si>
    <t>R16 Contract Demand (GJ)</t>
  </si>
  <si>
    <t>Billing Period</t>
  </si>
  <si>
    <t>Annual Heat Value</t>
  </si>
  <si>
    <t>Storage  (GJ)</t>
  </si>
  <si>
    <t>Fuel Ratio  (%)</t>
  </si>
  <si>
    <t>Storage Firm Commodity Charge ($/GJ)</t>
  </si>
  <si>
    <t>Storage Interruptible Commodity Charge ($/GJ)</t>
  </si>
  <si>
    <t>Monthly Demand Charge ($/GJ)</t>
  </si>
  <si>
    <t>Firm Commodity Charge ($/GJ)</t>
  </si>
  <si>
    <t>M17 Total</t>
  </si>
  <si>
    <t>System Supply</t>
  </si>
  <si>
    <t>Tweed</t>
  </si>
  <si>
    <t>Greenfield</t>
  </si>
  <si>
    <t>Bruce Power</t>
  </si>
  <si>
    <t xml:space="preserve"> ENB Rates &amp; Vol</t>
  </si>
  <si>
    <t xml:space="preserve"> M17 (Storage)</t>
  </si>
  <si>
    <t>M17 (LBA)</t>
  </si>
  <si>
    <t xml:space="preserve"> M17 (Transportation)</t>
  </si>
  <si>
    <t xml:space="preserve"> ENB: M17 (Storage + Transportation)</t>
  </si>
  <si>
    <t>ECNG (Nomination)</t>
  </si>
  <si>
    <t>ECNG (System Gas Consulting)</t>
  </si>
  <si>
    <t>ECNG PO BALANCE
(760947)</t>
  </si>
  <si>
    <t>ECNG (Nomination + Consulting)</t>
  </si>
  <si>
    <t>M17 Transportation</t>
  </si>
  <si>
    <t>Invoice Split for Finance Team</t>
  </si>
  <si>
    <t>Inv #</t>
  </si>
  <si>
    <t>Contract Storage (GJ)</t>
  </si>
  <si>
    <t>Commodity Injection (GJ)</t>
  </si>
  <si>
    <t>Overrun Injection (GJ)</t>
  </si>
  <si>
    <t>Firm Withdraw (GJ)</t>
  </si>
  <si>
    <t>Interruptible Withdraw (GJ)</t>
  </si>
  <si>
    <t>Demand Charge ($)</t>
  </si>
  <si>
    <t>Firm Injection Commodity Charge ($)</t>
  </si>
  <si>
    <t>Overrun Injection Commodity Charge ($)</t>
  </si>
  <si>
    <t>Firm Injection Customer Supplied Fuel (GJ)</t>
  </si>
  <si>
    <t>Overrun Injection Customer Supplied Fuel (GJ)</t>
  </si>
  <si>
    <t>Overrun Injection Commodity Charge</t>
  </si>
  <si>
    <t>Firm Withdraw Commodity Charge ($)</t>
  </si>
  <si>
    <t>Interrruptible Withdraw Commodity Charge ($)</t>
  </si>
  <si>
    <t>Withdraw Customer Supplied Fuel (GJ)</t>
  </si>
  <si>
    <t>Miscellaneous Charge Monthly Charge</t>
  </si>
  <si>
    <t>Miscellaneous Charge Demand Charge</t>
  </si>
  <si>
    <t>Total Storage ($)</t>
  </si>
  <si>
    <t>2% &lt;&lt; 4% (GJ)</t>
  </si>
  <si>
    <t>EASTERN ZONE TOLL ($/GJ)</t>
  </si>
  <si>
    <t>2nd Tier Daily Fee ($)</t>
  </si>
  <si>
    <t>Monthly Charge ($)</t>
  </si>
  <si>
    <t>Demand (GJ)</t>
  </si>
  <si>
    <t>Total Consumption R16+System (GJ)</t>
  </si>
  <si>
    <t>Firm Commodity Charge ($)</t>
  </si>
  <si>
    <t>Firm Customer Supplied Fuel (GJ)</t>
  </si>
  <si>
    <t>Deferral/Earnings Sharing Adjustment Deferral/Earnings Sharing
Adjustment</t>
  </si>
  <si>
    <t>Deferral/Earnings Sharing Adjustment Federal Carbon Charge</t>
  </si>
  <si>
    <t>Total Transporation ($)</t>
  </si>
  <si>
    <t>Gas Nomination Rate ($/GJ)</t>
  </si>
  <si>
    <t>Gas Nomination ($)</t>
  </si>
  <si>
    <t>Monthly Consulting Charge ($)</t>
  </si>
  <si>
    <t>PO Balance ($)</t>
  </si>
  <si>
    <t>System Gas Cost ($)</t>
  </si>
  <si>
    <t>R16 Gas cost ($)</t>
  </si>
  <si>
    <t>Total Cost Before Tax($)</t>
  </si>
  <si>
    <t>838 454</t>
  </si>
  <si>
    <t>842 770</t>
  </si>
  <si>
    <t>847 784</t>
  </si>
  <si>
    <t>851 508</t>
  </si>
  <si>
    <t>E194CC-2008-1</t>
  </si>
  <si>
    <t>855 478</t>
  </si>
  <si>
    <t>E194CC-2009-1</t>
  </si>
  <si>
    <t>858 032</t>
  </si>
  <si>
    <t>E194CC-2010-1</t>
  </si>
  <si>
    <t>863 949</t>
  </si>
  <si>
    <t>E194CC-2011-1</t>
  </si>
  <si>
    <t>867 741</t>
  </si>
  <si>
    <t>E194CC-2012-1</t>
  </si>
  <si>
    <t>876 030</t>
  </si>
  <si>
    <t>E194CC-2101-1</t>
  </si>
  <si>
    <t>877 881</t>
  </si>
  <si>
    <t>E194CC-2102-1</t>
  </si>
  <si>
    <t>881 850</t>
  </si>
  <si>
    <t>E194CC-2103-1</t>
  </si>
  <si>
    <t>887 240</t>
  </si>
  <si>
    <t>E194CC-2104-1</t>
  </si>
  <si>
    <t>889 724</t>
  </si>
  <si>
    <t>E194CC-2105-1</t>
  </si>
  <si>
    <t>895 037</t>
  </si>
  <si>
    <t>E194CC-2106-1</t>
  </si>
  <si>
    <t>899 099</t>
  </si>
  <si>
    <t>E194CC-2107-1</t>
  </si>
  <si>
    <t>905 664</t>
  </si>
  <si>
    <t>E194CC-2108-1</t>
  </si>
  <si>
    <t>912 435</t>
  </si>
  <si>
    <t>E194CC-2109-1</t>
  </si>
  <si>
    <t>918 530</t>
  </si>
  <si>
    <t>E194CC-2110-1</t>
  </si>
  <si>
    <t>923 433</t>
  </si>
  <si>
    <t>E194CC-2111-1</t>
  </si>
  <si>
    <t>929 292</t>
  </si>
  <si>
    <t>E194CC-2112-1</t>
  </si>
  <si>
    <t>936 129</t>
  </si>
  <si>
    <t>E194CC-2201-1</t>
  </si>
  <si>
    <t>942 995</t>
  </si>
  <si>
    <t>E194CC-2202-1</t>
  </si>
  <si>
    <t>947 909</t>
  </si>
  <si>
    <t>E194CC-2203-1</t>
  </si>
  <si>
    <t>958 598</t>
  </si>
  <si>
    <t>E194CC-2204-1</t>
  </si>
  <si>
    <t>961 359</t>
  </si>
  <si>
    <t>E194CC-2205-1</t>
  </si>
  <si>
    <t>964 935</t>
  </si>
  <si>
    <t>E194CC-2206-1</t>
  </si>
  <si>
    <t>971 955</t>
  </si>
  <si>
    <t>E194CC-2207-1</t>
  </si>
  <si>
    <t>977 916</t>
  </si>
  <si>
    <t>E194CC-2208-1</t>
  </si>
  <si>
    <t>986 545</t>
  </si>
  <si>
    <t>E194CC-2209-1</t>
  </si>
  <si>
    <t>993 085</t>
  </si>
  <si>
    <t>E194CC-2210-1</t>
  </si>
  <si>
    <t>999 184</t>
  </si>
  <si>
    <t>E194CC-2211-1</t>
  </si>
  <si>
    <t>E194CC-2212-1</t>
  </si>
  <si>
    <t>E194CC-2301-1</t>
  </si>
  <si>
    <t>E194CC-2302-1</t>
  </si>
  <si>
    <t>E194CC-2303-1</t>
  </si>
  <si>
    <t>E194CC-2304-1</t>
  </si>
  <si>
    <t>E194CC-2305-1</t>
  </si>
  <si>
    <t>E194CC-2306-1</t>
  </si>
  <si>
    <t>E194CC-2307-1</t>
  </si>
  <si>
    <t>E194CC-2308-1</t>
  </si>
  <si>
    <t>E194CC-2309-1</t>
  </si>
  <si>
    <t>E194CC-2310-1</t>
  </si>
  <si>
    <t>E194CC-2311-1</t>
  </si>
  <si>
    <t>E194CC-2312-1</t>
  </si>
  <si>
    <t>E194CC-2401-1</t>
  </si>
  <si>
    <t>E194CC-2402-1</t>
  </si>
  <si>
    <t>E194CC-2403-1</t>
  </si>
  <si>
    <t>E194CC-2404-1</t>
  </si>
  <si>
    <t>E194CC-2405-1</t>
  </si>
  <si>
    <t>E194CC-2406-1</t>
  </si>
  <si>
    <t>E194CC-2408-1</t>
  </si>
  <si>
    <t>E194CC-2409-1</t>
  </si>
  <si>
    <t>E194CC-2410-1</t>
  </si>
  <si>
    <t>E194CC-2411-1</t>
  </si>
  <si>
    <t>E194CC-2412-1</t>
  </si>
  <si>
    <t>E194CC-2501-1</t>
  </si>
  <si>
    <t>2020 Total</t>
  </si>
  <si>
    <t>2021 Total</t>
  </si>
  <si>
    <t>2022 Total</t>
  </si>
  <si>
    <t>2023 Total</t>
  </si>
  <si>
    <t>2024 Total</t>
  </si>
  <si>
    <t>System Gas</t>
  </si>
  <si>
    <t>Total</t>
  </si>
  <si>
    <t>OEB Approved Long Term Debt Rate</t>
  </si>
  <si>
    <t>Invoice</t>
  </si>
  <si>
    <t>Certarus CNG - Transportation Costs</t>
  </si>
  <si>
    <t>*EB-2024-0338 - Schedule 3</t>
  </si>
  <si>
    <t xml:space="preserve">QRAM Recovery* </t>
  </si>
  <si>
    <t>Transportation</t>
  </si>
  <si>
    <t>Gas Supply</t>
  </si>
  <si>
    <t>S&amp;TVA (R1/6/11)</t>
  </si>
  <si>
    <t>CNG</t>
  </si>
  <si>
    <t>Allocation</t>
  </si>
  <si>
    <t>Net for S&amp;TVA</t>
  </si>
  <si>
    <t>Calculation</t>
  </si>
  <si>
    <t>PP&amp;E Continuity from COS Application</t>
  </si>
  <si>
    <t>Table 2-9: CIAC to Enbridge - Owen Sound Reinforcement</t>
  </si>
  <si>
    <t>(Thousands of Dollars)</t>
  </si>
  <si>
    <t>Col. 1</t>
  </si>
  <si>
    <t>Col. 2</t>
  </si>
  <si>
    <t>Col. 3</t>
  </si>
  <si>
    <t>Col. 4</t>
  </si>
  <si>
    <t>Col. 5</t>
  </si>
  <si>
    <t>Col. 6</t>
  </si>
  <si>
    <t>Col. 7</t>
  </si>
  <si>
    <t>Col. 8</t>
  </si>
  <si>
    <t>Col. 9</t>
  </si>
  <si>
    <t>Col. 10</t>
  </si>
  <si>
    <t>Description</t>
  </si>
  <si>
    <t>Row 1</t>
  </si>
  <si>
    <t>Row 2</t>
  </si>
  <si>
    <t>Gross Fixed Assets</t>
  </si>
  <si>
    <t>Row 3</t>
  </si>
  <si>
    <t>Row 4</t>
  </si>
  <si>
    <t>Capital Expenditure</t>
  </si>
  <si>
    <t>Row 5</t>
  </si>
  <si>
    <t>Interest During Construction</t>
  </si>
  <si>
    <t>Row 6</t>
  </si>
  <si>
    <t>Capitalized Overhead</t>
  </si>
  <si>
    <t>Row 7</t>
  </si>
  <si>
    <t>External Funding</t>
  </si>
  <si>
    <t>Row 8</t>
  </si>
  <si>
    <t>Retirement</t>
  </si>
  <si>
    <t>Row 9</t>
  </si>
  <si>
    <t>Row 10</t>
  </si>
  <si>
    <t>Row 11</t>
  </si>
  <si>
    <t>Accumulated Depreciation</t>
  </si>
  <si>
    <t>Row 12</t>
  </si>
  <si>
    <t>Row 13</t>
  </si>
  <si>
    <t>Depreciation</t>
  </si>
  <si>
    <t>Row 14</t>
  </si>
  <si>
    <t>Row 15</t>
  </si>
  <si>
    <t>Row 16</t>
  </si>
  <si>
    <t>Row 17</t>
  </si>
  <si>
    <t>Net Asset</t>
  </si>
  <si>
    <t>Table 2-10: CIAC to Enbridge - Station</t>
  </si>
  <si>
    <t>PP&amp;E Continuity based on Actual CIAC</t>
  </si>
  <si>
    <t>Cost</t>
  </si>
  <si>
    <t>$000s</t>
  </si>
  <si>
    <t>year</t>
  </si>
  <si>
    <t>Depreciable year</t>
  </si>
  <si>
    <t>yr</t>
  </si>
  <si>
    <t>COS Comparisons</t>
  </si>
  <si>
    <t>WACC (as per Application)</t>
  </si>
  <si>
    <t>%</t>
  </si>
  <si>
    <t>COS as per Application</t>
  </si>
  <si>
    <t>Net PP&amp;E (Year End)</t>
  </si>
  <si>
    <t>Net PP&amp;E (mid-year)</t>
  </si>
  <si>
    <t>Return on Rate Base</t>
  </si>
  <si>
    <t>COS as per Actual CIAC</t>
  </si>
  <si>
    <t>Actual less Application</t>
  </si>
  <si>
    <t>**CIACVA captures actual vs planned upstream costs</t>
  </si>
  <si>
    <t xml:space="preserve">9.2.10 Regulatory Asset Deferral Account (“RADA”) </t>
  </si>
  <si>
    <t>4. Upstream Recovery Charge: This charge is related to the capital expenses incurred to secure adequate upstream capacity for the EPCOR Southern Bruce system. This reflects capital costs  (CIAC charged by Union) related to Owen Sound Transmission Reinforcement  and construction of the Dornoch Meter and Regulator Station, and recovery of the balance of the regulatory asset  deferral account generated from deferred revenue associated with stabilizing transportation, CIAC, storage, and load balancing activities that EPCOR is proposing as outlined in Exhibits 2 and 3. These are costs related to overall upstream system transportation capacity and are recovered by all rate classes (with the exception that storage costs are not recovered from Rate 16 customers as they are not provided with this service).</t>
  </si>
  <si>
    <t>8.2. Components of Revenues:</t>
  </si>
  <si>
    <t xml:space="preserve">6.3 Deferred Recovery of Upstream Charges: This relates to the deferred recovery of upstream charges paid to Enbridge for the transportation of 
gas to the Southern Bruce distribution system, storage charges and deferred recovery of costs related to the CIAC paid to Enbridge for the Owen Sound Transmission Reinforcement and the Dornoch Meter and Regulator Station. The value deferred is calculated by taking the difference between the monthly upstream charges incurred by EPCOR less the value of monthly upstream charges collected by EPCOR. As detailed in Exhibit 9, EPCOR is requesting the establishment of a Regulatory Asset Deferral Account (“RADA”) to collect this difference based on customer count as per the CIP. As customer connections will be directly impacted by the delay, the value of deferred costs will be higher than that collected in the RADA. The forecast change in the value of the deferred upstream costs is detailed in Table 6-8. </t>
  </si>
  <si>
    <t>Variance</t>
  </si>
  <si>
    <t>CIAC Revenue Requirement</t>
  </si>
  <si>
    <t>Revenue</t>
  </si>
  <si>
    <t>January</t>
  </si>
  <si>
    <t>February</t>
  </si>
  <si>
    <t>March</t>
  </si>
  <si>
    <t>April</t>
  </si>
  <si>
    <t>May</t>
  </si>
  <si>
    <t>June</t>
  </si>
  <si>
    <t>July</t>
  </si>
  <si>
    <t>August</t>
  </si>
  <si>
    <t>September</t>
  </si>
  <si>
    <t>October</t>
  </si>
  <si>
    <t>November</t>
  </si>
  <si>
    <t>December</t>
  </si>
  <si>
    <t>Cumulative Variance</t>
  </si>
  <si>
    <t>Carrying Charges</t>
  </si>
  <si>
    <t>Rate</t>
  </si>
  <si>
    <t>Grand Total</t>
  </si>
  <si>
    <t>Total Cost</t>
  </si>
  <si>
    <t>Cumulative Carrying Charges</t>
  </si>
  <si>
    <t>TRANSPORTATION</t>
  </si>
  <si>
    <t>UPSTREAM CHARGES</t>
  </si>
  <si>
    <t>Unit</t>
  </si>
  <si>
    <t>Rate 1</t>
  </si>
  <si>
    <t>Rate 6</t>
  </si>
  <si>
    <t>Rate 11</t>
  </si>
  <si>
    <t>Rate 16</t>
  </si>
  <si>
    <t>$000's</t>
  </si>
  <si>
    <t>TVA</t>
  </si>
  <si>
    <t>Total Transportation</t>
  </si>
  <si>
    <t>Cumulative Transportation</t>
  </si>
  <si>
    <t>Total Upstream</t>
  </si>
  <si>
    <t>Cumulative Upstream</t>
  </si>
  <si>
    <t>COMBINED</t>
  </si>
  <si>
    <t>Grand Total Cumulative</t>
  </si>
  <si>
    <t>TVA - R16</t>
  </si>
  <si>
    <t>Non-Distribution Revenue</t>
  </si>
  <si>
    <t>Classification</t>
  </si>
  <si>
    <t>Table7-25: Allocation of Rate Base</t>
  </si>
  <si>
    <t>Commodity</t>
  </si>
  <si>
    <t>Upstream Capacity</t>
  </si>
  <si>
    <t>Storage Space</t>
  </si>
  <si>
    <t>Storage Deliverability</t>
  </si>
  <si>
    <t>Enbridge CIAC</t>
  </si>
  <si>
    <t>Delivery Commodity</t>
  </si>
  <si>
    <t>Capacity HP</t>
  </si>
  <si>
    <t>Capacity LP</t>
  </si>
  <si>
    <t>Customer</t>
  </si>
  <si>
    <t>Customer Weighted Services</t>
  </si>
  <si>
    <t>Customer Weighted Meters</t>
  </si>
  <si>
    <t>Customer Weighted Billing</t>
  </si>
  <si>
    <t>Customer Excluding Industrial</t>
  </si>
  <si>
    <t>Bad Debt / Collection</t>
  </si>
  <si>
    <t>Rate Base - ENG</t>
  </si>
  <si>
    <t>Source: EB-2018-0624, Exhibit 7, Tab 1, Schedule 2, Table 7-24 - Enbridge CIAC</t>
  </si>
  <si>
    <t>Nomination</t>
  </si>
  <si>
    <t>Q4 2025</t>
  </si>
  <si>
    <t>Q3 2025</t>
  </si>
  <si>
    <t>Q2 2025</t>
  </si>
  <si>
    <t>Q1 2025</t>
  </si>
  <si>
    <t>Q4 2024</t>
  </si>
  <si>
    <t>Q3 2024</t>
  </si>
  <si>
    <t>Q2 2024</t>
  </si>
  <si>
    <t>Q1 2024</t>
  </si>
  <si>
    <t>Q4 2023</t>
  </si>
  <si>
    <t>Q3 2023</t>
  </si>
  <si>
    <t>Q2 2023</t>
  </si>
  <si>
    <t>Q1 2023</t>
  </si>
  <si>
    <t>Q4 2022</t>
  </si>
  <si>
    <t>Q3 2022</t>
  </si>
  <si>
    <t>Q2 2022</t>
  </si>
  <si>
    <t>Q1 2022</t>
  </si>
  <si>
    <t>Q4 2021</t>
  </si>
  <si>
    <t>Q3 2021</t>
  </si>
  <si>
    <t>Q2 2021</t>
  </si>
  <si>
    <t>Q1 2021</t>
  </si>
  <si>
    <t>Q4 2020</t>
  </si>
  <si>
    <t>Q3 2020</t>
  </si>
  <si>
    <t>Q2 2020</t>
  </si>
  <si>
    <t>Q1 2020</t>
  </si>
  <si>
    <t>Q4 2019</t>
  </si>
  <si>
    <t>Q3 2019</t>
  </si>
  <si>
    <t>Quarter</t>
  </si>
  <si>
    <t>https://oeb.ca/regulatory-rules-and-documents/rules-codes-and-requirements/prescribed-interest-rates</t>
  </si>
  <si>
    <t>S&amp;TVA R16</t>
  </si>
  <si>
    <t>TVA R16</t>
  </si>
  <si>
    <t>Scenario 1 - LTD</t>
  </si>
  <si>
    <t>Scenario 2 - OEB Rates</t>
  </si>
  <si>
    <t>Variance $</t>
  </si>
  <si>
    <t>Variance %</t>
  </si>
  <si>
    <t>Total Principal</t>
  </si>
  <si>
    <t>% ot total amount</t>
  </si>
  <si>
    <t>Monthly Charge</t>
  </si>
  <si>
    <t>Nominated Volumes (GJ)</t>
  </si>
  <si>
    <t>Contract Demand (GJ)</t>
  </si>
  <si>
    <t>Total Allocation</t>
  </si>
  <si>
    <t>System Gas Fuel</t>
  </si>
  <si>
    <t>R16 Fuel</t>
  </si>
  <si>
    <t>Grand</t>
  </si>
  <si>
    <t>Fuel Amounts (GJ)</t>
  </si>
  <si>
    <t>Heat Value</t>
  </si>
  <si>
    <t>System Gas Fuel (m3)</t>
  </si>
  <si>
    <t>Total Fuel Cost</t>
  </si>
  <si>
    <t>System Gas Conversion</t>
  </si>
  <si>
    <t>Invoice Total</t>
  </si>
  <si>
    <t>*Note - R16 amounts are for reference only.  Amounts are not included in the calculation</t>
  </si>
  <si>
    <t xml:space="preserve">QRAM Reference Price </t>
  </si>
  <si>
    <t>Fuel</t>
  </si>
  <si>
    <t>Storage - Transportation</t>
  </si>
  <si>
    <t>Summary:</t>
  </si>
  <si>
    <t>STVA</t>
  </si>
  <si>
    <t>Current (3.72%)</t>
  </si>
  <si>
    <t>Hybrid</t>
  </si>
  <si>
    <t>Staff 3a - Fuel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</si>
</sst>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0_);\(&quot;$&quot;#,##0\)"/>
    <numFmt numFmtId="41" formatCode="_(* #,##0_);_(* \(#,##0\);_(* &quot;-&quot;_);_(@_)"/>
    <numFmt numFmtId="44" formatCode="_(&quot;$&quot;* #,##0.00_);_(&quot;$&quot;* \(#,##0.00\);_(&quot;$&quot;* &quot;-&quot;??_);_(@_)"/>
    <numFmt numFmtId="43" formatCode="_(* #,##0.00_);_(* \(#,##0.00\);_(* &quot;-&quot;??_);_(@_)"/>
    <numFmt numFmtId="164" formatCode="_-* #,##0.00_-;\-* #,##0.00_-;_-* &quot;-&quot;??_-;_-@_-"/>
    <numFmt numFmtId="165" formatCode="_-* #,##0_-;\-* #,##0_-;_-* &quot;-&quot;??_-;_-@_-"/>
    <numFmt numFmtId="166" formatCode="_(* #,##0_);_(* \(#,##0\);_(* &quot;-&quot;??_);_(@_)"/>
    <numFmt numFmtId="167" formatCode="#,##0.000"/>
    <numFmt numFmtId="168" formatCode="#,##0.0000"/>
    <numFmt numFmtId="169" formatCode="_(&quot;$&quot;* #,##0.000_);_(&quot;$&quot;* \(#,##0.000\);_(&quot;$&quot;* &quot;-&quot;??_);_(@_)"/>
    <numFmt numFmtId="170" formatCode="_-* #,##0.000_-;\-* #,##0.000_-;_-* &quot;-&quot;??_-;_-@_-"/>
    <numFmt numFmtId="171" formatCode="0.000"/>
    <numFmt numFmtId="172" formatCode="_-* #,##0.0_-;\-* #,##0.0_-;_-* &quot;-&quot;??_-;_-@_-"/>
    <numFmt numFmtId="173" formatCode="_-&quot;$&quot;* #,##0.00_-;\-&quot;$&quot;* #,##0.00_-;_-&quot;$&quot;* &quot;-&quot;??_-;_-@_-"/>
    <numFmt numFmtId="174" formatCode="_-&quot;$&quot;* #,##0.000_-;\-&quot;$&quot;* #,##0.000_-;_-&quot;$&quot;* &quot;-&quot;??_-;_-@_-"/>
    <numFmt numFmtId="175" formatCode="0.000%"/>
    <numFmt numFmtId="176" formatCode="#,##0_ ;\-#,##0\ "/>
    <numFmt numFmtId="177" formatCode="_-* #,##0.0000000000000_-;\-* #,##0.0000000000000_-;_-* &quot;-&quot;??_-;_-@_-"/>
    <numFmt numFmtId="178" formatCode="_(&quot;$&quot;* #,##0_);_(&quot;$&quot;* \(#,##0\);_(&quot;$&quot;* &quot;-&quot;??_);_(@_)"/>
    <numFmt numFmtId="179" formatCode="#,##0.0000_);\(#,##0.0000\)"/>
  </numFmts>
  <fonts count="73" x14ac:knownFonts="1">
    <font>
      <sz val="11"/>
      <color theme="1"/>
      <name val="Calibri"/>
      <family val="2"/>
      <scheme val="minor"/>
    </font>
    <font>
      <sz val="11"/>
      <color theme="1"/>
      <name val="Arial"/>
      <family val="2"/>
    </font>
    <font>
      <sz val="11"/>
      <color theme="1"/>
      <name val="Arial"/>
      <family val="2"/>
    </font>
    <font>
      <sz val="10"/>
      <name val="Arial"/>
      <family val="2"/>
    </font>
    <font>
      <b/>
      <sz val="10"/>
      <name val="Arial"/>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sz val="11"/>
      <color indexed="19"/>
      <name val="Calibri"/>
      <family val="2"/>
    </font>
    <font>
      <b/>
      <sz val="11"/>
      <color indexed="63"/>
      <name val="Calibri"/>
      <family val="2"/>
    </font>
    <font>
      <b/>
      <sz val="18"/>
      <color indexed="62"/>
      <name val="Cambria"/>
      <family val="2"/>
    </font>
    <font>
      <b/>
      <sz val="11"/>
      <color indexed="8"/>
      <name val="Calibri"/>
      <family val="2"/>
    </font>
    <font>
      <sz val="11"/>
      <color theme="1"/>
      <name val="Calibri"/>
      <family val="2"/>
      <scheme val="minor"/>
    </font>
    <font>
      <b/>
      <sz val="10"/>
      <color theme="1"/>
      <name val="Arial"/>
      <family val="2"/>
    </font>
    <font>
      <sz val="10"/>
      <color theme="1"/>
      <name val="Arial"/>
      <family val="2"/>
    </font>
    <font>
      <sz val="9"/>
      <color indexed="81"/>
      <name val="Tahoma"/>
      <family val="2"/>
    </font>
    <font>
      <b/>
      <sz val="9"/>
      <color indexed="81"/>
      <name val="Tahoma"/>
      <family val="2"/>
    </font>
    <font>
      <sz val="16"/>
      <color rgb="FFFF0000"/>
      <name val="Arial"/>
      <family val="2"/>
    </font>
    <font>
      <u/>
      <sz val="11"/>
      <color theme="10"/>
      <name val="Calibri"/>
      <family val="2"/>
      <scheme val="minor"/>
    </font>
    <font>
      <b/>
      <sz val="12"/>
      <color theme="3"/>
      <name val="Arial"/>
      <family val="2"/>
    </font>
    <font>
      <i/>
      <sz val="10"/>
      <color theme="0" tint="-0.34998626667073579"/>
      <name val="Arial"/>
      <family val="2"/>
    </font>
    <font>
      <sz val="11"/>
      <color theme="0" tint="-0.499984740745262"/>
      <name val="Arial"/>
      <family val="2"/>
    </font>
    <font>
      <sz val="11"/>
      <name val="Arial"/>
      <family val="2"/>
    </font>
    <font>
      <sz val="11"/>
      <color theme="1"/>
      <name val="Arial"/>
      <family val="2"/>
    </font>
    <font>
      <sz val="10"/>
      <color theme="1" tint="0.34998626667073579"/>
      <name val="Arial"/>
      <family val="2"/>
    </font>
    <font>
      <b/>
      <sz val="11"/>
      <color theme="1"/>
      <name val="Arial"/>
      <family val="2"/>
    </font>
    <font>
      <u/>
      <sz val="10"/>
      <name val="Century Gothic"/>
      <family val="2"/>
    </font>
    <font>
      <sz val="11"/>
      <color rgb="FF33CC33"/>
      <name val="Arial"/>
      <family val="2"/>
    </font>
    <font>
      <sz val="11"/>
      <color rgb="FFFF0000"/>
      <name val="Arial"/>
      <family val="2"/>
    </font>
    <font>
      <sz val="11"/>
      <color rgb="FF0000CC"/>
      <name val="Arial"/>
      <family val="2"/>
    </font>
    <font>
      <b/>
      <sz val="11"/>
      <name val="Arial"/>
      <family val="2"/>
    </font>
    <font>
      <b/>
      <sz val="11"/>
      <color theme="3"/>
      <name val="Arial"/>
      <family val="2"/>
    </font>
    <font>
      <u/>
      <sz val="10"/>
      <name val="Arial"/>
      <family val="2"/>
    </font>
    <font>
      <b/>
      <sz val="11"/>
      <color rgb="FFFF0000"/>
      <name val="Arial"/>
      <family val="2"/>
    </font>
    <font>
      <b/>
      <sz val="16"/>
      <color theme="1"/>
      <name val="Arial"/>
      <family val="2"/>
    </font>
    <font>
      <sz val="16"/>
      <color theme="1"/>
      <name val="Calibri"/>
      <family val="2"/>
      <scheme val="minor"/>
    </font>
    <font>
      <b/>
      <sz val="16"/>
      <color theme="1"/>
      <name val="Calibri"/>
      <family val="2"/>
      <scheme val="minor"/>
    </font>
    <font>
      <b/>
      <sz val="11"/>
      <color theme="1"/>
      <name val="Calibri"/>
      <family val="2"/>
      <scheme val="minor"/>
    </font>
    <font>
      <b/>
      <sz val="11"/>
      <name val="Calibri"/>
      <family val="2"/>
      <scheme val="minor"/>
    </font>
    <font>
      <sz val="12"/>
      <color theme="1"/>
      <name val="Calibri"/>
      <family val="2"/>
      <scheme val="minor"/>
    </font>
    <font>
      <sz val="11"/>
      <name val="Calibri"/>
      <family val="2"/>
      <scheme val="minor"/>
    </font>
    <font>
      <b/>
      <sz val="11"/>
      <color rgb="FFFF0000"/>
      <name val="Calibri"/>
      <family val="2"/>
      <scheme val="minor"/>
    </font>
    <font>
      <sz val="11"/>
      <color theme="8" tint="-0.249977111117893"/>
      <name val="Calibri"/>
      <family val="2"/>
      <scheme val="minor"/>
    </font>
    <font>
      <sz val="11"/>
      <color rgb="FF0070C0"/>
      <name val="Calibri"/>
      <family val="2"/>
      <scheme val="minor"/>
    </font>
    <font>
      <b/>
      <sz val="12"/>
      <color theme="1"/>
      <name val="Calibri"/>
      <family val="2"/>
      <scheme val="minor"/>
    </font>
    <font>
      <i/>
      <sz val="12"/>
      <color theme="1"/>
      <name val="Calibri"/>
      <family val="2"/>
      <scheme val="minor"/>
    </font>
    <font>
      <i/>
      <sz val="10"/>
      <color theme="1"/>
      <name val="Arial"/>
      <family val="2"/>
    </font>
    <font>
      <u val="singleAccounting"/>
      <sz val="11"/>
      <color theme="1"/>
      <name val="Calibri"/>
      <family val="2"/>
      <scheme val="minor"/>
    </font>
    <font>
      <i/>
      <sz val="11"/>
      <color theme="1"/>
      <name val="Calibri"/>
      <family val="2"/>
      <scheme val="minor"/>
    </font>
    <font>
      <b/>
      <sz val="14"/>
      <color theme="0"/>
      <name val="Calibri"/>
      <family val="2"/>
      <scheme val="minor"/>
    </font>
    <font>
      <b/>
      <u/>
      <sz val="11"/>
      <color theme="1"/>
      <name val="Arial"/>
      <family val="2"/>
    </font>
    <font>
      <sz val="11"/>
      <color theme="9"/>
      <name val="Calibri"/>
      <family val="2"/>
      <scheme val="minor"/>
    </font>
    <font>
      <i/>
      <sz val="9"/>
      <color theme="1"/>
      <name val="Arial"/>
      <family val="2"/>
    </font>
    <font>
      <b/>
      <i/>
      <sz val="11"/>
      <color theme="1"/>
      <name val="Calibri"/>
      <family val="2"/>
      <scheme val="minor"/>
    </font>
    <font>
      <b/>
      <sz val="12"/>
      <color rgb="FF1F497D"/>
      <name val="Arial"/>
      <family val="2"/>
    </font>
    <font>
      <i/>
      <sz val="10"/>
      <color rgb="FFA6A6A6"/>
      <name val="Arial"/>
      <family val="2"/>
    </font>
    <font>
      <b/>
      <sz val="11"/>
      <color rgb="FF000000"/>
      <name val="Arial"/>
      <family val="2"/>
    </font>
    <font>
      <sz val="11"/>
      <color rgb="FF000000"/>
      <name val="Arial"/>
      <family val="2"/>
    </font>
    <font>
      <b/>
      <u/>
      <sz val="11"/>
      <color rgb="FF000000"/>
      <name val="Arial"/>
      <family val="2"/>
    </font>
    <font>
      <u/>
      <sz val="11"/>
      <color theme="1"/>
      <name val="Calibri"/>
      <family val="2"/>
      <scheme val="minor"/>
    </font>
    <font>
      <i/>
      <sz val="11"/>
      <color theme="1"/>
      <name val="Arial"/>
      <family val="2"/>
    </font>
    <font>
      <b/>
      <sz val="14"/>
      <color theme="1"/>
      <name val="Calibri"/>
      <family val="2"/>
      <scheme val="minor"/>
    </font>
    <font>
      <i/>
      <u/>
      <sz val="11"/>
      <color theme="1"/>
      <name val="Calibri"/>
      <family val="2"/>
      <scheme val="minor"/>
    </font>
    <font>
      <b/>
      <i/>
      <u/>
      <sz val="11"/>
      <color theme="1"/>
      <name val="Calibri"/>
      <family val="2"/>
      <scheme val="minor"/>
    </font>
  </fonts>
  <fills count="37">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theme="6" tint="0.79998168889431442"/>
        <bgColor indexed="64"/>
      </patternFill>
    </fill>
    <fill>
      <patternFill patternType="solid">
        <fgColor rgb="FFFFFF00"/>
        <bgColor indexed="64"/>
      </patternFill>
    </fill>
    <fill>
      <patternFill patternType="solid">
        <fgColor rgb="FF92D050"/>
        <bgColor indexed="64"/>
      </patternFill>
    </fill>
    <fill>
      <patternFill patternType="solid">
        <fgColor rgb="FFEBF6F9"/>
        <bgColor indexed="64"/>
      </patternFill>
    </fill>
    <fill>
      <patternFill patternType="solid">
        <fgColor theme="0" tint="-0.34998626667073579"/>
        <bgColor indexed="64"/>
      </patternFill>
    </fill>
    <fill>
      <patternFill patternType="lightGray">
        <fgColor theme="0" tint="-0.34998626667073579"/>
        <bgColor indexed="65"/>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0000"/>
        <bgColor indexed="64"/>
      </patternFill>
    </fill>
    <fill>
      <patternFill patternType="solid">
        <fgColor theme="0" tint="-0.14999847407452621"/>
        <bgColor indexed="64"/>
      </patternFill>
    </fill>
    <fill>
      <patternFill patternType="solid">
        <fgColor theme="1"/>
        <bgColor indexed="64"/>
      </patternFill>
    </fill>
    <fill>
      <patternFill patternType="lightGray">
        <bgColor theme="0"/>
      </patternFill>
    </fill>
    <fill>
      <patternFill patternType="solid">
        <fgColor rgb="FFA6A6A6"/>
        <bgColor rgb="FF000000"/>
      </patternFill>
    </fill>
    <fill>
      <patternFill patternType="lightGray">
        <fgColor rgb="FFA6A6A6"/>
        <bgColor rgb="FFFFFFFF"/>
      </patternFill>
    </fill>
    <fill>
      <patternFill patternType="solid">
        <fgColor rgb="FFFFFFFF"/>
        <bgColor rgb="FF000000"/>
      </patternFill>
    </fill>
    <fill>
      <patternFill patternType="solid">
        <fgColor rgb="FFFFFF00"/>
        <bgColor rgb="FF000000"/>
      </patternFill>
    </fill>
    <fill>
      <patternFill patternType="solid">
        <fgColor theme="0" tint="-0.249977111117893"/>
        <bgColor indexed="64"/>
      </patternFill>
    </fill>
  </fills>
  <borders count="5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auto="1"/>
      </left>
      <right style="thin">
        <color auto="1"/>
      </right>
      <top style="thin">
        <color auto="1"/>
      </top>
      <bottom/>
      <diagonal/>
    </border>
    <border>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rgb="FFA6A6A6"/>
      </left>
      <right style="thin">
        <color rgb="FFA6A6A6"/>
      </right>
      <top style="thin">
        <color rgb="FFA6A6A6"/>
      </top>
      <bottom style="thin">
        <color rgb="FFA6A6A6"/>
      </bottom>
      <diagonal/>
    </border>
    <border>
      <left/>
      <right/>
      <top style="dotted">
        <color auto="1"/>
      </top>
      <bottom/>
      <diagonal/>
    </border>
    <border>
      <left style="thin">
        <color indexed="64"/>
      </left>
      <right/>
      <top style="thin">
        <color indexed="64"/>
      </top>
      <bottom/>
      <diagonal/>
    </border>
    <border>
      <left style="thin">
        <color auto="1"/>
      </left>
      <right style="thin">
        <color auto="1"/>
      </right>
      <top style="thin">
        <color auto="1"/>
      </top>
      <bottom/>
      <diagonal/>
    </border>
  </borders>
  <cellStyleXfs count="67">
    <xf numFmtId="0" fontId="0" fillId="0" borderId="0"/>
    <xf numFmtId="0" fontId="3"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6" borderId="0" applyNumberFormat="0" applyBorder="0" applyAlignment="0" applyProtection="0"/>
    <xf numFmtId="0" fontId="6" fillId="3" borderId="0" applyNumberFormat="0" applyBorder="0" applyAlignment="0" applyProtection="0"/>
    <xf numFmtId="0" fontId="6" fillId="11"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8" fillId="16" borderId="1" applyNumberFormat="0" applyAlignment="0" applyProtection="0"/>
    <xf numFmtId="0" fontId="9" fillId="17" borderId="2" applyNumberFormat="0" applyAlignment="0" applyProtection="0"/>
    <xf numFmtId="43" fontId="3" fillId="0" borderId="0" applyFont="0" applyFill="0" applyBorder="0" applyAlignment="0" applyProtection="0"/>
    <xf numFmtId="44" fontId="3" fillId="0" borderId="0" applyFont="0" applyFill="0" applyBorder="0" applyAlignment="0" applyProtection="0"/>
    <xf numFmtId="0" fontId="10" fillId="0" borderId="0" applyNumberFormat="0" applyFill="0" applyBorder="0" applyAlignment="0" applyProtection="0"/>
    <xf numFmtId="0" fontId="11" fillId="6"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7" borderId="1" applyNumberFormat="0" applyAlignment="0" applyProtection="0"/>
    <xf numFmtId="0" fontId="16" fillId="0" borderId="6" applyNumberFormat="0" applyFill="0" applyAlignment="0" applyProtection="0"/>
    <xf numFmtId="0" fontId="17" fillId="7" borderId="0" applyNumberFormat="0" applyBorder="0" applyAlignment="0" applyProtection="0"/>
    <xf numFmtId="0" fontId="3" fillId="0" borderId="0"/>
    <xf numFmtId="0" fontId="3" fillId="4" borderId="7" applyNumberFormat="0" applyFont="0" applyAlignment="0" applyProtection="0"/>
    <xf numFmtId="0" fontId="18" fillId="16" borderId="8" applyNumberFormat="0" applyAlignment="0" applyProtection="0"/>
    <xf numFmtId="9" fontId="3" fillId="0" borderId="0" applyFon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16" fillId="0" borderId="0" applyNumberFormat="0" applyFill="0" applyBorder="0" applyAlignment="0" applyProtection="0"/>
    <xf numFmtId="164" fontId="21" fillId="0" borderId="0" applyFont="0" applyFill="0" applyBorder="0" applyAlignment="0" applyProtection="0"/>
    <xf numFmtId="9" fontId="21" fillId="0" borderId="0" applyFont="0" applyFill="0" applyBorder="0" applyAlignment="0" applyProtection="0"/>
    <xf numFmtId="0" fontId="27" fillId="0" borderId="0" applyNumberFormat="0" applyFill="0" applyBorder="0" applyAlignment="0" applyProtection="0"/>
    <xf numFmtId="44" fontId="21" fillId="0" borderId="0" applyFont="0" applyFill="0" applyBorder="0" applyAlignment="0" applyProtection="0"/>
    <xf numFmtId="0" fontId="28" fillId="0" borderId="0" applyNumberFormat="0" applyBorder="0"/>
    <xf numFmtId="0" fontId="29" fillId="0" borderId="0" applyNumberFormat="0">
      <alignment horizontal="center"/>
    </xf>
    <xf numFmtId="0" fontId="30" fillId="21" borderId="13" applyNumberFormat="0" applyAlignment="0"/>
    <xf numFmtId="3" fontId="31" fillId="22" borderId="14"/>
    <xf numFmtId="3" fontId="32" fillId="0" borderId="15"/>
    <xf numFmtId="167" fontId="33" fillId="0" borderId="16" applyProtection="0">
      <alignment horizontal="center"/>
    </xf>
    <xf numFmtId="0" fontId="34" fillId="0" borderId="0" applyNumberFormat="0"/>
    <xf numFmtId="0" fontId="35" fillId="0" borderId="0" applyBorder="0"/>
    <xf numFmtId="0" fontId="36" fillId="0" borderId="0" applyNumberFormat="0" applyAlignment="0"/>
    <xf numFmtId="0" fontId="32" fillId="23" borderId="17" applyNumberFormat="0" applyFont="0" applyAlignment="0"/>
    <xf numFmtId="3" fontId="37" fillId="0" borderId="0" applyFill="0"/>
    <xf numFmtId="0" fontId="38" fillId="21" borderId="16" applyNumberFormat="0" applyAlignment="0">
      <alignment horizontal="right"/>
      <protection locked="0"/>
    </xf>
    <xf numFmtId="0" fontId="31" fillId="0" borderId="0" applyNumberFormat="0" applyAlignment="0"/>
    <xf numFmtId="0" fontId="37" fillId="0" borderId="0" applyNumberFormat="0" applyFill="0" applyBorder="0" applyAlignment="0" applyProtection="0"/>
    <xf numFmtId="3" fontId="1" fillId="0" borderId="49"/>
    <xf numFmtId="0" fontId="1" fillId="0" borderId="45" applyNumberFormat="0" applyFont="0" applyFill="0" applyAlignment="0"/>
  </cellStyleXfs>
  <cellXfs count="539">
    <xf numFmtId="0" fontId="0" fillId="0" borderId="0" xfId="0"/>
    <xf numFmtId="0" fontId="4" fillId="0" borderId="0" xfId="0" applyFont="1" applyAlignment="1">
      <alignment horizontal="center"/>
    </xf>
    <xf numFmtId="0" fontId="4" fillId="0" borderId="0" xfId="0" applyFont="1" applyAlignment="1">
      <alignment horizontal="left"/>
    </xf>
    <xf numFmtId="0" fontId="22" fillId="0" borderId="0" xfId="0" applyFont="1"/>
    <xf numFmtId="0" fontId="22" fillId="0" borderId="0" xfId="0" applyFont="1" applyAlignment="1">
      <alignment horizontal="center"/>
    </xf>
    <xf numFmtId="0" fontId="4" fillId="0" borderId="0" xfId="0" applyFont="1"/>
    <xf numFmtId="0" fontId="4" fillId="0" borderId="10" xfId="0" applyFont="1" applyBorder="1" applyAlignment="1">
      <alignment horizontal="center"/>
    </xf>
    <xf numFmtId="0" fontId="3" fillId="0" borderId="0" xfId="0" applyFont="1" applyAlignment="1">
      <alignment horizontal="left" indent="1"/>
    </xf>
    <xf numFmtId="0" fontId="3" fillId="0" borderId="0" xfId="47" applyNumberFormat="1" applyFont="1" applyAlignment="1">
      <alignment horizontal="left" indent="1"/>
    </xf>
    <xf numFmtId="10" fontId="3" fillId="0" borderId="0" xfId="48" applyNumberFormat="1" applyFont="1"/>
    <xf numFmtId="0" fontId="3" fillId="0" borderId="0" xfId="0" applyFont="1" applyAlignment="1" applyProtection="1">
      <alignment horizontal="left" indent="2"/>
      <protection locked="0"/>
    </xf>
    <xf numFmtId="0" fontId="3" fillId="0" borderId="0" xfId="0" applyFont="1" applyAlignment="1">
      <alignment horizontal="left" indent="2"/>
    </xf>
    <xf numFmtId="164" fontId="4" fillId="0" borderId="0" xfId="47" applyFont="1" applyBorder="1"/>
    <xf numFmtId="164" fontId="3" fillId="0" borderId="0" xfId="47" applyFont="1" applyBorder="1" applyAlignment="1">
      <alignment horizontal="left" indent="1"/>
    </xf>
    <xf numFmtId="164" fontId="3" fillId="0" borderId="0" xfId="47" applyFont="1" applyBorder="1" applyAlignment="1" applyProtection="1">
      <alignment horizontal="left" indent="1"/>
      <protection locked="0"/>
    </xf>
    <xf numFmtId="164" fontId="3" fillId="0" borderId="0" xfId="47" applyFont="1" applyAlignment="1">
      <alignment horizontal="left" indent="1"/>
    </xf>
    <xf numFmtId="0" fontId="4" fillId="0" borderId="11" xfId="0" applyFont="1" applyBorder="1" applyAlignment="1">
      <alignment horizontal="center"/>
    </xf>
    <xf numFmtId="0" fontId="23" fillId="0" borderId="0" xfId="0" applyFont="1" applyAlignment="1">
      <alignment horizontal="left" indent="1"/>
    </xf>
    <xf numFmtId="0" fontId="23" fillId="0" borderId="0" xfId="0" applyFont="1"/>
    <xf numFmtId="41" fontId="23" fillId="0" borderId="0" xfId="0" applyNumberFormat="1" applyFont="1"/>
    <xf numFmtId="3" fontId="23" fillId="0" borderId="0" xfId="0" applyNumberFormat="1" applyFont="1"/>
    <xf numFmtId="164" fontId="23" fillId="0" borderId="0" xfId="47" applyFont="1" applyBorder="1"/>
    <xf numFmtId="164" fontId="3" fillId="0" borderId="0" xfId="47" applyFont="1" applyBorder="1" applyProtection="1">
      <protection locked="0"/>
    </xf>
    <xf numFmtId="10" fontId="3" fillId="0" borderId="0" xfId="48" applyNumberFormat="1" applyFont="1" applyBorder="1"/>
    <xf numFmtId="165" fontId="23" fillId="0" borderId="0" xfId="47" applyNumberFormat="1" applyFont="1"/>
    <xf numFmtId="164" fontId="23" fillId="0" borderId="0" xfId="0" applyNumberFormat="1" applyFont="1"/>
    <xf numFmtId="164" fontId="22" fillId="0" borderId="0" xfId="47" applyFont="1" applyBorder="1"/>
    <xf numFmtId="164" fontId="23" fillId="0" borderId="0" xfId="47" applyFont="1"/>
    <xf numFmtId="165" fontId="23" fillId="0" borderId="12" xfId="47" applyNumberFormat="1" applyFont="1" applyBorder="1"/>
    <xf numFmtId="0" fontId="22" fillId="0" borderId="0" xfId="0" applyFont="1" applyAlignment="1">
      <alignment horizontal="left"/>
    </xf>
    <xf numFmtId="165" fontId="23" fillId="0" borderId="0" xfId="47" applyNumberFormat="1" applyFont="1" applyBorder="1"/>
    <xf numFmtId="0" fontId="23" fillId="0" borderId="0" xfId="0" applyFont="1" applyAlignment="1">
      <alignment horizontal="left"/>
    </xf>
    <xf numFmtId="0" fontId="22" fillId="0" borderId="0" xfId="0" applyFont="1" applyAlignment="1">
      <alignment horizontal="left" indent="1"/>
    </xf>
    <xf numFmtId="41" fontId="23" fillId="0" borderId="12" xfId="0" applyNumberFormat="1" applyFont="1" applyBorder="1"/>
    <xf numFmtId="41" fontId="22" fillId="0" borderId="12" xfId="0" applyNumberFormat="1" applyFont="1" applyBorder="1"/>
    <xf numFmtId="3" fontId="22" fillId="0" borderId="12" xfId="0" applyNumberFormat="1" applyFont="1" applyBorder="1"/>
    <xf numFmtId="165" fontId="22" fillId="0" borderId="12" xfId="47" applyNumberFormat="1" applyFont="1" applyBorder="1"/>
    <xf numFmtId="41" fontId="22" fillId="0" borderId="0" xfId="0" applyNumberFormat="1" applyFont="1"/>
    <xf numFmtId="0" fontId="23" fillId="0" borderId="0" xfId="0" applyFont="1" applyAlignment="1">
      <alignment horizontal="left" indent="2"/>
    </xf>
    <xf numFmtId="165" fontId="23" fillId="0" borderId="0" xfId="0" applyNumberFormat="1" applyFont="1"/>
    <xf numFmtId="0" fontId="23" fillId="18" borderId="0" xfId="0" applyFont="1" applyFill="1"/>
    <xf numFmtId="165" fontId="23" fillId="18" borderId="0" xfId="47" applyNumberFormat="1" applyFont="1" applyFill="1"/>
    <xf numFmtId="41" fontId="23" fillId="18" borderId="0" xfId="0" applyNumberFormat="1" applyFont="1" applyFill="1"/>
    <xf numFmtId="3" fontId="23" fillId="18" borderId="0" xfId="0" applyNumberFormat="1" applyFont="1" applyFill="1"/>
    <xf numFmtId="164" fontId="23" fillId="18" borderId="0" xfId="47" applyFont="1" applyFill="1"/>
    <xf numFmtId="43" fontId="23" fillId="18" borderId="0" xfId="0" applyNumberFormat="1" applyFont="1" applyFill="1"/>
    <xf numFmtId="0" fontId="26" fillId="0" borderId="0" xfId="0" applyFont="1"/>
    <xf numFmtId="166" fontId="23" fillId="18" borderId="0" xfId="0" applyNumberFormat="1" applyFont="1" applyFill="1"/>
    <xf numFmtId="165" fontId="22" fillId="0" borderId="0" xfId="47" applyNumberFormat="1" applyFont="1"/>
    <xf numFmtId="164" fontId="4" fillId="0" borderId="0" xfId="47" applyFont="1" applyAlignment="1">
      <alignment horizontal="left" indent="1"/>
    </xf>
    <xf numFmtId="0" fontId="4" fillId="0" borderId="0" xfId="0" applyFont="1" applyAlignment="1">
      <alignment horizontal="left" indent="1"/>
    </xf>
    <xf numFmtId="165" fontId="22" fillId="19" borderId="0" xfId="47" applyNumberFormat="1" applyFont="1" applyFill="1"/>
    <xf numFmtId="41" fontId="3" fillId="18" borderId="0" xfId="0" applyNumberFormat="1" applyFont="1" applyFill="1"/>
    <xf numFmtId="165" fontId="3" fillId="18" borderId="0" xfId="47" applyNumberFormat="1" applyFont="1" applyFill="1"/>
    <xf numFmtId="43" fontId="23" fillId="0" borderId="0" xfId="0" applyNumberFormat="1" applyFont="1"/>
    <xf numFmtId="43" fontId="23" fillId="0" borderId="0" xfId="47" applyNumberFormat="1" applyFont="1" applyBorder="1"/>
    <xf numFmtId="0" fontId="23" fillId="0" borderId="0" xfId="0" applyFont="1" applyAlignment="1">
      <alignment horizontal="left" wrapText="1" indent="1"/>
    </xf>
    <xf numFmtId="165" fontId="23" fillId="20" borderId="0" xfId="0" applyNumberFormat="1" applyFont="1" applyFill="1"/>
    <xf numFmtId="0" fontId="27" fillId="0" borderId="0" xfId="49"/>
    <xf numFmtId="165" fontId="23" fillId="19" borderId="0" xfId="47" applyNumberFormat="1" applyFont="1" applyFill="1"/>
    <xf numFmtId="0" fontId="37" fillId="0" borderId="0" xfId="0" applyFont="1"/>
    <xf numFmtId="3" fontId="39" fillId="0" borderId="0" xfId="62" applyNumberFormat="1" applyFont="1" applyFill="1" applyBorder="1" applyAlignment="1" applyProtection="1"/>
    <xf numFmtId="3" fontId="4" fillId="0" borderId="0" xfId="52" applyNumberFormat="1" applyFont="1">
      <alignment horizontal="center"/>
    </xf>
    <xf numFmtId="170" fontId="37" fillId="0" borderId="0" xfId="47" applyNumberFormat="1" applyFont="1" applyProtection="1"/>
    <xf numFmtId="170" fontId="32" fillId="0" borderId="15" xfId="47" applyNumberFormat="1" applyFont="1" applyBorder="1" applyProtection="1"/>
    <xf numFmtId="3" fontId="32" fillId="0" borderId="15" xfId="55"/>
    <xf numFmtId="3" fontId="40" fillId="0" borderId="0" xfId="51" applyNumberFormat="1" applyFont="1"/>
    <xf numFmtId="170" fontId="32" fillId="0" borderId="0" xfId="47" applyNumberFormat="1" applyFont="1" applyProtection="1"/>
    <xf numFmtId="169" fontId="32" fillId="0" borderId="0" xfId="50" applyNumberFormat="1" applyFont="1"/>
    <xf numFmtId="164" fontId="32" fillId="0" borderId="0" xfId="47" applyFont="1"/>
    <xf numFmtId="165" fontId="32" fillId="0" borderId="0" xfId="47" applyNumberFormat="1" applyFont="1" applyProtection="1"/>
    <xf numFmtId="165" fontId="32" fillId="0" borderId="0" xfId="47" applyNumberFormat="1" applyFont="1"/>
    <xf numFmtId="0" fontId="32" fillId="0" borderId="0" xfId="0" applyFont="1"/>
    <xf numFmtId="0" fontId="34" fillId="0" borderId="0" xfId="0" applyFont="1" applyAlignment="1">
      <alignment horizontal="center"/>
    </xf>
    <xf numFmtId="3" fontId="28" fillId="0" borderId="15" xfId="51" applyNumberFormat="1" applyBorder="1"/>
    <xf numFmtId="0" fontId="32" fillId="0" borderId="15" xfId="0" applyFont="1" applyBorder="1"/>
    <xf numFmtId="3" fontId="28" fillId="0" borderId="0" xfId="51" applyNumberFormat="1"/>
    <xf numFmtId="3" fontId="29" fillId="0" borderId="0" xfId="52" applyNumberFormat="1" applyAlignment="1">
      <alignment horizontal="center" vertical="center"/>
    </xf>
    <xf numFmtId="3" fontId="30" fillId="21" borderId="13" xfId="53" applyNumberFormat="1"/>
    <xf numFmtId="3" fontId="31" fillId="22" borderId="14" xfId="54"/>
    <xf numFmtId="3" fontId="34" fillId="0" borderId="0" xfId="57" applyNumberFormat="1"/>
    <xf numFmtId="0" fontId="41" fillId="0" borderId="0" xfId="58" applyFont="1" applyAlignment="1">
      <alignment horizontal="center"/>
    </xf>
    <xf numFmtId="0" fontId="41" fillId="0" borderId="0" xfId="58" applyFont="1" applyAlignment="1">
      <alignment horizontal="left"/>
    </xf>
    <xf numFmtId="3" fontId="36" fillId="0" borderId="0" xfId="59" applyNumberFormat="1" applyAlignment="1">
      <alignment horizontal="right"/>
    </xf>
    <xf numFmtId="0" fontId="36" fillId="0" borderId="0" xfId="59" applyNumberFormat="1" applyAlignment="1">
      <alignment horizontal="right"/>
    </xf>
    <xf numFmtId="0" fontId="41" fillId="0" borderId="0" xfId="58" applyFont="1"/>
    <xf numFmtId="168" fontId="32" fillId="23" borderId="17" xfId="60" applyNumberFormat="1" applyFont="1"/>
    <xf numFmtId="164" fontId="32" fillId="0" borderId="0" xfId="47" applyFont="1" applyProtection="1"/>
    <xf numFmtId="0" fontId="42" fillId="0" borderId="0" xfId="0" applyFont="1"/>
    <xf numFmtId="0" fontId="34" fillId="0" borderId="0" xfId="0" applyFont="1"/>
    <xf numFmtId="3" fontId="31" fillId="22" borderId="0" xfId="54" applyBorder="1"/>
    <xf numFmtId="3" fontId="32" fillId="0" borderId="0" xfId="55" applyBorder="1"/>
    <xf numFmtId="0" fontId="34" fillId="0" borderId="0" xfId="0" applyFont="1" applyAlignment="1">
      <alignment horizontal="right"/>
    </xf>
    <xf numFmtId="3" fontId="38" fillId="21" borderId="16" xfId="62" applyNumberFormat="1" applyAlignment="1" applyProtection="1"/>
    <xf numFmtId="3" fontId="38" fillId="21" borderId="18" xfId="62" applyNumberFormat="1" applyBorder="1" applyAlignment="1" applyProtection="1"/>
    <xf numFmtId="3" fontId="38" fillId="0" borderId="0" xfId="62" applyNumberFormat="1" applyFill="1" applyBorder="1" applyAlignment="1" applyProtection="1"/>
    <xf numFmtId="3" fontId="38" fillId="21" borderId="19" xfId="62" applyNumberFormat="1" applyBorder="1" applyAlignment="1" applyProtection="1"/>
    <xf numFmtId="0" fontId="34" fillId="0" borderId="0" xfId="57"/>
    <xf numFmtId="3" fontId="29" fillId="0" borderId="0" xfId="52" applyNumberFormat="1">
      <alignment horizontal="center"/>
    </xf>
    <xf numFmtId="3" fontId="36" fillId="0" borderId="0" xfId="59" applyNumberFormat="1"/>
    <xf numFmtId="0" fontId="42" fillId="0" borderId="0" xfId="0" applyFont="1" applyAlignment="1">
      <alignment horizontal="right"/>
    </xf>
    <xf numFmtId="170" fontId="42" fillId="0" borderId="0" xfId="47" applyNumberFormat="1" applyFont="1"/>
    <xf numFmtId="3" fontId="32" fillId="23" borderId="17" xfId="60" applyNumberFormat="1" applyFont="1"/>
    <xf numFmtId="167" fontId="32" fillId="0" borderId="0" xfId="0" applyNumberFormat="1" applyFont="1"/>
    <xf numFmtId="168" fontId="32" fillId="0" borderId="0" xfId="0" applyNumberFormat="1" applyFont="1"/>
    <xf numFmtId="3" fontId="32" fillId="0" borderId="0" xfId="0" applyNumberFormat="1" applyFont="1"/>
    <xf numFmtId="168" fontId="36" fillId="0" borderId="0" xfId="59" applyNumberFormat="1"/>
    <xf numFmtId="171" fontId="32" fillId="0" borderId="0" xfId="47" applyNumberFormat="1" applyFont="1" applyProtection="1"/>
    <xf numFmtId="171" fontId="32" fillId="0" borderId="15" xfId="47" applyNumberFormat="1" applyFont="1" applyBorder="1" applyProtection="1"/>
    <xf numFmtId="171" fontId="32" fillId="0" borderId="0" xfId="47" applyNumberFormat="1" applyFont="1" applyBorder="1" applyProtection="1"/>
    <xf numFmtId="0" fontId="34" fillId="0" borderId="15" xfId="0" applyFont="1" applyBorder="1"/>
    <xf numFmtId="0" fontId="42" fillId="0" borderId="15" xfId="0" applyFont="1" applyBorder="1"/>
    <xf numFmtId="0" fontId="43" fillId="0" borderId="15" xfId="0" applyFont="1" applyBorder="1"/>
    <xf numFmtId="0" fontId="42" fillId="0" borderId="15" xfId="0" applyFont="1" applyBorder="1" applyAlignment="1">
      <alignment horizontal="right"/>
    </xf>
    <xf numFmtId="164" fontId="32" fillId="0" borderId="15" xfId="47" applyFont="1" applyBorder="1"/>
    <xf numFmtId="3" fontId="29" fillId="0" borderId="15" xfId="52" applyNumberFormat="1" applyBorder="1" applyAlignment="1">
      <alignment horizontal="center" vertical="center"/>
    </xf>
    <xf numFmtId="3" fontId="31" fillId="22" borderId="15" xfId="54" applyBorder="1"/>
    <xf numFmtId="164" fontId="23" fillId="19" borderId="0" xfId="47" applyFont="1" applyFill="1"/>
    <xf numFmtId="166" fontId="23" fillId="0" borderId="0" xfId="0" applyNumberFormat="1" applyFont="1"/>
    <xf numFmtId="165" fontId="3" fillId="0" borderId="0" xfId="47" applyNumberFormat="1" applyFont="1" applyBorder="1" applyProtection="1">
      <protection locked="0"/>
    </xf>
    <xf numFmtId="165" fontId="22" fillId="0" borderId="0" xfId="47" applyNumberFormat="1" applyFont="1" applyBorder="1"/>
    <xf numFmtId="0" fontId="44" fillId="0" borderId="20" xfId="0" applyFont="1" applyBorder="1" applyAlignment="1">
      <alignment vertical="center"/>
    </xf>
    <xf numFmtId="0" fontId="45" fillId="0" borderId="21" xfId="0" applyFont="1" applyBorder="1" applyAlignment="1">
      <alignment horizontal="center" vertical="center"/>
    </xf>
    <xf numFmtId="0" fontId="46" fillId="0" borderId="25" xfId="0" applyFont="1" applyBorder="1" applyAlignment="1">
      <alignment vertical="top" wrapText="1"/>
    </xf>
    <xf numFmtId="0" fontId="46" fillId="0" borderId="26" xfId="0" applyFont="1" applyBorder="1" applyAlignment="1">
      <alignment vertical="top" wrapText="1"/>
    </xf>
    <xf numFmtId="0" fontId="46" fillId="0" borderId="27" xfId="0" applyFont="1" applyBorder="1" applyAlignment="1">
      <alignment vertical="top" wrapText="1"/>
    </xf>
    <xf numFmtId="0" fontId="46" fillId="0" borderId="0" xfId="0" applyFont="1" applyAlignment="1">
      <alignment vertical="top" wrapText="1"/>
    </xf>
    <xf numFmtId="0" fontId="46" fillId="0" borderId="28" xfId="0" applyFont="1" applyBorder="1" applyAlignment="1">
      <alignment vertical="top" wrapText="1"/>
    </xf>
    <xf numFmtId="0" fontId="47" fillId="0" borderId="0" xfId="0" applyFont="1" applyAlignment="1">
      <alignment vertical="top" wrapText="1"/>
    </xf>
    <xf numFmtId="165" fontId="46" fillId="0" borderId="0" xfId="47" applyNumberFormat="1" applyFont="1" applyBorder="1" applyAlignment="1">
      <alignment vertical="top" wrapText="1"/>
    </xf>
    <xf numFmtId="165" fontId="46" fillId="0" borderId="28" xfId="47" applyNumberFormat="1" applyFont="1" applyBorder="1" applyAlignment="1">
      <alignment vertical="top" wrapText="1"/>
    </xf>
    <xf numFmtId="164" fontId="46" fillId="0" borderId="0" xfId="47" applyFont="1" applyBorder="1" applyAlignment="1">
      <alignment vertical="top" wrapText="1"/>
    </xf>
    <xf numFmtId="164" fontId="46" fillId="0" borderId="28" xfId="47" applyFont="1" applyBorder="1" applyAlignment="1">
      <alignment vertical="top" wrapText="1"/>
    </xf>
    <xf numFmtId="17" fontId="46" fillId="0" borderId="25" xfId="0" applyNumberFormat="1" applyFont="1" applyBorder="1"/>
    <xf numFmtId="0" fontId="0" fillId="0" borderId="26" xfId="0" applyBorder="1"/>
    <xf numFmtId="165" fontId="0" fillId="0" borderId="27" xfId="47" applyNumberFormat="1" applyFont="1" applyBorder="1"/>
    <xf numFmtId="10" fontId="0" fillId="0" borderId="0" xfId="48" applyNumberFormat="1" applyFont="1" applyBorder="1"/>
    <xf numFmtId="174" fontId="0" fillId="0" borderId="28" xfId="50" applyNumberFormat="1" applyFont="1" applyBorder="1"/>
    <xf numFmtId="174" fontId="0" fillId="0" borderId="0" xfId="50" applyNumberFormat="1" applyFont="1" applyBorder="1"/>
    <xf numFmtId="175" fontId="0" fillId="0" borderId="28" xfId="48" applyNumberFormat="1" applyFont="1" applyBorder="1"/>
    <xf numFmtId="165" fontId="0" fillId="0" borderId="0" xfId="47" applyNumberFormat="1" applyFont="1" applyFill="1" applyBorder="1"/>
    <xf numFmtId="165" fontId="0" fillId="0" borderId="0" xfId="47" applyNumberFormat="1" applyFont="1" applyBorder="1"/>
    <xf numFmtId="165" fontId="0" fillId="0" borderId="28" xfId="47" applyNumberFormat="1" applyFont="1" applyFill="1" applyBorder="1"/>
    <xf numFmtId="164" fontId="0" fillId="0" borderId="0" xfId="47" applyFont="1" applyFill="1" applyBorder="1"/>
    <xf numFmtId="164" fontId="0" fillId="0" borderId="0" xfId="47" applyFont="1" applyBorder="1"/>
    <xf numFmtId="164" fontId="0" fillId="0" borderId="28" xfId="47" applyFont="1" applyFill="1" applyBorder="1"/>
    <xf numFmtId="165" fontId="0" fillId="0" borderId="28" xfId="47" applyNumberFormat="1" applyFont="1" applyBorder="1"/>
    <xf numFmtId="164" fontId="0" fillId="0" borderId="28" xfId="47" applyFont="1" applyBorder="1"/>
    <xf numFmtId="17" fontId="46" fillId="0" borderId="29" xfId="0" applyNumberFormat="1" applyFont="1" applyBorder="1"/>
    <xf numFmtId="0" fontId="0" fillId="0" borderId="30" xfId="0" applyBorder="1"/>
    <xf numFmtId="165" fontId="0" fillId="0" borderId="31" xfId="47" applyNumberFormat="1" applyFont="1" applyBorder="1"/>
    <xf numFmtId="10" fontId="0" fillId="0" borderId="10" xfId="48" applyNumberFormat="1" applyFont="1" applyBorder="1"/>
    <xf numFmtId="174" fontId="0" fillId="0" borderId="11" xfId="50" applyNumberFormat="1" applyFont="1" applyBorder="1"/>
    <xf numFmtId="174" fontId="0" fillId="0" borderId="10" xfId="50" applyNumberFormat="1" applyFont="1" applyBorder="1"/>
    <xf numFmtId="175" fontId="0" fillId="0" borderId="11" xfId="48" applyNumberFormat="1" applyFont="1" applyBorder="1"/>
    <xf numFmtId="165" fontId="0" fillId="0" borderId="10" xfId="47" applyNumberFormat="1" applyFont="1" applyBorder="1"/>
    <xf numFmtId="165" fontId="0" fillId="0" borderId="11" xfId="47" applyNumberFormat="1" applyFont="1" applyBorder="1"/>
    <xf numFmtId="164" fontId="0" fillId="0" borderId="10" xfId="47" applyFont="1" applyBorder="1"/>
    <xf numFmtId="164" fontId="0" fillId="0" borderId="11" xfId="47" applyFont="1" applyBorder="1"/>
    <xf numFmtId="165" fontId="0" fillId="0" borderId="29" xfId="47" applyNumberFormat="1" applyFont="1" applyBorder="1"/>
    <xf numFmtId="165" fontId="0" fillId="0" borderId="30" xfId="47" applyNumberFormat="1" applyFont="1" applyBorder="1"/>
    <xf numFmtId="164" fontId="0" fillId="0" borderId="29" xfId="47" applyFont="1" applyBorder="1"/>
    <xf numFmtId="164" fontId="0" fillId="0" borderId="30" xfId="47" applyFont="1" applyBorder="1"/>
    <xf numFmtId="165" fontId="0" fillId="0" borderId="30" xfId="47" applyNumberFormat="1" applyFont="1" applyFill="1" applyBorder="1"/>
    <xf numFmtId="164" fontId="0" fillId="0" borderId="10" xfId="47" applyFont="1" applyFill="1" applyBorder="1"/>
    <xf numFmtId="164" fontId="0" fillId="0" borderId="32" xfId="47" applyFont="1" applyBorder="1"/>
    <xf numFmtId="0" fontId="0" fillId="0" borderId="25" xfId="0" applyBorder="1"/>
    <xf numFmtId="17" fontId="46" fillId="0" borderId="0" xfId="0" applyNumberFormat="1" applyFont="1"/>
    <xf numFmtId="164" fontId="0" fillId="0" borderId="26" xfId="47" applyFont="1" applyBorder="1"/>
    <xf numFmtId="176" fontId="0" fillId="0" borderId="0" xfId="0" applyNumberFormat="1"/>
    <xf numFmtId="164" fontId="48" fillId="0" borderId="0" xfId="47" applyFont="1" applyBorder="1"/>
    <xf numFmtId="0" fontId="0" fillId="0" borderId="27" xfId="0" applyBorder="1"/>
    <xf numFmtId="0" fontId="0" fillId="0" borderId="28" xfId="0" applyBorder="1"/>
    <xf numFmtId="0" fontId="45" fillId="26" borderId="34" xfId="0" applyFont="1" applyFill="1" applyBorder="1" applyAlignment="1">
      <alignment horizontal="center" vertical="center" wrapText="1"/>
    </xf>
    <xf numFmtId="0" fontId="45" fillId="26" borderId="35" xfId="0" applyFont="1" applyFill="1" applyBorder="1" applyAlignment="1">
      <alignment horizontal="center" vertical="center" wrapText="1"/>
    </xf>
    <xf numFmtId="0" fontId="44" fillId="0" borderId="21" xfId="0" applyFont="1" applyBorder="1" applyAlignment="1">
      <alignment vertical="center"/>
    </xf>
    <xf numFmtId="0" fontId="46" fillId="25" borderId="36" xfId="0" applyFont="1" applyFill="1" applyBorder="1" applyAlignment="1">
      <alignment vertical="top" wrapText="1"/>
    </xf>
    <xf numFmtId="0" fontId="46" fillId="25" borderId="0" xfId="0" applyFont="1" applyFill="1" applyAlignment="1">
      <alignment vertical="top" wrapText="1"/>
    </xf>
    <xf numFmtId="172" fontId="46" fillId="25" borderId="0" xfId="47" applyNumberFormat="1" applyFont="1" applyFill="1" applyBorder="1" applyAlignment="1">
      <alignment vertical="top" wrapText="1"/>
    </xf>
    <xf numFmtId="172" fontId="46" fillId="25" borderId="0" xfId="47" applyNumberFormat="1" applyFont="1" applyFill="1" applyBorder="1" applyAlignment="1">
      <alignment wrapText="1"/>
    </xf>
    <xf numFmtId="44" fontId="46" fillId="25" borderId="0" xfId="50" applyFont="1" applyFill="1" applyBorder="1" applyAlignment="1">
      <alignment vertical="top" wrapText="1"/>
    </xf>
    <xf numFmtId="0" fontId="46" fillId="25" borderId="28" xfId="0" applyFont="1" applyFill="1" applyBorder="1" applyAlignment="1">
      <alignment vertical="top" wrapText="1"/>
    </xf>
    <xf numFmtId="0" fontId="46" fillId="25" borderId="25" xfId="0" applyFont="1" applyFill="1" applyBorder="1" applyAlignment="1">
      <alignment vertical="top" wrapText="1"/>
    </xf>
    <xf numFmtId="0" fontId="46" fillId="26" borderId="36" xfId="0" applyFont="1" applyFill="1" applyBorder="1" applyAlignment="1">
      <alignment vertical="top" wrapText="1"/>
    </xf>
    <xf numFmtId="165" fontId="46" fillId="26" borderId="0" xfId="47" applyNumberFormat="1" applyFont="1" applyFill="1" applyBorder="1" applyAlignment="1">
      <alignment vertical="top" wrapText="1"/>
    </xf>
    <xf numFmtId="172" fontId="46" fillId="26" borderId="0" xfId="47" applyNumberFormat="1" applyFont="1" applyFill="1" applyBorder="1" applyAlignment="1">
      <alignment vertical="top" wrapText="1"/>
    </xf>
    <xf numFmtId="172" fontId="46" fillId="26" borderId="28" xfId="47" applyNumberFormat="1" applyFont="1" applyFill="1" applyBorder="1" applyAlignment="1">
      <alignment vertical="top" wrapText="1"/>
    </xf>
    <xf numFmtId="0" fontId="46" fillId="26" borderId="25" xfId="0" applyFont="1" applyFill="1" applyBorder="1" applyAlignment="1">
      <alignment vertical="top" wrapText="1"/>
    </xf>
    <xf numFmtId="0" fontId="46" fillId="26" borderId="0" xfId="0" applyFont="1" applyFill="1" applyAlignment="1">
      <alignment vertical="top" wrapText="1"/>
    </xf>
    <xf numFmtId="0" fontId="46" fillId="27" borderId="27" xfId="0" applyFont="1" applyFill="1" applyBorder="1" applyAlignment="1">
      <alignment vertical="top" wrapText="1"/>
    </xf>
    <xf numFmtId="0" fontId="46" fillId="27" borderId="0" xfId="0" applyFont="1" applyFill="1" applyAlignment="1">
      <alignment vertical="top" wrapText="1"/>
    </xf>
    <xf numFmtId="172" fontId="46" fillId="27" borderId="0" xfId="47" applyNumberFormat="1" applyFont="1" applyFill="1" applyBorder="1" applyAlignment="1">
      <alignment vertical="top" wrapText="1"/>
    </xf>
    <xf numFmtId="0" fontId="46" fillId="27" borderId="28" xfId="0" applyFont="1" applyFill="1" applyBorder="1" applyAlignment="1">
      <alignment vertical="top" wrapText="1"/>
    </xf>
    <xf numFmtId="0" fontId="46" fillId="27" borderId="37" xfId="0" applyFont="1" applyFill="1" applyBorder="1" applyAlignment="1">
      <alignment vertical="top" wrapText="1"/>
    </xf>
    <xf numFmtId="0" fontId="46" fillId="27" borderId="38" xfId="0" applyFont="1" applyFill="1" applyBorder="1" applyAlignment="1">
      <alignment vertical="top" wrapText="1"/>
    </xf>
    <xf numFmtId="172" fontId="46" fillId="27" borderId="38" xfId="47" applyNumberFormat="1" applyFont="1" applyFill="1" applyBorder="1" applyAlignment="1">
      <alignment vertical="top" wrapText="1"/>
    </xf>
    <xf numFmtId="0" fontId="46" fillId="27" borderId="39" xfId="0" applyFont="1" applyFill="1" applyBorder="1" applyAlignment="1">
      <alignment vertical="top" wrapText="1"/>
    </xf>
    <xf numFmtId="0" fontId="0" fillId="0" borderId="0" xfId="0" applyAlignment="1">
      <alignment vertical="top" wrapText="1"/>
    </xf>
    <xf numFmtId="0" fontId="46" fillId="25" borderId="36" xfId="50" applyNumberFormat="1" applyFont="1" applyFill="1" applyBorder="1" applyAlignment="1">
      <alignment horizontal="center"/>
    </xf>
    <xf numFmtId="165" fontId="0" fillId="25" borderId="0" xfId="47" applyNumberFormat="1" applyFont="1" applyFill="1" applyBorder="1"/>
    <xf numFmtId="172" fontId="0" fillId="25" borderId="0" xfId="47" applyNumberFormat="1" applyFont="1" applyFill="1" applyBorder="1"/>
    <xf numFmtId="44" fontId="0" fillId="25" borderId="0" xfId="50" applyFont="1" applyFill="1" applyBorder="1"/>
    <xf numFmtId="44" fontId="0" fillId="25" borderId="28" xfId="50" applyFont="1" applyFill="1" applyBorder="1"/>
    <xf numFmtId="44" fontId="0" fillId="25" borderId="25" xfId="50" applyFont="1" applyFill="1" applyBorder="1"/>
    <xf numFmtId="44" fontId="46" fillId="25" borderId="0" xfId="50" applyFont="1" applyFill="1" applyBorder="1"/>
    <xf numFmtId="44" fontId="46" fillId="25" borderId="28" xfId="50" applyFont="1" applyFill="1" applyBorder="1"/>
    <xf numFmtId="44" fontId="46" fillId="26" borderId="36" xfId="50" applyFont="1" applyFill="1" applyBorder="1"/>
    <xf numFmtId="165" fontId="46" fillId="26" borderId="0" xfId="47" applyNumberFormat="1" applyFont="1" applyFill="1" applyBorder="1"/>
    <xf numFmtId="172" fontId="46" fillId="26" borderId="0" xfId="47" applyNumberFormat="1" applyFont="1" applyFill="1" applyBorder="1"/>
    <xf numFmtId="44" fontId="46" fillId="26" borderId="28" xfId="50" applyFont="1" applyFill="1" applyBorder="1"/>
    <xf numFmtId="44" fontId="46" fillId="26" borderId="25" xfId="50" applyFont="1" applyFill="1" applyBorder="1"/>
    <xf numFmtId="44" fontId="46" fillId="26" borderId="0" xfId="50" applyFont="1" applyFill="1" applyBorder="1"/>
    <xf numFmtId="0" fontId="46" fillId="27" borderId="27" xfId="50" applyNumberFormat="1" applyFont="1" applyFill="1" applyBorder="1"/>
    <xf numFmtId="44" fontId="46" fillId="27" borderId="0" xfId="50" applyFont="1" applyFill="1" applyBorder="1"/>
    <xf numFmtId="172" fontId="46" fillId="27" borderId="0" xfId="47" applyNumberFormat="1" applyFont="1" applyFill="1" applyBorder="1"/>
    <xf numFmtId="172" fontId="46" fillId="27" borderId="28" xfId="47" applyNumberFormat="1" applyFont="1" applyFill="1" applyBorder="1"/>
    <xf numFmtId="44" fontId="46" fillId="27" borderId="28" xfId="50" applyFont="1" applyFill="1" applyBorder="1"/>
    <xf numFmtId="0" fontId="46" fillId="25" borderId="40" xfId="50" applyNumberFormat="1" applyFont="1" applyFill="1" applyBorder="1" applyAlignment="1">
      <alignment horizontal="center"/>
    </xf>
    <xf numFmtId="165" fontId="0" fillId="25" borderId="10" xfId="47" applyNumberFormat="1" applyFont="1" applyFill="1" applyBorder="1"/>
    <xf numFmtId="172" fontId="0" fillId="25" borderId="10" xfId="47" applyNumberFormat="1" applyFont="1" applyFill="1" applyBorder="1"/>
    <xf numFmtId="44" fontId="0" fillId="25" borderId="10" xfId="50" applyFont="1" applyFill="1" applyBorder="1"/>
    <xf numFmtId="44" fontId="0" fillId="25" borderId="11" xfId="50" applyFont="1" applyFill="1" applyBorder="1"/>
    <xf numFmtId="44" fontId="0" fillId="25" borderId="29" xfId="50" applyFont="1" applyFill="1" applyBorder="1"/>
    <xf numFmtId="44" fontId="46" fillId="25" borderId="10" xfId="50" applyFont="1" applyFill="1" applyBorder="1"/>
    <xf numFmtId="44" fontId="46" fillId="25" borderId="11" xfId="50" applyFont="1" applyFill="1" applyBorder="1"/>
    <xf numFmtId="44" fontId="46" fillId="26" borderId="40" xfId="50" applyFont="1" applyFill="1" applyBorder="1"/>
    <xf numFmtId="165" fontId="46" fillId="26" borderId="10" xfId="47" applyNumberFormat="1" applyFont="1" applyFill="1" applyBorder="1"/>
    <xf numFmtId="172" fontId="46" fillId="26" borderId="10" xfId="47" applyNumberFormat="1" applyFont="1" applyFill="1" applyBorder="1"/>
    <xf numFmtId="44" fontId="46" fillId="26" borderId="11" xfId="50" applyFont="1" applyFill="1" applyBorder="1"/>
    <xf numFmtId="44" fontId="46" fillId="26" borderId="29" xfId="50" applyFont="1" applyFill="1" applyBorder="1"/>
    <xf numFmtId="44" fontId="46" fillId="26" borderId="41" xfId="50" applyFont="1" applyFill="1" applyBorder="1"/>
    <xf numFmtId="0" fontId="46" fillId="27" borderId="31" xfId="50" applyNumberFormat="1" applyFont="1" applyFill="1" applyBorder="1"/>
    <xf numFmtId="44" fontId="46" fillId="27" borderId="10" xfId="50" applyFont="1" applyFill="1" applyBorder="1"/>
    <xf numFmtId="172" fontId="46" fillId="27" borderId="10" xfId="47" applyNumberFormat="1" applyFont="1" applyFill="1" applyBorder="1"/>
    <xf numFmtId="172" fontId="46" fillId="27" borderId="11" xfId="47" applyNumberFormat="1" applyFont="1" applyFill="1" applyBorder="1"/>
    <xf numFmtId="44" fontId="46" fillId="27" borderId="11" xfId="50" applyFont="1" applyFill="1" applyBorder="1"/>
    <xf numFmtId="0" fontId="0" fillId="0" borderId="10" xfId="0" applyBorder="1"/>
    <xf numFmtId="0" fontId="46" fillId="24" borderId="33" xfId="0" applyFont="1" applyFill="1" applyBorder="1" applyAlignment="1">
      <alignment vertical="top" textRotation="180"/>
    </xf>
    <xf numFmtId="0" fontId="0" fillId="25" borderId="33" xfId="0" applyFill="1" applyBorder="1"/>
    <xf numFmtId="0" fontId="0" fillId="26" borderId="33" xfId="0" applyFill="1" applyBorder="1"/>
    <xf numFmtId="0" fontId="46" fillId="27" borderId="33" xfId="0" applyFont="1" applyFill="1" applyBorder="1" applyAlignment="1">
      <alignment vertical="top" textRotation="180"/>
    </xf>
    <xf numFmtId="0" fontId="0" fillId="25" borderId="0" xfId="50" applyNumberFormat="1" applyFont="1" applyFill="1" applyBorder="1"/>
    <xf numFmtId="44" fontId="46" fillId="25" borderId="25" xfId="50" applyFont="1" applyFill="1" applyBorder="1"/>
    <xf numFmtId="44" fontId="46" fillId="26" borderId="36" xfId="50" applyFont="1" applyFill="1" applyBorder="1" applyAlignment="1">
      <alignment horizontal="left"/>
    </xf>
    <xf numFmtId="165" fontId="21" fillId="26" borderId="0" xfId="47" applyNumberFormat="1" applyFont="1" applyFill="1" applyBorder="1"/>
    <xf numFmtId="44" fontId="0" fillId="26" borderId="0" xfId="50" applyFont="1" applyFill="1" applyBorder="1"/>
    <xf numFmtId="44" fontId="21" fillId="26" borderId="28" xfId="50" applyFont="1" applyFill="1" applyBorder="1"/>
    <xf numFmtId="0" fontId="46" fillId="27" borderId="27" xfId="50" quotePrefix="1" applyNumberFormat="1" applyFont="1" applyFill="1" applyBorder="1" applyAlignment="1">
      <alignment horizontal="center"/>
    </xf>
    <xf numFmtId="44" fontId="0" fillId="27" borderId="0" xfId="50" applyFont="1" applyFill="1" applyBorder="1"/>
    <xf numFmtId="0" fontId="46" fillId="27" borderId="0" xfId="47" applyNumberFormat="1" applyFont="1" applyFill="1" applyBorder="1" applyAlignment="1">
      <alignment horizontal="left"/>
    </xf>
    <xf numFmtId="44" fontId="49" fillId="27" borderId="0" xfId="50" applyFont="1" applyFill="1" applyBorder="1"/>
    <xf numFmtId="44" fontId="21" fillId="27" borderId="0" xfId="50" applyFont="1" applyFill="1" applyBorder="1"/>
    <xf numFmtId="44" fontId="0" fillId="25" borderId="0" xfId="50" applyFont="1" applyFill="1"/>
    <xf numFmtId="165" fontId="0" fillId="25" borderId="0" xfId="47" applyNumberFormat="1" applyFont="1" applyFill="1"/>
    <xf numFmtId="165" fontId="49" fillId="25" borderId="0" xfId="0" applyNumberFormat="1" applyFont="1" applyFill="1"/>
    <xf numFmtId="44" fontId="49" fillId="25" borderId="0" xfId="50" applyFont="1" applyFill="1"/>
    <xf numFmtId="173" fontId="46" fillId="25" borderId="0" xfId="0" applyNumberFormat="1" applyFont="1" applyFill="1"/>
    <xf numFmtId="0" fontId="0" fillId="25" borderId="10" xfId="50" applyNumberFormat="1" applyFont="1" applyFill="1" applyBorder="1"/>
    <xf numFmtId="44" fontId="46" fillId="25" borderId="29" xfId="50" applyFont="1" applyFill="1" applyBorder="1"/>
    <xf numFmtId="165" fontId="49" fillId="25" borderId="10" xfId="0" applyNumberFormat="1" applyFont="1" applyFill="1" applyBorder="1"/>
    <xf numFmtId="44" fontId="49" fillId="25" borderId="10" xfId="50" applyFont="1" applyFill="1" applyBorder="1"/>
    <xf numFmtId="173" fontId="46" fillId="25" borderId="32" xfId="0" applyNumberFormat="1" applyFont="1" applyFill="1" applyBorder="1"/>
    <xf numFmtId="44" fontId="46" fillId="26" borderId="40" xfId="50" applyFont="1" applyFill="1" applyBorder="1" applyAlignment="1">
      <alignment horizontal="left"/>
    </xf>
    <xf numFmtId="165" fontId="21" fillId="26" borderId="10" xfId="47" applyNumberFormat="1" applyFont="1" applyFill="1" applyBorder="1"/>
    <xf numFmtId="44" fontId="0" fillId="26" borderId="10" xfId="50" applyFont="1" applyFill="1" applyBorder="1"/>
    <xf numFmtId="44" fontId="21" fillId="26" borderId="11" xfId="50" applyFont="1" applyFill="1" applyBorder="1"/>
    <xf numFmtId="0" fontId="46" fillId="27" borderId="31" xfId="50" quotePrefix="1" applyNumberFormat="1" applyFont="1" applyFill="1" applyBorder="1" applyAlignment="1">
      <alignment horizontal="center"/>
    </xf>
    <xf numFmtId="44" fontId="21" fillId="27" borderId="10" xfId="50" applyFont="1" applyFill="1" applyBorder="1"/>
    <xf numFmtId="44" fontId="0" fillId="27" borderId="10" xfId="50" applyFont="1" applyFill="1" applyBorder="1"/>
    <xf numFmtId="0" fontId="46" fillId="27" borderId="30" xfId="47" applyNumberFormat="1" applyFont="1" applyFill="1" applyBorder="1" applyAlignment="1">
      <alignment horizontal="left"/>
    </xf>
    <xf numFmtId="44" fontId="49" fillId="27" borderId="10" xfId="50" applyFont="1" applyFill="1" applyBorder="1"/>
    <xf numFmtId="44" fontId="46" fillId="27" borderId="32" xfId="50" applyFont="1" applyFill="1" applyBorder="1"/>
    <xf numFmtId="177" fontId="0" fillId="0" borderId="0" xfId="0" applyNumberFormat="1"/>
    <xf numFmtId="164" fontId="0" fillId="0" borderId="0" xfId="0" applyNumberFormat="1"/>
    <xf numFmtId="44" fontId="46" fillId="26" borderId="36" xfId="50" quotePrefix="1" applyFont="1" applyFill="1" applyBorder="1" applyAlignment="1">
      <alignment horizontal="left"/>
    </xf>
    <xf numFmtId="44" fontId="46" fillId="26" borderId="40" xfId="50" quotePrefix="1" applyFont="1" applyFill="1" applyBorder="1" applyAlignment="1">
      <alignment horizontal="left"/>
    </xf>
    <xf numFmtId="165" fontId="21" fillId="26" borderId="30" xfId="47" applyNumberFormat="1" applyFont="1" applyFill="1" applyBorder="1"/>
    <xf numFmtId="44" fontId="46" fillId="26" borderId="32" xfId="50" applyFont="1" applyFill="1" applyBorder="1"/>
    <xf numFmtId="0" fontId="0" fillId="25" borderId="0" xfId="0" applyFill="1"/>
    <xf numFmtId="0" fontId="46" fillId="26" borderId="36" xfId="50" quotePrefix="1" applyNumberFormat="1" applyFont="1" applyFill="1" applyBorder="1" applyAlignment="1">
      <alignment horizontal="left"/>
    </xf>
    <xf numFmtId="165" fontId="0" fillId="25" borderId="0" xfId="50" applyNumberFormat="1" applyFont="1" applyFill="1" applyBorder="1"/>
    <xf numFmtId="0" fontId="0" fillId="24" borderId="33" xfId="0" applyFill="1" applyBorder="1"/>
    <xf numFmtId="0" fontId="46" fillId="25" borderId="36" xfId="0" applyFont="1" applyFill="1" applyBorder="1" applyAlignment="1">
      <alignment horizontal="center"/>
    </xf>
    <xf numFmtId="0" fontId="0" fillId="27" borderId="33" xfId="0" applyFill="1" applyBorder="1"/>
    <xf numFmtId="165" fontId="0" fillId="25" borderId="0" xfId="0" applyNumberFormat="1" applyFill="1"/>
    <xf numFmtId="173" fontId="46" fillId="25" borderId="28" xfId="0" applyNumberFormat="1" applyFont="1" applyFill="1" applyBorder="1"/>
    <xf numFmtId="173" fontId="46" fillId="25" borderId="25" xfId="0" applyNumberFormat="1" applyFont="1" applyFill="1" applyBorder="1"/>
    <xf numFmtId="0" fontId="46" fillId="26" borderId="36" xfId="0" applyFont="1" applyFill="1" applyBorder="1"/>
    <xf numFmtId="165" fontId="49" fillId="26" borderId="0" xfId="47" applyNumberFormat="1" applyFont="1" applyFill="1" applyBorder="1"/>
    <xf numFmtId="44" fontId="46" fillId="26" borderId="0" xfId="50" applyFont="1" applyFill="1"/>
    <xf numFmtId="44" fontId="50" fillId="26" borderId="0" xfId="50" applyFont="1" applyFill="1"/>
    <xf numFmtId="44" fontId="46" fillId="26" borderId="0" xfId="0" applyNumberFormat="1" applyFont="1" applyFill="1"/>
    <xf numFmtId="165" fontId="0" fillId="26" borderId="0" xfId="47" applyNumberFormat="1" applyFont="1" applyFill="1" applyBorder="1"/>
    <xf numFmtId="44" fontId="51" fillId="25" borderId="0" xfId="50" applyFont="1" applyFill="1"/>
    <xf numFmtId="0" fontId="46" fillId="27" borderId="0" xfId="0" applyFont="1" applyFill="1"/>
    <xf numFmtId="0" fontId="46" fillId="25" borderId="28" xfId="0" applyFont="1" applyFill="1" applyBorder="1"/>
    <xf numFmtId="0" fontId="0" fillId="25" borderId="28" xfId="0" applyFill="1" applyBorder="1"/>
    <xf numFmtId="0" fontId="0" fillId="25" borderId="25" xfId="0" applyFill="1" applyBorder="1"/>
    <xf numFmtId="44" fontId="52" fillId="25" borderId="0" xfId="50" applyFont="1" applyFill="1"/>
    <xf numFmtId="44" fontId="50" fillId="26" borderId="0" xfId="0" applyNumberFormat="1" applyFont="1" applyFill="1"/>
    <xf numFmtId="0" fontId="0" fillId="25" borderId="36" xfId="0" applyFill="1" applyBorder="1"/>
    <xf numFmtId="172" fontId="0" fillId="26" borderId="0" xfId="47" applyNumberFormat="1" applyFont="1" applyFill="1" applyBorder="1"/>
    <xf numFmtId="0" fontId="0" fillId="26" borderId="28" xfId="0" applyFill="1" applyBorder="1"/>
    <xf numFmtId="0" fontId="0" fillId="26" borderId="25" xfId="0" applyFill="1" applyBorder="1"/>
    <xf numFmtId="0" fontId="0" fillId="27" borderId="27" xfId="0" applyFill="1" applyBorder="1"/>
    <xf numFmtId="0" fontId="0" fillId="27" borderId="0" xfId="0" applyFill="1"/>
    <xf numFmtId="172" fontId="0" fillId="27" borderId="0" xfId="47" applyNumberFormat="1" applyFont="1" applyFill="1" applyBorder="1"/>
    <xf numFmtId="172" fontId="0" fillId="27" borderId="28" xfId="47" applyNumberFormat="1" applyFont="1" applyFill="1" applyBorder="1"/>
    <xf numFmtId="0" fontId="0" fillId="27" borderId="28" xfId="0" applyFill="1" applyBorder="1"/>
    <xf numFmtId="0" fontId="46" fillId="26" borderId="0" xfId="0" applyFont="1" applyFill="1"/>
    <xf numFmtId="41" fontId="23" fillId="28" borderId="0" xfId="0" applyNumberFormat="1" applyFont="1" applyFill="1"/>
    <xf numFmtId="0" fontId="46" fillId="0" borderId="0" xfId="50" quotePrefix="1" applyNumberFormat="1" applyFont="1" applyFill="1" applyBorder="1" applyAlignment="1">
      <alignment horizontal="center"/>
    </xf>
    <xf numFmtId="44" fontId="46" fillId="0" borderId="0" xfId="50" applyFont="1" applyFill="1" applyBorder="1"/>
    <xf numFmtId="44" fontId="0" fillId="0" borderId="0" xfId="50" applyFont="1" applyFill="1" applyBorder="1"/>
    <xf numFmtId="0" fontId="53" fillId="0" borderId="0" xfId="0" applyFont="1" applyAlignment="1">
      <alignment horizontal="center" vertical="center"/>
    </xf>
    <xf numFmtId="0" fontId="46" fillId="0" borderId="0" xfId="0" applyFont="1"/>
    <xf numFmtId="44" fontId="49" fillId="0" borderId="0" xfId="50" applyFont="1" applyFill="1" applyBorder="1"/>
    <xf numFmtId="0" fontId="48" fillId="0" borderId="0" xfId="0" applyFont="1"/>
    <xf numFmtId="9" fontId="0" fillId="0" borderId="0" xfId="48" applyFont="1" applyFill="1" applyBorder="1"/>
    <xf numFmtId="0" fontId="48" fillId="0" borderId="42" xfId="0" applyFont="1" applyBorder="1" applyAlignment="1">
      <alignment vertical="center"/>
    </xf>
    <xf numFmtId="0" fontId="46" fillId="0" borderId="42" xfId="0" applyFont="1" applyBorder="1" applyAlignment="1">
      <alignment vertical="top" wrapText="1"/>
    </xf>
    <xf numFmtId="17" fontId="46" fillId="0" borderId="42" xfId="0" applyNumberFormat="1" applyFont="1" applyBorder="1"/>
    <xf numFmtId="17" fontId="46" fillId="0" borderId="42" xfId="0" applyNumberFormat="1" applyFont="1" applyBorder="1" applyAlignment="1">
      <alignment horizontal="center"/>
    </xf>
    <xf numFmtId="44" fontId="46" fillId="0" borderId="25" xfId="50" applyFont="1" applyFill="1" applyBorder="1"/>
    <xf numFmtId="172" fontId="46" fillId="0" borderId="25" xfId="47" applyNumberFormat="1" applyFont="1" applyFill="1" applyBorder="1" applyAlignment="1">
      <alignment vertical="top" wrapText="1"/>
    </xf>
    <xf numFmtId="44" fontId="0" fillId="0" borderId="25" xfId="50" applyFont="1" applyFill="1" applyBorder="1"/>
    <xf numFmtId="44" fontId="49" fillId="0" borderId="25" xfId="50" applyFont="1" applyFill="1" applyBorder="1"/>
    <xf numFmtId="0" fontId="46" fillId="0" borderId="29" xfId="0" applyFont="1" applyBorder="1" applyAlignment="1">
      <alignment vertical="top" wrapText="1"/>
    </xf>
    <xf numFmtId="44" fontId="46" fillId="0" borderId="29" xfId="50" applyFont="1" applyFill="1" applyBorder="1"/>
    <xf numFmtId="9" fontId="0" fillId="0" borderId="43" xfId="48" applyFont="1" applyFill="1" applyBorder="1"/>
    <xf numFmtId="9" fontId="0" fillId="0" borderId="44" xfId="48" applyFont="1" applyFill="1" applyBorder="1"/>
    <xf numFmtId="9" fontId="0" fillId="0" borderId="28" xfId="48" applyFont="1" applyFill="1" applyBorder="1"/>
    <xf numFmtId="0" fontId="53" fillId="0" borderId="0" xfId="0" applyFont="1" applyAlignment="1">
      <alignment vertical="center"/>
    </xf>
    <xf numFmtId="44" fontId="0" fillId="0" borderId="0" xfId="0" applyNumberFormat="1"/>
    <xf numFmtId="0" fontId="0" fillId="0" borderId="43" xfId="0" applyBorder="1"/>
    <xf numFmtId="41" fontId="0" fillId="0" borderId="10" xfId="0" applyNumberFormat="1" applyBorder="1"/>
    <xf numFmtId="9" fontId="0" fillId="0" borderId="10" xfId="0" applyNumberFormat="1" applyBorder="1"/>
    <xf numFmtId="9" fontId="0" fillId="0" borderId="11" xfId="0" applyNumberFormat="1" applyBorder="1"/>
    <xf numFmtId="0" fontId="46" fillId="0" borderId="42" xfId="50" applyNumberFormat="1" applyFont="1" applyFill="1" applyBorder="1"/>
    <xf numFmtId="0" fontId="46" fillId="0" borderId="42" xfId="50" quotePrefix="1" applyNumberFormat="1" applyFont="1" applyFill="1" applyBorder="1" applyAlignment="1">
      <alignment horizontal="center"/>
    </xf>
    <xf numFmtId="44" fontId="46" fillId="0" borderId="42" xfId="50" applyFont="1" applyFill="1" applyBorder="1"/>
    <xf numFmtId="0" fontId="46" fillId="0" borderId="42" xfId="47" applyNumberFormat="1" applyFont="1" applyFill="1" applyBorder="1" applyAlignment="1">
      <alignment horizontal="left"/>
    </xf>
    <xf numFmtId="0" fontId="46" fillId="0" borderId="42" xfId="0" applyFont="1" applyBorder="1"/>
    <xf numFmtId="0" fontId="54" fillId="0" borderId="0" xfId="0" applyFont="1"/>
    <xf numFmtId="41" fontId="55" fillId="29" borderId="0" xfId="0" applyNumberFormat="1" applyFont="1" applyFill="1"/>
    <xf numFmtId="0" fontId="27" fillId="0" borderId="0" xfId="49" applyFill="1" applyBorder="1"/>
    <xf numFmtId="178" fontId="0" fillId="0" borderId="0" xfId="50" applyNumberFormat="1" applyFont="1"/>
    <xf numFmtId="178" fontId="0" fillId="0" borderId="0" xfId="0" applyNumberFormat="1"/>
    <xf numFmtId="178" fontId="56" fillId="0" borderId="0" xfId="50" applyNumberFormat="1" applyFont="1"/>
    <xf numFmtId="0" fontId="57" fillId="0" borderId="0" xfId="0" applyFont="1"/>
    <xf numFmtId="165" fontId="0" fillId="0" borderId="44" xfId="47" applyNumberFormat="1" applyFont="1" applyBorder="1"/>
    <xf numFmtId="164" fontId="0" fillId="0" borderId="44" xfId="47" applyFont="1" applyBorder="1"/>
    <xf numFmtId="164" fontId="0" fillId="0" borderId="43" xfId="47" applyFont="1" applyBorder="1"/>
    <xf numFmtId="44" fontId="0" fillId="25" borderId="43" xfId="50" applyFont="1" applyFill="1" applyBorder="1"/>
    <xf numFmtId="0" fontId="58" fillId="30" borderId="0" xfId="0" applyFont="1" applyFill="1"/>
    <xf numFmtId="166" fontId="0" fillId="24" borderId="0" xfId="47" applyNumberFormat="1" applyFont="1" applyFill="1"/>
    <xf numFmtId="166" fontId="59" fillId="24" borderId="0" xfId="47" applyNumberFormat="1" applyFont="1" applyFill="1" applyAlignment="1">
      <alignment horizontal="centerContinuous" vertical="center"/>
    </xf>
    <xf numFmtId="166" fontId="0" fillId="24" borderId="0" xfId="47" applyNumberFormat="1" applyFont="1" applyFill="1" applyAlignment="1">
      <alignment horizontal="centerContinuous"/>
    </xf>
    <xf numFmtId="166" fontId="0" fillId="24" borderId="0" xfId="47" applyNumberFormat="1" applyFont="1" applyFill="1" applyAlignment="1">
      <alignment horizontal="centerContinuous" vertical="center"/>
    </xf>
    <xf numFmtId="166" fontId="34" fillId="24" borderId="0" xfId="47" applyNumberFormat="1" applyFont="1" applyFill="1" applyAlignment="1">
      <alignment horizontal="centerContinuous" vertical="center"/>
    </xf>
    <xf numFmtId="166" fontId="0" fillId="24" borderId="0" xfId="47" applyNumberFormat="1" applyFont="1" applyFill="1" applyAlignment="1">
      <alignment horizontal="center" vertical="center"/>
    </xf>
    <xf numFmtId="166" fontId="0" fillId="24" borderId="10" xfId="47" applyNumberFormat="1" applyFont="1" applyFill="1" applyBorder="1" applyAlignment="1">
      <alignment horizontal="center" vertical="center" wrapText="1"/>
    </xf>
    <xf numFmtId="0" fontId="0" fillId="24" borderId="10" xfId="47" applyNumberFormat="1" applyFont="1" applyFill="1" applyBorder="1" applyAlignment="1">
      <alignment horizontal="center" vertical="center" wrapText="1"/>
    </xf>
    <xf numFmtId="166" fontId="0" fillId="24" borderId="0" xfId="47" applyNumberFormat="1" applyFont="1" applyFill="1" applyAlignment="1">
      <alignment horizontal="left"/>
    </xf>
    <xf numFmtId="166" fontId="0" fillId="24" borderId="0" xfId="47" applyNumberFormat="1" applyFont="1" applyFill="1" applyAlignment="1">
      <alignment horizontal="right"/>
    </xf>
    <xf numFmtId="166" fontId="34" fillId="24" borderId="0" xfId="47" applyNumberFormat="1" applyFont="1" applyFill="1" applyAlignment="1">
      <alignment horizontal="left"/>
    </xf>
    <xf numFmtId="166" fontId="0" fillId="24" borderId="43" xfId="47" applyNumberFormat="1" applyFont="1" applyFill="1" applyBorder="1" applyAlignment="1">
      <alignment horizontal="right"/>
    </xf>
    <xf numFmtId="166" fontId="0" fillId="24" borderId="45" xfId="47" applyNumberFormat="1" applyFont="1" applyFill="1" applyBorder="1"/>
    <xf numFmtId="166" fontId="0" fillId="0" borderId="0" xfId="47" applyNumberFormat="1" applyFont="1" applyFill="1"/>
    <xf numFmtId="166" fontId="59" fillId="0" borderId="0" xfId="47" applyNumberFormat="1" applyFont="1" applyFill="1" applyAlignment="1">
      <alignment horizontal="centerContinuous" vertical="center"/>
    </xf>
    <xf numFmtId="166" fontId="0" fillId="0" borderId="0" xfId="47" applyNumberFormat="1" applyFont="1" applyFill="1" applyAlignment="1">
      <alignment horizontal="centerContinuous"/>
    </xf>
    <xf numFmtId="166" fontId="0" fillId="0" borderId="0" xfId="47" applyNumberFormat="1" applyFont="1" applyFill="1" applyAlignment="1">
      <alignment horizontal="centerContinuous" vertical="center"/>
    </xf>
    <xf numFmtId="166" fontId="34" fillId="0" borderId="0" xfId="47" applyNumberFormat="1" applyFont="1" applyFill="1" applyAlignment="1">
      <alignment horizontal="centerContinuous" vertical="center"/>
    </xf>
    <xf numFmtId="0" fontId="29" fillId="0" borderId="0" xfId="52">
      <alignment horizontal="center"/>
    </xf>
    <xf numFmtId="166" fontId="60" fillId="0" borderId="0" xfId="47" applyNumberFormat="1" applyFont="1"/>
    <xf numFmtId="0" fontId="60" fillId="0" borderId="0" xfId="0" applyFont="1"/>
    <xf numFmtId="166" fontId="0" fillId="0" borderId="0" xfId="47" applyNumberFormat="1" applyFont="1" applyFill="1" applyAlignment="1">
      <alignment horizontal="center" vertical="center"/>
    </xf>
    <xf numFmtId="166" fontId="0" fillId="0" borderId="10" xfId="47" applyNumberFormat="1" applyFont="1" applyFill="1" applyBorder="1" applyAlignment="1">
      <alignment horizontal="center" vertical="center" wrapText="1"/>
    </xf>
    <xf numFmtId="0" fontId="0" fillId="0" borderId="10" xfId="47" applyNumberFormat="1" applyFont="1" applyFill="1" applyBorder="1" applyAlignment="1">
      <alignment horizontal="center" vertical="center" wrapText="1"/>
    </xf>
    <xf numFmtId="166" fontId="0" fillId="0" borderId="0" xfId="47" applyNumberFormat="1" applyFont="1" applyFill="1" applyAlignment="1">
      <alignment horizontal="left"/>
    </xf>
    <xf numFmtId="166" fontId="0" fillId="0" borderId="0" xfId="47" applyNumberFormat="1" applyFont="1" applyFill="1" applyAlignment="1">
      <alignment horizontal="right"/>
    </xf>
    <xf numFmtId="166" fontId="34" fillId="0" borderId="0" xfId="47" applyNumberFormat="1" applyFont="1" applyFill="1" applyAlignment="1">
      <alignment horizontal="left"/>
    </xf>
    <xf numFmtId="166" fontId="0" fillId="29" borderId="14" xfId="47" applyNumberFormat="1" applyFont="1" applyFill="1" applyBorder="1" applyAlignment="1">
      <alignment horizontal="right"/>
    </xf>
    <xf numFmtId="166" fontId="49" fillId="31" borderId="14" xfId="47" applyNumberFormat="1" applyFont="1" applyFill="1" applyBorder="1" applyAlignment="1">
      <alignment horizontal="right"/>
    </xf>
    <xf numFmtId="166" fontId="0" fillId="0" borderId="43" xfId="47" applyNumberFormat="1" applyFont="1" applyFill="1" applyBorder="1" applyAlignment="1">
      <alignment horizontal="right"/>
    </xf>
    <xf numFmtId="166" fontId="0" fillId="0" borderId="45" xfId="47" applyNumberFormat="1" applyFont="1" applyFill="1" applyBorder="1"/>
    <xf numFmtId="10" fontId="60" fillId="0" borderId="0" xfId="48" applyNumberFormat="1" applyFont="1"/>
    <xf numFmtId="166" fontId="0" fillId="0" borderId="0" xfId="0" applyNumberFormat="1"/>
    <xf numFmtId="166" fontId="37" fillId="0" borderId="0" xfId="64" applyNumberFormat="1"/>
    <xf numFmtId="166" fontId="0" fillId="0" borderId="0" xfId="47" applyNumberFormat="1" applyFont="1"/>
    <xf numFmtId="0" fontId="0" fillId="0" borderId="0" xfId="0" applyAlignment="1">
      <alignment vertical="top"/>
    </xf>
    <xf numFmtId="0" fontId="0" fillId="0" borderId="0" xfId="0" applyAlignment="1">
      <alignment horizontal="center"/>
    </xf>
    <xf numFmtId="0" fontId="46" fillId="0" borderId="25" xfId="0" applyFont="1" applyBorder="1"/>
    <xf numFmtId="5" fontId="0" fillId="0" borderId="0" xfId="0" applyNumberFormat="1" applyAlignment="1">
      <alignment horizontal="center"/>
    </xf>
    <xf numFmtId="0" fontId="46" fillId="0" borderId="29" xfId="0" applyFont="1" applyBorder="1"/>
    <xf numFmtId="0" fontId="46" fillId="0" borderId="42" xfId="0" applyFont="1" applyBorder="1" applyAlignment="1">
      <alignment horizontal="center"/>
    </xf>
    <xf numFmtId="5" fontId="0" fillId="0" borderId="25" xfId="0" applyNumberFormat="1" applyBorder="1" applyAlignment="1">
      <alignment horizontal="center"/>
    </xf>
    <xf numFmtId="0" fontId="0" fillId="0" borderId="25" xfId="0" applyBorder="1" applyAlignment="1">
      <alignment horizontal="center"/>
    </xf>
    <xf numFmtId="10" fontId="0" fillId="0" borderId="25" xfId="0" applyNumberFormat="1" applyBorder="1" applyAlignment="1">
      <alignment horizontal="center"/>
    </xf>
    <xf numFmtId="0" fontId="46" fillId="0" borderId="29" xfId="0" applyFont="1" applyBorder="1" applyAlignment="1">
      <alignment horizontal="center"/>
    </xf>
    <xf numFmtId="5" fontId="46" fillId="0" borderId="25" xfId="0" applyNumberFormat="1" applyFont="1" applyBorder="1" applyAlignment="1">
      <alignment horizontal="center"/>
    </xf>
    <xf numFmtId="0" fontId="50" fillId="0" borderId="25" xfId="0" applyFont="1" applyBorder="1"/>
    <xf numFmtId="0" fontId="22" fillId="0" borderId="14" xfId="0" applyFont="1" applyBorder="1" applyAlignment="1">
      <alignment horizontal="center"/>
    </xf>
    <xf numFmtId="0" fontId="61" fillId="0" borderId="0" xfId="0" applyFont="1"/>
    <xf numFmtId="0" fontId="2" fillId="0" borderId="0" xfId="0" applyFont="1"/>
    <xf numFmtId="0" fontId="22" fillId="0" borderId="46" xfId="0" applyFont="1" applyBorder="1" applyAlignment="1">
      <alignment horizontal="center"/>
    </xf>
    <xf numFmtId="9" fontId="0" fillId="0" borderId="14" xfId="48" applyFont="1" applyBorder="1" applyAlignment="1">
      <alignment horizontal="center"/>
    </xf>
    <xf numFmtId="9" fontId="0" fillId="0" borderId="14" xfId="0" applyNumberFormat="1" applyBorder="1" applyAlignment="1">
      <alignment horizontal="center"/>
    </xf>
    <xf numFmtId="5" fontId="0" fillId="0" borderId="0" xfId="0" applyNumberFormat="1"/>
    <xf numFmtId="5" fontId="46" fillId="0" borderId="29" xfId="0" applyNumberFormat="1" applyFont="1" applyBorder="1" applyAlignment="1">
      <alignment horizontal="center"/>
    </xf>
    <xf numFmtId="5" fontId="62" fillId="0" borderId="29" xfId="0" applyNumberFormat="1" applyFont="1" applyBorder="1" applyAlignment="1">
      <alignment horizontal="center"/>
    </xf>
    <xf numFmtId="5" fontId="46" fillId="0" borderId="0" xfId="0" applyNumberFormat="1" applyFont="1"/>
    <xf numFmtId="166" fontId="0" fillId="19" borderId="45" xfId="47" applyNumberFormat="1" applyFont="1" applyFill="1" applyBorder="1"/>
    <xf numFmtId="3" fontId="63" fillId="0" borderId="0" xfId="51" applyNumberFormat="1" applyFont="1" applyBorder="1"/>
    <xf numFmtId="3" fontId="64" fillId="0" borderId="0" xfId="52" applyNumberFormat="1" applyFont="1">
      <alignment horizontal="center"/>
    </xf>
    <xf numFmtId="3" fontId="1" fillId="0" borderId="0" xfId="0" applyNumberFormat="1" applyFont="1"/>
    <xf numFmtId="0" fontId="65" fillId="0" borderId="0" xfId="57" applyFont="1"/>
    <xf numFmtId="3" fontId="31" fillId="32" borderId="47" xfId="54" applyFill="1" applyBorder="1"/>
    <xf numFmtId="3" fontId="1" fillId="33" borderId="48" xfId="60" applyNumberFormat="1" applyFont="1" applyFill="1" applyBorder="1"/>
    <xf numFmtId="3" fontId="37" fillId="0" borderId="0" xfId="61" applyFill="1"/>
    <xf numFmtId="3" fontId="66" fillId="0" borderId="43" xfId="55" applyFont="1" applyBorder="1"/>
    <xf numFmtId="168" fontId="1" fillId="0" borderId="0" xfId="0" applyNumberFormat="1" applyFont="1"/>
    <xf numFmtId="9" fontId="1" fillId="0" borderId="0" xfId="48" applyFont="1" applyFill="1" applyBorder="1" applyProtection="1"/>
    <xf numFmtId="3" fontId="65" fillId="0" borderId="0" xfId="57" applyNumberFormat="1" applyFont="1"/>
    <xf numFmtId="168" fontId="1" fillId="33" borderId="48" xfId="60" applyNumberFormat="1" applyFont="1" applyFill="1" applyBorder="1"/>
    <xf numFmtId="3" fontId="1" fillId="34" borderId="0" xfId="0" applyNumberFormat="1" applyFont="1" applyFill="1"/>
    <xf numFmtId="3" fontId="67" fillId="34" borderId="0" xfId="0" applyNumberFormat="1" applyFont="1" applyFill="1" applyAlignment="1">
      <alignment horizontal="centerContinuous" vertical="center"/>
    </xf>
    <xf numFmtId="3" fontId="1" fillId="34" borderId="0" xfId="0" applyNumberFormat="1" applyFont="1" applyFill="1" applyAlignment="1">
      <alignment horizontal="centerContinuous"/>
    </xf>
    <xf numFmtId="3" fontId="65" fillId="34" borderId="0" xfId="0" applyNumberFormat="1" applyFont="1" applyFill="1" applyAlignment="1">
      <alignment horizontal="centerContinuous"/>
    </xf>
    <xf numFmtId="3" fontId="1" fillId="34" borderId="0" xfId="0" applyNumberFormat="1" applyFont="1" applyFill="1" applyAlignment="1">
      <alignment horizontal="center" vertical="center"/>
    </xf>
    <xf numFmtId="3" fontId="1" fillId="34" borderId="10" xfId="0" applyNumberFormat="1" applyFont="1" applyFill="1" applyBorder="1" applyAlignment="1">
      <alignment horizontal="center" vertical="center" wrapText="1"/>
    </xf>
    <xf numFmtId="3" fontId="1" fillId="34" borderId="0" xfId="0" applyNumberFormat="1" applyFont="1" applyFill="1" applyAlignment="1">
      <alignment horizontal="left"/>
    </xf>
    <xf numFmtId="4" fontId="1" fillId="34" borderId="0" xfId="0" applyNumberFormat="1" applyFont="1" applyFill="1" applyAlignment="1">
      <alignment horizontal="right"/>
    </xf>
    <xf numFmtId="3" fontId="65" fillId="34" borderId="43" xfId="0" applyNumberFormat="1" applyFont="1" applyFill="1" applyBorder="1" applyAlignment="1">
      <alignment horizontal="left"/>
    </xf>
    <xf numFmtId="4" fontId="65" fillId="34" borderId="43" xfId="55" applyNumberFormat="1" applyFont="1" applyFill="1" applyBorder="1"/>
    <xf numFmtId="3" fontId="1" fillId="35" borderId="0" xfId="0" applyNumberFormat="1" applyFont="1" applyFill="1" applyAlignment="1">
      <alignment horizontal="left"/>
    </xf>
    <xf numFmtId="4" fontId="1" fillId="35" borderId="0" xfId="0" applyNumberFormat="1" applyFont="1" applyFill="1" applyAlignment="1">
      <alignment horizontal="right"/>
    </xf>
    <xf numFmtId="0" fontId="22" fillId="19" borderId="14" xfId="0" applyFont="1" applyFill="1" applyBorder="1" applyAlignment="1">
      <alignment horizontal="left"/>
    </xf>
    <xf numFmtId="0" fontId="22" fillId="19" borderId="14" xfId="0" applyFont="1" applyFill="1" applyBorder="1" applyAlignment="1">
      <alignment horizontal="center"/>
    </xf>
    <xf numFmtId="0" fontId="23" fillId="19" borderId="14" xfId="0" applyFont="1" applyFill="1" applyBorder="1" applyAlignment="1">
      <alignment horizontal="center"/>
    </xf>
    <xf numFmtId="37" fontId="23" fillId="19" borderId="14" xfId="0" applyNumberFormat="1" applyFont="1" applyFill="1" applyBorder="1" applyAlignment="1">
      <alignment horizontal="center"/>
    </xf>
    <xf numFmtId="37" fontId="23" fillId="19" borderId="14" xfId="47" applyNumberFormat="1" applyFont="1" applyFill="1" applyBorder="1" applyAlignment="1">
      <alignment horizontal="center"/>
    </xf>
    <xf numFmtId="179" fontId="23" fillId="19" borderId="14" xfId="47" applyNumberFormat="1" applyFont="1" applyFill="1" applyBorder="1" applyAlignment="1">
      <alignment horizontal="center"/>
    </xf>
    <xf numFmtId="9" fontId="23" fillId="19" borderId="14" xfId="48" applyFont="1" applyFill="1" applyBorder="1" applyAlignment="1">
      <alignment horizontal="center"/>
    </xf>
    <xf numFmtId="0" fontId="0" fillId="0" borderId="47" xfId="0" applyBorder="1"/>
    <xf numFmtId="10" fontId="0" fillId="0" borderId="47" xfId="48" applyNumberFormat="1" applyFont="1" applyBorder="1"/>
    <xf numFmtId="0" fontId="46" fillId="0" borderId="47" xfId="0" applyFont="1" applyBorder="1"/>
    <xf numFmtId="10" fontId="0" fillId="36" borderId="25" xfId="0" applyNumberFormat="1" applyFill="1" applyBorder="1" applyAlignment="1">
      <alignment horizontal="center"/>
    </xf>
    <xf numFmtId="0" fontId="0" fillId="0" borderId="0" xfId="0" applyAlignment="1">
      <alignment vertical="center"/>
    </xf>
    <xf numFmtId="0" fontId="46" fillId="0" borderId="47" xfId="0" applyFont="1" applyBorder="1" applyAlignment="1">
      <alignment horizontal="center" vertical="center" wrapText="1"/>
    </xf>
    <xf numFmtId="5" fontId="68" fillId="0" borderId="25" xfId="0" applyNumberFormat="1" applyFont="1" applyBorder="1" applyAlignment="1">
      <alignment horizontal="center"/>
    </xf>
    <xf numFmtId="0" fontId="46" fillId="0" borderId="47" xfId="0" applyFont="1" applyBorder="1" applyAlignment="1">
      <alignment vertical="center" wrapText="1"/>
    </xf>
    <xf numFmtId="0" fontId="46" fillId="0" borderId="47" xfId="0" applyFont="1" applyBorder="1" applyAlignment="1">
      <alignment horizontal="center" vertical="center"/>
    </xf>
    <xf numFmtId="9" fontId="0" fillId="0" borderId="25" xfId="48" applyFont="1" applyBorder="1" applyAlignment="1">
      <alignment horizontal="center"/>
    </xf>
    <xf numFmtId="9" fontId="68" fillId="0" borderId="25" xfId="48" applyFont="1" applyBorder="1" applyAlignment="1">
      <alignment horizontal="center"/>
    </xf>
    <xf numFmtId="9" fontId="46" fillId="0" borderId="29" xfId="48" applyFont="1" applyBorder="1" applyAlignment="1">
      <alignment horizontal="center"/>
    </xf>
    <xf numFmtId="5" fontId="0" fillId="0" borderId="47" xfId="0" applyNumberFormat="1" applyBorder="1" applyAlignment="1">
      <alignment horizontal="center"/>
    </xf>
    <xf numFmtId="0" fontId="1" fillId="0" borderId="0" xfId="0" applyFont="1" applyAlignment="1">
      <alignment vertical="center"/>
    </xf>
    <xf numFmtId="0" fontId="1" fillId="0" borderId="47" xfId="0" applyFont="1" applyBorder="1" applyAlignment="1">
      <alignment vertical="center"/>
    </xf>
    <xf numFmtId="0" fontId="34" fillId="0" borderId="47" xfId="0" applyFont="1" applyBorder="1" applyAlignment="1">
      <alignment horizontal="center" vertical="center"/>
    </xf>
    <xf numFmtId="165" fontId="34" fillId="0" borderId="47" xfId="47" applyNumberFormat="1" applyFont="1" applyBorder="1" applyAlignment="1">
      <alignment horizontal="center" vertical="center"/>
    </xf>
    <xf numFmtId="0" fontId="34" fillId="0" borderId="50" xfId="0" applyFont="1" applyBorder="1" applyAlignment="1">
      <alignment vertical="center" wrapText="1"/>
    </xf>
    <xf numFmtId="165" fontId="1" fillId="0" borderId="42" xfId="47" applyNumberFormat="1" applyFont="1" applyBorder="1" applyAlignment="1">
      <alignment vertical="center"/>
    </xf>
    <xf numFmtId="165" fontId="1" fillId="0" borderId="42" xfId="0" applyNumberFormat="1" applyFont="1" applyBorder="1" applyAlignment="1">
      <alignment vertical="center"/>
    </xf>
    <xf numFmtId="0" fontId="69" fillId="0" borderId="26" xfId="0" applyFont="1" applyBorder="1" applyAlignment="1">
      <alignment vertical="center"/>
    </xf>
    <xf numFmtId="0" fontId="69" fillId="0" borderId="25" xfId="0" applyFont="1" applyBorder="1" applyAlignment="1">
      <alignment vertical="center"/>
    </xf>
    <xf numFmtId="9" fontId="69" fillId="0" borderId="25" xfId="48" applyFont="1" applyBorder="1" applyAlignment="1">
      <alignment vertical="center"/>
    </xf>
    <xf numFmtId="0" fontId="1" fillId="0" borderId="26" xfId="0" applyFont="1" applyBorder="1" applyAlignment="1">
      <alignment vertical="center"/>
    </xf>
    <xf numFmtId="5" fontId="1" fillId="0" borderId="25" xfId="50" applyNumberFormat="1" applyFont="1" applyBorder="1" applyAlignment="1">
      <alignment vertical="center"/>
    </xf>
    <xf numFmtId="0" fontId="1" fillId="0" borderId="30" xfId="0" applyFont="1" applyBorder="1" applyAlignment="1">
      <alignment vertical="center"/>
    </xf>
    <xf numFmtId="5" fontId="1" fillId="0" borderId="29" xfId="0" applyNumberFormat="1" applyFont="1" applyBorder="1" applyAlignment="1">
      <alignment vertical="center"/>
    </xf>
    <xf numFmtId="0" fontId="1" fillId="0" borderId="42" xfId="0" applyFont="1" applyBorder="1" applyAlignment="1">
      <alignment vertical="center"/>
    </xf>
    <xf numFmtId="5" fontId="1" fillId="0" borderId="42" xfId="0" applyNumberFormat="1" applyFont="1" applyBorder="1" applyAlignment="1">
      <alignment vertical="center"/>
    </xf>
    <xf numFmtId="5" fontId="1" fillId="0" borderId="42" xfId="50" applyNumberFormat="1" applyFont="1" applyBorder="1" applyAlignment="1">
      <alignment vertical="center"/>
    </xf>
    <xf numFmtId="0" fontId="69" fillId="0" borderId="29" xfId="0" applyFont="1" applyBorder="1" applyAlignment="1">
      <alignment vertical="center"/>
    </xf>
    <xf numFmtId="9" fontId="69" fillId="0" borderId="29" xfId="48" applyFont="1" applyBorder="1" applyAlignment="1">
      <alignment vertical="center"/>
    </xf>
    <xf numFmtId="41" fontId="46" fillId="19" borderId="25" xfId="0" applyNumberFormat="1" applyFont="1" applyFill="1" applyBorder="1" applyAlignment="1">
      <alignment horizontal="center"/>
    </xf>
    <xf numFmtId="0" fontId="34" fillId="0" borderId="42" xfId="0" applyFont="1" applyBorder="1" applyAlignment="1">
      <alignment vertical="center"/>
    </xf>
    <xf numFmtId="5" fontId="34" fillId="0" borderId="42" xfId="0" applyNumberFormat="1" applyFont="1" applyBorder="1" applyAlignment="1">
      <alignment vertical="center"/>
    </xf>
    <xf numFmtId="0" fontId="70" fillId="0" borderId="0" xfId="0" applyFont="1"/>
    <xf numFmtId="164" fontId="0" fillId="0" borderId="0" xfId="47" applyFont="1"/>
    <xf numFmtId="0" fontId="34" fillId="0" borderId="42" xfId="0" applyFont="1" applyBorder="1" applyAlignment="1">
      <alignment vertical="top" wrapText="1"/>
    </xf>
    <xf numFmtId="17" fontId="34" fillId="0" borderId="42" xfId="0" applyNumberFormat="1" applyFont="1" applyBorder="1"/>
    <xf numFmtId="0" fontId="1" fillId="0" borderId="0" xfId="0" applyFont="1"/>
    <xf numFmtId="0" fontId="34" fillId="0" borderId="42" xfId="50" quotePrefix="1" applyNumberFormat="1" applyFont="1" applyFill="1" applyBorder="1" applyAlignment="1">
      <alignment horizontal="center"/>
    </xf>
    <xf numFmtId="0" fontId="34" fillId="0" borderId="25" xfId="0" applyFont="1" applyBorder="1" applyAlignment="1">
      <alignment vertical="top" wrapText="1"/>
    </xf>
    <xf numFmtId="44" fontId="1" fillId="0" borderId="25" xfId="50" applyFont="1" applyFill="1" applyBorder="1"/>
    <xf numFmtId="9" fontId="1" fillId="0" borderId="0" xfId="48" applyFont="1"/>
    <xf numFmtId="172" fontId="34" fillId="0" borderId="25" xfId="47" applyNumberFormat="1" applyFont="1" applyFill="1" applyBorder="1" applyAlignment="1">
      <alignment vertical="top" wrapText="1"/>
    </xf>
    <xf numFmtId="44" fontId="1" fillId="0" borderId="0" xfId="0" applyNumberFormat="1" applyFont="1"/>
    <xf numFmtId="0" fontId="34" fillId="0" borderId="29" xfId="0" applyFont="1" applyBorder="1" applyAlignment="1">
      <alignment vertical="top" wrapText="1"/>
    </xf>
    <xf numFmtId="44" fontId="34" fillId="0" borderId="29" xfId="50" applyFont="1" applyFill="1" applyBorder="1"/>
    <xf numFmtId="0" fontId="46" fillId="0" borderId="51" xfId="0" applyFont="1" applyBorder="1" applyAlignment="1">
      <alignment horizontal="center"/>
    </xf>
    <xf numFmtId="3" fontId="46" fillId="0" borderId="25" xfId="0" applyNumberFormat="1" applyFont="1" applyBorder="1" applyAlignment="1">
      <alignment horizontal="center"/>
    </xf>
    <xf numFmtId="0" fontId="46" fillId="0" borderId="25" xfId="0" applyFont="1" applyBorder="1" applyAlignment="1">
      <alignment horizontal="center"/>
    </xf>
    <xf numFmtId="3" fontId="71" fillId="29" borderId="25" xfId="0" applyNumberFormat="1" applyFont="1" applyFill="1" applyBorder="1" applyAlignment="1">
      <alignment horizontal="center"/>
    </xf>
    <xf numFmtId="3" fontId="72" fillId="29" borderId="25" xfId="0" applyNumberFormat="1" applyFont="1" applyFill="1" applyBorder="1" applyAlignment="1">
      <alignment horizontal="center"/>
    </xf>
    <xf numFmtId="3" fontId="0" fillId="0" borderId="25" xfId="0" applyNumberFormat="1" applyBorder="1" applyAlignment="1">
      <alignment horizontal="center"/>
    </xf>
    <xf numFmtId="164" fontId="0" fillId="0" borderId="29" xfId="47" applyFont="1" applyBorder="1" applyAlignment="1">
      <alignment horizontal="center"/>
    </xf>
    <xf numFmtId="5" fontId="0" fillId="0" borderId="29" xfId="47" applyNumberFormat="1" applyFont="1" applyBorder="1" applyAlignment="1">
      <alignment horizontal="center"/>
    </xf>
    <xf numFmtId="0" fontId="0" fillId="0" borderId="51" xfId="0" applyBorder="1" applyAlignment="1">
      <alignment horizontal="left"/>
    </xf>
    <xf numFmtId="0" fontId="0" fillId="0" borderId="29" xfId="0" applyBorder="1" applyAlignment="1">
      <alignment horizontal="left"/>
    </xf>
    <xf numFmtId="0" fontId="46" fillId="0" borderId="25" xfId="0" applyFont="1" applyBorder="1" applyAlignment="1">
      <alignment horizontal="left"/>
    </xf>
    <xf numFmtId="0" fontId="57" fillId="29" borderId="25" xfId="0" applyFont="1" applyFill="1" applyBorder="1" applyAlignment="1">
      <alignment horizontal="left"/>
    </xf>
    <xf numFmtId="0" fontId="0" fillId="0" borderId="25" xfId="0" applyBorder="1" applyAlignment="1">
      <alignment horizontal="left"/>
    </xf>
    <xf numFmtId="0" fontId="0" fillId="0" borderId="47" xfId="0" applyBorder="1" applyAlignment="1">
      <alignment horizontal="center"/>
    </xf>
    <xf numFmtId="0" fontId="46" fillId="0" borderId="26" xfId="0" applyFont="1" applyBorder="1" applyAlignment="1">
      <alignment horizontal="left"/>
    </xf>
    <xf numFmtId="0" fontId="46" fillId="0" borderId="30" xfId="0" applyFont="1" applyBorder="1" applyAlignment="1">
      <alignment horizontal="left"/>
    </xf>
    <xf numFmtId="0" fontId="45" fillId="0" borderId="42" xfId="0" applyFont="1" applyBorder="1" applyAlignment="1">
      <alignment horizontal="left" vertical="top"/>
    </xf>
    <xf numFmtId="0" fontId="45" fillId="0" borderId="29" xfId="0" applyFont="1" applyBorder="1" applyAlignment="1">
      <alignment horizontal="left" vertical="top"/>
    </xf>
    <xf numFmtId="0" fontId="45" fillId="27" borderId="20" xfId="0" applyFont="1" applyFill="1" applyBorder="1" applyAlignment="1">
      <alignment horizontal="center" vertical="center"/>
    </xf>
    <xf numFmtId="0" fontId="45" fillId="27" borderId="21" xfId="0" applyFont="1" applyFill="1" applyBorder="1" applyAlignment="1">
      <alignment horizontal="center" vertical="center"/>
    </xf>
    <xf numFmtId="0" fontId="45" fillId="27" borderId="27" xfId="0" applyFont="1" applyFill="1" applyBorder="1" applyAlignment="1">
      <alignment horizontal="center" vertical="center"/>
    </xf>
    <xf numFmtId="0" fontId="45" fillId="27" borderId="0" xfId="0" applyFont="1" applyFill="1" applyAlignment="1">
      <alignment horizontal="center" vertical="center"/>
    </xf>
    <xf numFmtId="0" fontId="46" fillId="27" borderId="33" xfId="0" applyFont="1" applyFill="1" applyBorder="1" applyAlignment="1">
      <alignment horizontal="center" vertical="top" textRotation="180"/>
    </xf>
    <xf numFmtId="0" fontId="45" fillId="25" borderId="20" xfId="0" applyFont="1" applyFill="1" applyBorder="1" applyAlignment="1">
      <alignment horizontal="center" vertical="center"/>
    </xf>
    <xf numFmtId="0" fontId="45" fillId="25" borderId="21" xfId="0" applyFont="1" applyFill="1" applyBorder="1" applyAlignment="1">
      <alignment horizontal="center" vertical="center"/>
    </xf>
    <xf numFmtId="0" fontId="45" fillId="25" borderId="22" xfId="0" applyFont="1" applyFill="1" applyBorder="1" applyAlignment="1">
      <alignment horizontal="center" vertical="center"/>
    </xf>
    <xf numFmtId="0" fontId="45" fillId="25" borderId="23" xfId="0" applyFont="1" applyFill="1" applyBorder="1" applyAlignment="1">
      <alignment horizontal="center" vertical="center"/>
    </xf>
    <xf numFmtId="0" fontId="45" fillId="25" borderId="24" xfId="0" applyFont="1" applyFill="1" applyBorder="1" applyAlignment="1">
      <alignment horizontal="center" vertical="center"/>
    </xf>
    <xf numFmtId="0" fontId="46" fillId="25" borderId="33" xfId="0" applyFont="1" applyFill="1" applyBorder="1" applyAlignment="1">
      <alignment horizontal="center" vertical="top" textRotation="180"/>
    </xf>
    <xf numFmtId="0" fontId="45" fillId="26" borderId="20" xfId="0" applyFont="1" applyFill="1" applyBorder="1" applyAlignment="1">
      <alignment horizontal="center" vertical="center"/>
    </xf>
    <xf numFmtId="0" fontId="45" fillId="26" borderId="21" xfId="0" applyFont="1" applyFill="1" applyBorder="1" applyAlignment="1">
      <alignment horizontal="center" vertical="center"/>
    </xf>
    <xf numFmtId="0" fontId="45" fillId="26" borderId="22" xfId="0" applyFont="1" applyFill="1" applyBorder="1" applyAlignment="1">
      <alignment horizontal="center" vertical="center"/>
    </xf>
    <xf numFmtId="0" fontId="46" fillId="26" borderId="33" xfId="0" applyFont="1" applyFill="1" applyBorder="1" applyAlignment="1">
      <alignment horizontal="center" vertical="top" textRotation="180"/>
    </xf>
    <xf numFmtId="0" fontId="46" fillId="24" borderId="33" xfId="0" applyFont="1" applyFill="1" applyBorder="1" applyAlignment="1">
      <alignment horizontal="center" vertical="top" textRotation="180"/>
    </xf>
    <xf numFmtId="0" fontId="46" fillId="0" borderId="20" xfId="0" applyFont="1" applyBorder="1" applyAlignment="1">
      <alignment horizontal="center"/>
    </xf>
    <xf numFmtId="0" fontId="46" fillId="0" borderId="21" xfId="0" applyFont="1" applyBorder="1" applyAlignment="1">
      <alignment horizontal="center"/>
    </xf>
    <xf numFmtId="0" fontId="46" fillId="0" borderId="22" xfId="0" applyFont="1" applyBorder="1" applyAlignment="1">
      <alignment horizontal="center"/>
    </xf>
    <xf numFmtId="0" fontId="46" fillId="0" borderId="23" xfId="0" applyFont="1" applyBorder="1" applyAlignment="1">
      <alignment horizontal="center"/>
    </xf>
    <xf numFmtId="165" fontId="46" fillId="0" borderId="21" xfId="47" applyNumberFormat="1" applyFont="1" applyBorder="1" applyAlignment="1">
      <alignment horizontal="center"/>
    </xf>
    <xf numFmtId="165" fontId="46" fillId="0" borderId="24" xfId="47" applyNumberFormat="1" applyFont="1" applyBorder="1" applyAlignment="1">
      <alignment horizontal="center"/>
    </xf>
    <xf numFmtId="164" fontId="46" fillId="0" borderId="20" xfId="47" applyFont="1" applyBorder="1" applyAlignment="1">
      <alignment horizontal="center"/>
    </xf>
    <xf numFmtId="164" fontId="46" fillId="0" borderId="21" xfId="47" applyFont="1" applyBorder="1" applyAlignment="1">
      <alignment horizontal="center"/>
    </xf>
    <xf numFmtId="164" fontId="46" fillId="0" borderId="24" xfId="47" applyFont="1" applyBorder="1" applyAlignment="1">
      <alignment horizontal="center"/>
    </xf>
    <xf numFmtId="0" fontId="53" fillId="0" borderId="42" xfId="0" applyFont="1" applyBorder="1" applyAlignment="1">
      <alignment horizontal="center" vertical="center"/>
    </xf>
    <xf numFmtId="0" fontId="53" fillId="0" borderId="25" xfId="0" applyFont="1" applyBorder="1" applyAlignment="1">
      <alignment horizontal="center" vertical="center"/>
    </xf>
    <xf numFmtId="0" fontId="53" fillId="0" borderId="29" xfId="0" applyFont="1" applyBorder="1" applyAlignment="1">
      <alignment horizontal="center" vertical="center"/>
    </xf>
    <xf numFmtId="0" fontId="0" fillId="0" borderId="0" xfId="0" applyAlignment="1">
      <alignment horizontal="left" vertical="top" wrapText="1"/>
    </xf>
  </cellXfs>
  <cellStyles count="67">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Assumption" xfId="62" xr:uid="{00000000-0005-0000-0000-000018000000}"/>
    <cellStyle name="Bad 2" xfId="26" xr:uid="{00000000-0005-0000-0000-000019000000}"/>
    <cellStyle name="Calculation 2" xfId="27" xr:uid="{00000000-0005-0000-0000-00001A000000}"/>
    <cellStyle name="Check" xfId="56" xr:uid="{00000000-0005-0000-0000-00001B000000}"/>
    <cellStyle name="Check Cell 2" xfId="28" xr:uid="{00000000-0005-0000-0000-00001C000000}"/>
    <cellStyle name="Comma" xfId="47" builtinId="3"/>
    <cellStyle name="Comma 2" xfId="29" xr:uid="{00000000-0005-0000-0000-00001E000000}"/>
    <cellStyle name="Currency" xfId="50" builtinId="4"/>
    <cellStyle name="Currency 2" xfId="30" xr:uid="{00000000-0005-0000-0000-000020000000}"/>
    <cellStyle name="Empty_Cell" xfId="60" xr:uid="{00000000-0005-0000-0000-000021000000}"/>
    <cellStyle name="Explanatory Text 2" xfId="31" xr:uid="{00000000-0005-0000-0000-000022000000}"/>
    <cellStyle name="Good 2" xfId="32" xr:uid="{00000000-0005-0000-0000-000023000000}"/>
    <cellStyle name="Header2" xfId="51" xr:uid="{00000000-0005-0000-0000-000024000000}"/>
    <cellStyle name="Header3" xfId="57" xr:uid="{00000000-0005-0000-0000-000025000000}"/>
    <cellStyle name="Heading 1 2" xfId="33" xr:uid="{00000000-0005-0000-0000-000026000000}"/>
    <cellStyle name="Heading 2 2" xfId="34" xr:uid="{00000000-0005-0000-0000-000027000000}"/>
    <cellStyle name="Heading 3 2" xfId="35" xr:uid="{00000000-0005-0000-0000-000028000000}"/>
    <cellStyle name="Heading 4 2" xfId="36" xr:uid="{00000000-0005-0000-0000-000029000000}"/>
    <cellStyle name="Heading4" xfId="58" xr:uid="{00000000-0005-0000-0000-00002A000000}"/>
    <cellStyle name="Hyperlink" xfId="49" builtinId="8"/>
    <cellStyle name="Input 2" xfId="37" xr:uid="{00000000-0005-0000-0000-00002C000000}"/>
    <cellStyle name="Insheet" xfId="63" xr:uid="{00000000-0005-0000-0000-00002D000000}"/>
    <cellStyle name="Line Operation" xfId="65" xr:uid="{00000000-0005-0000-0000-00002E000000}"/>
    <cellStyle name="Line Summary" xfId="54" xr:uid="{00000000-0005-0000-0000-00002F000000}"/>
    <cellStyle name="Line_ClosingBal" xfId="66" xr:uid="{00000000-0005-0000-0000-000030000000}"/>
    <cellStyle name="Linked Cell 2" xfId="38" xr:uid="{00000000-0005-0000-0000-000031000000}"/>
    <cellStyle name="Neutral 2" xfId="39" xr:uid="{00000000-0005-0000-0000-000032000000}"/>
    <cellStyle name="Normal" xfId="0" builtinId="0"/>
    <cellStyle name="Normal 2" xfId="40" xr:uid="{00000000-0005-0000-0000-000034000000}"/>
    <cellStyle name="Normal 3" xfId="1" xr:uid="{00000000-0005-0000-0000-000035000000}"/>
    <cellStyle name="Note 2" xfId="41" xr:uid="{00000000-0005-0000-0000-000036000000}"/>
    <cellStyle name="Offsheet" xfId="59" xr:uid="{00000000-0005-0000-0000-000037000000}"/>
    <cellStyle name="Output 2" xfId="42" xr:uid="{00000000-0005-0000-0000-000038000000}"/>
    <cellStyle name="Percent" xfId="48" builtinId="5"/>
    <cellStyle name="Percent 2" xfId="43" xr:uid="{00000000-0005-0000-0000-00003A000000}"/>
    <cellStyle name="SubBalance" xfId="55" xr:uid="{00000000-0005-0000-0000-00003B000000}"/>
    <cellStyle name="Technical_Input" xfId="53" xr:uid="{00000000-0005-0000-0000-00003C000000}"/>
    <cellStyle name="Title 2" xfId="44" xr:uid="{00000000-0005-0000-0000-00003D000000}"/>
    <cellStyle name="Total 2" xfId="45" xr:uid="{00000000-0005-0000-0000-00003E000000}"/>
    <cellStyle name="Unit" xfId="52" xr:uid="{00000000-0005-0000-0000-00003F000000}"/>
    <cellStyle name="Warning" xfId="61" xr:uid="{00000000-0005-0000-0000-000040000000}"/>
    <cellStyle name="Warning Text" xfId="64" builtinId="11"/>
    <cellStyle name="Warning Text 2" xfId="46" xr:uid="{00000000-0005-0000-0000-000042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pn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1" Type="http://schemas.openxmlformats.org/officeDocument/2006/relationships/image" Target="../media/image11.png"/></Relationships>
</file>

<file path=xl/drawings/_rels/drawing7.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5" Type="http://schemas.openxmlformats.org/officeDocument/2006/relationships/image" Target="../media/image16.png"/><Relationship Id="rId4" Type="http://schemas.openxmlformats.org/officeDocument/2006/relationships/image" Target="../media/image15.png"/></Relationships>
</file>

<file path=xl/drawings/_rels/drawing8.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 Id="rId4"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9</xdr:col>
      <xdr:colOff>29883</xdr:colOff>
      <xdr:row>98</xdr:row>
      <xdr:rowOff>104588</xdr:rowOff>
    </xdr:from>
    <xdr:to>
      <xdr:col>21</xdr:col>
      <xdr:colOff>584267</xdr:colOff>
      <xdr:row>125</xdr:row>
      <xdr:rowOff>47281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0612158" y="14611163"/>
          <a:ext cx="11620754" cy="4314667"/>
        </a:xfrm>
        <a:prstGeom prst="rect">
          <a:avLst/>
        </a:prstGeom>
      </xdr:spPr>
    </xdr:pic>
    <xdr:clientData/>
  </xdr:twoCellAnchor>
  <xdr:twoCellAnchor editAs="oneCell">
    <xdr:from>
      <xdr:col>14</xdr:col>
      <xdr:colOff>605117</xdr:colOff>
      <xdr:row>136</xdr:row>
      <xdr:rowOff>67235</xdr:rowOff>
    </xdr:from>
    <xdr:to>
      <xdr:col>28</xdr:col>
      <xdr:colOff>148204</xdr:colOff>
      <xdr:row>142</xdr:row>
      <xdr:rowOff>154512</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15378392" y="20755535"/>
          <a:ext cx="11144537" cy="1058827"/>
        </a:xfrm>
        <a:prstGeom prst="rect">
          <a:avLst/>
        </a:prstGeom>
      </xdr:spPr>
    </xdr:pic>
    <xdr:clientData/>
  </xdr:twoCellAnchor>
  <xdr:twoCellAnchor>
    <xdr:from>
      <xdr:col>0</xdr:col>
      <xdr:colOff>33617</xdr:colOff>
      <xdr:row>125</xdr:row>
      <xdr:rowOff>22411</xdr:rowOff>
    </xdr:from>
    <xdr:to>
      <xdr:col>5</xdr:col>
      <xdr:colOff>78439</xdr:colOff>
      <xdr:row>129</xdr:row>
      <xdr:rowOff>78441</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33617" y="18900961"/>
          <a:ext cx="7312397" cy="70373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For the S&amp;TVA accounts we should always do a YE true-up / check for Ken and Mei’s time. It looks like we booked a provision in the deferral for their costs (based on budget) but we should ensure we tie off to the final allocations recorded at YE. </a:t>
          </a:r>
        </a:p>
      </xdr:txBody>
    </xdr:sp>
    <xdr:clientData/>
  </xdr:twoCellAnchor>
  <xdr:twoCellAnchor editAs="oneCell">
    <xdr:from>
      <xdr:col>0</xdr:col>
      <xdr:colOff>56030</xdr:colOff>
      <xdr:row>136</xdr:row>
      <xdr:rowOff>44823</xdr:rowOff>
    </xdr:from>
    <xdr:to>
      <xdr:col>5</xdr:col>
      <xdr:colOff>815205</xdr:colOff>
      <xdr:row>148</xdr:row>
      <xdr:rowOff>28902</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stretch>
          <a:fillRect/>
        </a:stretch>
      </xdr:blipFill>
      <xdr:spPr>
        <a:xfrm>
          <a:off x="56030" y="20114558"/>
          <a:ext cx="9152381" cy="1866667"/>
        </a:xfrm>
        <a:prstGeom prst="rect">
          <a:avLst/>
        </a:prstGeom>
      </xdr:spPr>
    </xdr:pic>
    <xdr:clientData/>
  </xdr:twoCellAnchor>
  <xdr:twoCellAnchor editAs="oneCell">
    <xdr:from>
      <xdr:col>0</xdr:col>
      <xdr:colOff>246529</xdr:colOff>
      <xdr:row>102</xdr:row>
      <xdr:rowOff>44823</xdr:rowOff>
    </xdr:from>
    <xdr:to>
      <xdr:col>2</xdr:col>
      <xdr:colOff>212912</xdr:colOff>
      <xdr:row>122</xdr:row>
      <xdr:rowOff>78155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4"/>
        <a:stretch>
          <a:fillRect/>
        </a:stretch>
      </xdr:blipFill>
      <xdr:spPr>
        <a:xfrm>
          <a:off x="246529" y="14746941"/>
          <a:ext cx="5031442" cy="31709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29883</xdr:colOff>
      <xdr:row>88</xdr:row>
      <xdr:rowOff>104588</xdr:rowOff>
    </xdr:from>
    <xdr:to>
      <xdr:col>21</xdr:col>
      <xdr:colOff>449796</xdr:colOff>
      <xdr:row>115</xdr:row>
      <xdr:rowOff>47280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1180483" y="14220638"/>
          <a:ext cx="12246789" cy="4235292"/>
        </a:xfrm>
        <a:prstGeom prst="rect">
          <a:avLst/>
        </a:prstGeom>
      </xdr:spPr>
    </xdr:pic>
    <xdr:clientData/>
  </xdr:twoCellAnchor>
  <xdr:twoCellAnchor editAs="oneCell">
    <xdr:from>
      <xdr:col>0</xdr:col>
      <xdr:colOff>22412</xdr:colOff>
      <xdr:row>124</xdr:row>
      <xdr:rowOff>123265</xdr:rowOff>
    </xdr:from>
    <xdr:to>
      <xdr:col>10</xdr:col>
      <xdr:colOff>502308</xdr:colOff>
      <xdr:row>162</xdr:row>
      <xdr:rowOff>67235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22412" y="19845618"/>
          <a:ext cx="14722572" cy="5939117"/>
        </a:xfrm>
        <a:prstGeom prst="rect">
          <a:avLst/>
        </a:prstGeom>
      </xdr:spPr>
    </xdr:pic>
    <xdr:clientData/>
  </xdr:twoCellAnchor>
  <xdr:twoCellAnchor editAs="oneCell">
    <xdr:from>
      <xdr:col>0</xdr:col>
      <xdr:colOff>1</xdr:colOff>
      <xdr:row>93</xdr:row>
      <xdr:rowOff>0</xdr:rowOff>
    </xdr:from>
    <xdr:to>
      <xdr:col>1</xdr:col>
      <xdr:colOff>470649</xdr:colOff>
      <xdr:row>109</xdr:row>
      <xdr:rowOff>15334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3"/>
        <a:stretch>
          <a:fillRect/>
        </a:stretch>
      </xdr:blipFill>
      <xdr:spPr>
        <a:xfrm>
          <a:off x="1" y="14859000"/>
          <a:ext cx="4426324" cy="2525451"/>
        </a:xfrm>
        <a:prstGeom prst="rect">
          <a:avLst/>
        </a:prstGeom>
      </xdr:spPr>
    </xdr:pic>
    <xdr:clientData/>
  </xdr:twoCellAnchor>
  <xdr:twoCellAnchor editAs="oneCell">
    <xdr:from>
      <xdr:col>14</xdr:col>
      <xdr:colOff>605117</xdr:colOff>
      <xdr:row>126</xdr:row>
      <xdr:rowOff>67235</xdr:rowOff>
    </xdr:from>
    <xdr:to>
      <xdr:col>28</xdr:col>
      <xdr:colOff>148204</xdr:colOff>
      <xdr:row>132</xdr:row>
      <xdr:rowOff>154512</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4"/>
        <a:stretch>
          <a:fillRect/>
        </a:stretch>
      </xdr:blipFill>
      <xdr:spPr>
        <a:xfrm>
          <a:off x="15385676" y="20103353"/>
          <a:ext cx="11152381" cy="1028571"/>
        </a:xfrm>
        <a:prstGeom prst="rect">
          <a:avLst/>
        </a:prstGeom>
      </xdr:spPr>
    </xdr:pic>
    <xdr:clientData/>
  </xdr:twoCellAnchor>
  <xdr:twoCellAnchor>
    <xdr:from>
      <xdr:col>0</xdr:col>
      <xdr:colOff>33617</xdr:colOff>
      <xdr:row>115</xdr:row>
      <xdr:rowOff>22411</xdr:rowOff>
    </xdr:from>
    <xdr:to>
      <xdr:col>5</xdr:col>
      <xdr:colOff>78439</xdr:colOff>
      <xdr:row>119</xdr:row>
      <xdr:rowOff>78441</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33617" y="18332823"/>
          <a:ext cx="7317440" cy="68355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For the S&amp;TVA accounts we should always do a YE true-up / check for Ken and Mei’s time. It looks like we booked a provision in the deferral for their costs (based on budget) but we should ensure we tie off to the final allocations recorded at YE.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29883</xdr:colOff>
      <xdr:row>87</xdr:row>
      <xdr:rowOff>104588</xdr:rowOff>
    </xdr:from>
    <xdr:to>
      <xdr:col>22</xdr:col>
      <xdr:colOff>427384</xdr:colOff>
      <xdr:row>114</xdr:row>
      <xdr:rowOff>47279</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0709089" y="13697323"/>
          <a:ext cx="11769792" cy="4178515"/>
        </a:xfrm>
        <a:prstGeom prst="rect">
          <a:avLst/>
        </a:prstGeom>
      </xdr:spPr>
    </xdr:pic>
    <xdr:clientData/>
  </xdr:twoCellAnchor>
  <xdr:twoCellAnchor editAs="oneCell">
    <xdr:from>
      <xdr:col>0</xdr:col>
      <xdr:colOff>0</xdr:colOff>
      <xdr:row>91</xdr:row>
      <xdr:rowOff>56029</xdr:rowOff>
    </xdr:from>
    <xdr:to>
      <xdr:col>4</xdr:col>
      <xdr:colOff>215525</xdr:colOff>
      <xdr:row>117</xdr:row>
      <xdr:rowOff>154789</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0" y="14276294"/>
          <a:ext cx="7028702" cy="4177701"/>
        </a:xfrm>
        <a:prstGeom prst="rect">
          <a:avLst/>
        </a:prstGeom>
      </xdr:spPr>
    </xdr:pic>
    <xdr:clientData/>
  </xdr:twoCellAnchor>
  <xdr:twoCellAnchor editAs="oneCell">
    <xdr:from>
      <xdr:col>0</xdr:col>
      <xdr:colOff>268941</xdr:colOff>
      <xdr:row>121</xdr:row>
      <xdr:rowOff>44825</xdr:rowOff>
    </xdr:from>
    <xdr:to>
      <xdr:col>16</xdr:col>
      <xdr:colOff>465021</xdr:colOff>
      <xdr:row>183</xdr:row>
      <xdr:rowOff>41928</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3"/>
        <a:stretch>
          <a:fillRect/>
        </a:stretch>
      </xdr:blipFill>
      <xdr:spPr>
        <a:xfrm>
          <a:off x="268941" y="22579854"/>
          <a:ext cx="18114286" cy="97238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19</xdr:col>
      <xdr:colOff>738466</xdr:colOff>
      <xdr:row>3</xdr:row>
      <xdr:rowOff>85725</xdr:rowOff>
    </xdr:from>
    <xdr:to>
      <xdr:col>24</xdr:col>
      <xdr:colOff>602928</xdr:colOff>
      <xdr:row>40</xdr:row>
      <xdr:rowOff>18892</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9817041" y="571500"/>
          <a:ext cx="4055462" cy="59243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506506</xdr:colOff>
      <xdr:row>3</xdr:row>
      <xdr:rowOff>52107</xdr:rowOff>
    </xdr:from>
    <xdr:to>
      <xdr:col>19</xdr:col>
      <xdr:colOff>391696</xdr:colOff>
      <xdr:row>32</xdr:row>
      <xdr:rowOff>89615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4962094" y="522754"/>
          <a:ext cx="4087396" cy="458709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708161</xdr:colOff>
      <xdr:row>0</xdr:row>
      <xdr:rowOff>495369</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2965586" cy="49536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11906</xdr:colOff>
      <xdr:row>0</xdr:row>
      <xdr:rowOff>0</xdr:rowOff>
    </xdr:from>
    <xdr:to>
      <xdr:col>18</xdr:col>
      <xdr:colOff>56457</xdr:colOff>
      <xdr:row>36</xdr:row>
      <xdr:rowOff>180095</xdr:rowOff>
    </xdr:to>
    <xdr:grpSp>
      <xdr:nvGrpSpPr>
        <xdr:cNvPr id="6" name="Group 5">
          <a:extLst>
            <a:ext uri="{FF2B5EF4-FFF2-40B4-BE49-F238E27FC236}">
              <a16:creationId xmlns:a16="http://schemas.microsoft.com/office/drawing/2014/main" id="{00000000-0008-0000-0D00-000006000000}"/>
            </a:ext>
          </a:extLst>
        </xdr:cNvPr>
        <xdr:cNvGrpSpPr/>
      </xdr:nvGrpSpPr>
      <xdr:grpSpPr>
        <a:xfrm>
          <a:off x="11906" y="0"/>
          <a:ext cx="11093551" cy="7038095"/>
          <a:chOff x="11906" y="0"/>
          <a:chExt cx="10974489" cy="7038095"/>
        </a:xfrm>
      </xdr:grpSpPr>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11906" y="0"/>
            <a:ext cx="5419045" cy="6961905"/>
          </a:xfrm>
          <a:prstGeom prst="rect">
            <a:avLst/>
          </a:prstGeom>
        </xdr:spPr>
      </xdr:pic>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a:stretch>
            <a:fillRect/>
          </a:stretch>
        </xdr:blipFill>
        <xdr:spPr>
          <a:xfrm>
            <a:off x="5464969" y="0"/>
            <a:ext cx="5521426" cy="7038095"/>
          </a:xfrm>
          <a:prstGeom prst="rect">
            <a:avLst/>
          </a:prstGeom>
        </xdr:spPr>
      </xdr:pic>
    </xdr:grpSp>
    <xdr:clientData/>
  </xdr:twoCellAnchor>
  <xdr:twoCellAnchor>
    <xdr:from>
      <xdr:col>20</xdr:col>
      <xdr:colOff>0</xdr:colOff>
      <xdr:row>0</xdr:row>
      <xdr:rowOff>0</xdr:rowOff>
    </xdr:from>
    <xdr:to>
      <xdr:col>38</xdr:col>
      <xdr:colOff>11221</xdr:colOff>
      <xdr:row>35</xdr:row>
      <xdr:rowOff>56309</xdr:rowOff>
    </xdr:to>
    <xdr:grpSp>
      <xdr:nvGrpSpPr>
        <xdr:cNvPr id="7" name="Group 6">
          <a:extLst>
            <a:ext uri="{FF2B5EF4-FFF2-40B4-BE49-F238E27FC236}">
              <a16:creationId xmlns:a16="http://schemas.microsoft.com/office/drawing/2014/main" id="{00000000-0008-0000-0D00-000007000000}"/>
            </a:ext>
          </a:extLst>
        </xdr:cNvPr>
        <xdr:cNvGrpSpPr/>
      </xdr:nvGrpSpPr>
      <xdr:grpSpPr>
        <a:xfrm>
          <a:off x="12276667" y="0"/>
          <a:ext cx="11060221" cy="6723809"/>
          <a:chOff x="12144375" y="0"/>
          <a:chExt cx="10941159" cy="6723809"/>
        </a:xfrm>
      </xdr:grpSpPr>
      <xdr:pic>
        <xdr:nvPicPr>
          <xdr:cNvPr id="4" name="Picture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3"/>
          <a:stretch>
            <a:fillRect/>
          </a:stretch>
        </xdr:blipFill>
        <xdr:spPr>
          <a:xfrm>
            <a:off x="12144375" y="0"/>
            <a:ext cx="5428569" cy="6723809"/>
          </a:xfrm>
          <a:prstGeom prst="rect">
            <a:avLst/>
          </a:prstGeom>
        </xdr:spPr>
      </xdr:pic>
      <xdr:pic>
        <xdr:nvPicPr>
          <xdr:cNvPr id="5" name="Picture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4"/>
          <a:stretch>
            <a:fillRect/>
          </a:stretch>
        </xdr:blipFill>
        <xdr:spPr>
          <a:xfrm>
            <a:off x="17609344" y="0"/>
            <a:ext cx="5476190" cy="6666667"/>
          </a:xfrm>
          <a:prstGeom prst="rect">
            <a:avLst/>
          </a:prstGeom>
        </xdr:spPr>
      </xdr:pic>
    </xdr:grpSp>
    <xdr:clientData/>
  </xdr:twoCellAnchor>
  <xdr:twoCellAnchor editAs="oneCell">
    <xdr:from>
      <xdr:col>1</xdr:col>
      <xdr:colOff>0</xdr:colOff>
      <xdr:row>46</xdr:row>
      <xdr:rowOff>0</xdr:rowOff>
    </xdr:from>
    <xdr:to>
      <xdr:col>5</xdr:col>
      <xdr:colOff>180649</xdr:colOff>
      <xdr:row>54</xdr:row>
      <xdr:rowOff>180762</xdr:rowOff>
    </xdr:to>
    <xdr:pic>
      <xdr:nvPicPr>
        <xdr:cNvPr id="8" name="Picture 7">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5"/>
        <a:stretch>
          <a:fillRect/>
        </a:stretch>
      </xdr:blipFill>
      <xdr:spPr>
        <a:xfrm>
          <a:off x="607219" y="8763000"/>
          <a:ext cx="2609524" cy="170476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187775</xdr:colOff>
      <xdr:row>21</xdr:row>
      <xdr:rowOff>180975</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3235775" cy="4210050"/>
        </a:xfrm>
        <a:prstGeom prst="rect">
          <a:avLst/>
        </a:prstGeom>
      </xdr:spPr>
    </xdr:pic>
    <xdr:clientData/>
  </xdr:twoCellAnchor>
  <xdr:twoCellAnchor editAs="oneCell">
    <xdr:from>
      <xdr:col>6</xdr:col>
      <xdr:colOff>123825</xdr:colOff>
      <xdr:row>0</xdr:row>
      <xdr:rowOff>1</xdr:rowOff>
    </xdr:from>
    <xdr:to>
      <xdr:col>11</xdr:col>
      <xdr:colOff>304800</xdr:colOff>
      <xdr:row>21</xdr:row>
      <xdr:rowOff>127434</xdr:rowOff>
    </xdr:to>
    <xdr:pic>
      <xdr:nvPicPr>
        <xdr:cNvPr id="3" name="Pictur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a:stretch>
          <a:fillRect/>
        </a:stretch>
      </xdr:blipFill>
      <xdr:spPr>
        <a:xfrm>
          <a:off x="3781425" y="1"/>
          <a:ext cx="3228975" cy="4156508"/>
        </a:xfrm>
        <a:prstGeom prst="rect">
          <a:avLst/>
        </a:prstGeom>
      </xdr:spPr>
    </xdr:pic>
    <xdr:clientData/>
  </xdr:twoCellAnchor>
  <xdr:twoCellAnchor editAs="oneCell">
    <xdr:from>
      <xdr:col>12</xdr:col>
      <xdr:colOff>28575</xdr:colOff>
      <xdr:row>0</xdr:row>
      <xdr:rowOff>0</xdr:rowOff>
    </xdr:from>
    <xdr:to>
      <xdr:col>17</xdr:col>
      <xdr:colOff>213312</xdr:colOff>
      <xdr:row>21</xdr:row>
      <xdr:rowOff>152400</xdr:rowOff>
    </xdr:to>
    <xdr:pic>
      <xdr:nvPicPr>
        <xdr:cNvPr id="4" name="Picture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3"/>
        <a:stretch>
          <a:fillRect/>
        </a:stretch>
      </xdr:blipFill>
      <xdr:spPr>
        <a:xfrm>
          <a:off x="7343775" y="0"/>
          <a:ext cx="3232737" cy="4181475"/>
        </a:xfrm>
        <a:prstGeom prst="rect">
          <a:avLst/>
        </a:prstGeom>
      </xdr:spPr>
    </xdr:pic>
    <xdr:clientData/>
  </xdr:twoCellAnchor>
  <xdr:twoCellAnchor editAs="oneCell">
    <xdr:from>
      <xdr:col>18</xdr:col>
      <xdr:colOff>1</xdr:colOff>
      <xdr:row>0</xdr:row>
      <xdr:rowOff>0</xdr:rowOff>
    </xdr:from>
    <xdr:to>
      <xdr:col>23</xdr:col>
      <xdr:colOff>288428</xdr:colOff>
      <xdr:row>22</xdr:row>
      <xdr:rowOff>78105</xdr:rowOff>
    </xdr:to>
    <xdr:pic>
      <xdr:nvPicPr>
        <xdr:cNvPr id="5" name="Picture 4">
          <a:extLst>
            <a:ext uri="{FF2B5EF4-FFF2-40B4-BE49-F238E27FC236}">
              <a16:creationId xmlns:a16="http://schemas.microsoft.com/office/drawing/2014/main" id="{00000000-0008-0000-0E00-000005000000}"/>
            </a:ext>
          </a:extLst>
        </xdr:cNvPr>
        <xdr:cNvPicPr>
          <a:picLocks noChangeAspect="1"/>
        </xdr:cNvPicPr>
      </xdr:nvPicPr>
      <xdr:blipFill>
        <a:blip xmlns:r="http://schemas.openxmlformats.org/officeDocument/2006/relationships" r:embed="rId4"/>
        <a:stretch>
          <a:fillRect/>
        </a:stretch>
      </xdr:blipFill>
      <xdr:spPr>
        <a:xfrm>
          <a:off x="10972801" y="0"/>
          <a:ext cx="3336427" cy="429768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oeb.ca/regulatory-rules-and-documents/rules-codes-and-requirements/prescribed-interest-rat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oeb.ca/regulatory-rules-and-documents/rules-codes-and-requirements/prescribed-interest-rates"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file:///\\epcor.ca\appdata\public\Finance\Commercial%20Services\1%20-%20Month%20End\Prior%20Years\2023\12-Dec%202023\JVs\ENGLP\Ready%20For%20Review\ECS%20BOA%2027DEC23%2002%20-GL%202103%20-%20ENGLP%20Accrue%20(Inter_Audit_Intra).xlsm" TargetMode="External"/><Relationship Id="rId1" Type="http://schemas.openxmlformats.org/officeDocument/2006/relationships/hyperlink" Target="file:///\\epcor.ca\appdata\public\Finance\Commercial%20Services\5%20-%20Regulatory\RRR\Invoices\Enbridge%20-%20SB"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file:///\\epcor.ca\appdata\public\Finance\Commercial%20Services\1%20-%20Month%20End\Prior%20Years\2023\12-Dec%202023\JVs\ENGLP\Ready%20For%20Review\ECS%20BOA%2027DEC23%2002%20-GL%202103%20-%20ENGLP%20Accrue%20(Inter_Audit_Intra).xlsm"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BS47"/>
  <sheetViews>
    <sheetView showGridLines="0" tabSelected="1" zoomScale="80" zoomScaleNormal="80" workbookViewId="0">
      <pane xSplit="1" ySplit="2" topLeftCell="N3" activePane="bottomRight" state="frozen"/>
      <selection activeCell="BX23" sqref="BX23"/>
      <selection pane="topRight" activeCell="BX23" sqref="BX23"/>
      <selection pane="bottomLeft" activeCell="BX23" sqref="BX23"/>
      <selection pane="bottomRight" activeCell="BZ6" sqref="BZ6"/>
    </sheetView>
  </sheetViews>
  <sheetFormatPr defaultRowHeight="15" outlineLevelCol="1" x14ac:dyDescent="0.25"/>
  <cols>
    <col min="1" max="1" width="26.7109375" style="315" customWidth="1"/>
    <col min="2" max="13" width="10.7109375" style="391" hidden="1" customWidth="1" outlineLevel="1"/>
    <col min="14" max="14" width="12.42578125" style="391" customWidth="1" collapsed="1"/>
    <col min="15" max="26" width="10.7109375" style="391" hidden="1" customWidth="1" outlineLevel="1"/>
    <col min="27" max="27" width="12.42578125" style="391" customWidth="1" collapsed="1"/>
    <col min="28" max="39" width="10.7109375" style="391" hidden="1" customWidth="1" outlineLevel="1"/>
    <col min="40" max="40" width="12.42578125" style="391" customWidth="1" collapsed="1"/>
    <col min="41" max="52" width="10.7109375" style="391" hidden="1" customWidth="1" outlineLevel="1"/>
    <col min="53" max="53" width="12.42578125" style="391" customWidth="1" collapsed="1"/>
    <col min="54" max="65" width="10.7109375" style="391" hidden="1" customWidth="1" outlineLevel="1"/>
    <col min="66" max="66" width="12.42578125" style="391" customWidth="1" collapsed="1"/>
    <col min="67" max="67" width="12.42578125" style="391" customWidth="1"/>
    <col min="68" max="68" width="10.85546875" bestFit="1" customWidth="1"/>
  </cols>
  <sheetData>
    <row r="1" spans="1:71" s="315" customFormat="1" ht="21" customHeight="1" x14ac:dyDescent="0.25">
      <c r="A1" s="508" t="s">
        <v>453</v>
      </c>
      <c r="B1" s="395">
        <v>2020</v>
      </c>
      <c r="C1" s="395">
        <v>2020</v>
      </c>
      <c r="D1" s="395">
        <v>2020</v>
      </c>
      <c r="E1" s="395">
        <v>2020</v>
      </c>
      <c r="F1" s="395">
        <v>2020</v>
      </c>
      <c r="G1" s="395">
        <v>2020</v>
      </c>
      <c r="H1" s="395">
        <v>2020</v>
      </c>
      <c r="I1" s="395">
        <v>2020</v>
      </c>
      <c r="J1" s="395">
        <v>2020</v>
      </c>
      <c r="K1" s="395">
        <v>2020</v>
      </c>
      <c r="L1" s="395">
        <v>2020</v>
      </c>
      <c r="M1" s="395">
        <v>2020</v>
      </c>
      <c r="N1" s="395">
        <v>2020</v>
      </c>
      <c r="O1" s="395">
        <v>2021</v>
      </c>
      <c r="P1" s="395">
        <v>2021</v>
      </c>
      <c r="Q1" s="395">
        <v>2021</v>
      </c>
      <c r="R1" s="395">
        <v>2021</v>
      </c>
      <c r="S1" s="395">
        <v>2021</v>
      </c>
      <c r="T1" s="395">
        <v>2021</v>
      </c>
      <c r="U1" s="395">
        <v>2021</v>
      </c>
      <c r="V1" s="395">
        <v>2021</v>
      </c>
      <c r="W1" s="395">
        <v>2021</v>
      </c>
      <c r="X1" s="395">
        <v>2021</v>
      </c>
      <c r="Y1" s="395">
        <v>2021</v>
      </c>
      <c r="Z1" s="395">
        <v>2021</v>
      </c>
      <c r="AA1" s="395">
        <v>2021</v>
      </c>
      <c r="AB1" s="395">
        <v>2022</v>
      </c>
      <c r="AC1" s="395">
        <v>2022</v>
      </c>
      <c r="AD1" s="395">
        <v>2022</v>
      </c>
      <c r="AE1" s="395">
        <v>2022</v>
      </c>
      <c r="AF1" s="395">
        <v>2022</v>
      </c>
      <c r="AG1" s="395">
        <v>2022</v>
      </c>
      <c r="AH1" s="395">
        <v>2022</v>
      </c>
      <c r="AI1" s="395">
        <v>2022</v>
      </c>
      <c r="AJ1" s="395">
        <v>2022</v>
      </c>
      <c r="AK1" s="395">
        <v>2022</v>
      </c>
      <c r="AL1" s="395">
        <v>2022</v>
      </c>
      <c r="AM1" s="395">
        <v>2022</v>
      </c>
      <c r="AN1" s="395">
        <v>2022</v>
      </c>
      <c r="AO1" s="395">
        <v>2023</v>
      </c>
      <c r="AP1" s="395">
        <v>2023</v>
      </c>
      <c r="AQ1" s="395">
        <v>2023</v>
      </c>
      <c r="AR1" s="395">
        <v>2023</v>
      </c>
      <c r="AS1" s="395">
        <v>2023</v>
      </c>
      <c r="AT1" s="395">
        <v>2023</v>
      </c>
      <c r="AU1" s="395">
        <v>2023</v>
      </c>
      <c r="AV1" s="395">
        <v>2023</v>
      </c>
      <c r="AW1" s="395">
        <v>2023</v>
      </c>
      <c r="AX1" s="395">
        <v>2023</v>
      </c>
      <c r="AY1" s="395">
        <v>2023</v>
      </c>
      <c r="AZ1" s="395">
        <v>2023</v>
      </c>
      <c r="BA1" s="395">
        <v>2023</v>
      </c>
      <c r="BB1" s="395">
        <v>2024</v>
      </c>
      <c r="BC1" s="395">
        <v>2024</v>
      </c>
      <c r="BD1" s="395">
        <v>2024</v>
      </c>
      <c r="BE1" s="395">
        <v>2024</v>
      </c>
      <c r="BF1" s="395">
        <v>2024</v>
      </c>
      <c r="BG1" s="395">
        <v>2024</v>
      </c>
      <c r="BH1" s="395">
        <v>2024</v>
      </c>
      <c r="BI1" s="395">
        <v>2024</v>
      </c>
      <c r="BJ1" s="395">
        <v>2024</v>
      </c>
      <c r="BK1" s="395">
        <v>2024</v>
      </c>
      <c r="BL1" s="395">
        <v>2024</v>
      </c>
      <c r="BM1" s="395">
        <v>2024</v>
      </c>
      <c r="BN1" s="395">
        <v>2024</v>
      </c>
      <c r="BO1" s="395">
        <v>2025</v>
      </c>
    </row>
    <row r="2" spans="1:71" s="315" customFormat="1" x14ac:dyDescent="0.25">
      <c r="A2" s="509"/>
      <c r="B2" s="399" t="s">
        <v>420</v>
      </c>
      <c r="C2" s="399" t="s">
        <v>421</v>
      </c>
      <c r="D2" s="399" t="s">
        <v>422</v>
      </c>
      <c r="E2" s="399" t="s">
        <v>423</v>
      </c>
      <c r="F2" s="399" t="s">
        <v>424</v>
      </c>
      <c r="G2" s="399" t="s">
        <v>425</v>
      </c>
      <c r="H2" s="399" t="s">
        <v>426</v>
      </c>
      <c r="I2" s="399" t="s">
        <v>427</v>
      </c>
      <c r="J2" s="399" t="s">
        <v>428</v>
      </c>
      <c r="K2" s="399" t="s">
        <v>429</v>
      </c>
      <c r="L2" s="399" t="s">
        <v>430</v>
      </c>
      <c r="M2" s="399" t="s">
        <v>431</v>
      </c>
      <c r="N2" s="399" t="s">
        <v>343</v>
      </c>
      <c r="O2" s="399" t="s">
        <v>420</v>
      </c>
      <c r="P2" s="399" t="s">
        <v>421</v>
      </c>
      <c r="Q2" s="399" t="s">
        <v>422</v>
      </c>
      <c r="R2" s="399" t="s">
        <v>423</v>
      </c>
      <c r="S2" s="399" t="s">
        <v>424</v>
      </c>
      <c r="T2" s="399" t="s">
        <v>425</v>
      </c>
      <c r="U2" s="399" t="s">
        <v>426</v>
      </c>
      <c r="V2" s="399" t="s">
        <v>427</v>
      </c>
      <c r="W2" s="399" t="s">
        <v>428</v>
      </c>
      <c r="X2" s="399" t="s">
        <v>429</v>
      </c>
      <c r="Y2" s="399" t="s">
        <v>430</v>
      </c>
      <c r="Z2" s="399" t="s">
        <v>431</v>
      </c>
      <c r="AA2" s="399" t="s">
        <v>343</v>
      </c>
      <c r="AB2" s="399" t="s">
        <v>420</v>
      </c>
      <c r="AC2" s="399" t="s">
        <v>421</v>
      </c>
      <c r="AD2" s="399" t="s">
        <v>422</v>
      </c>
      <c r="AE2" s="399" t="s">
        <v>423</v>
      </c>
      <c r="AF2" s="399" t="s">
        <v>424</v>
      </c>
      <c r="AG2" s="399" t="s">
        <v>425</v>
      </c>
      <c r="AH2" s="399" t="s">
        <v>426</v>
      </c>
      <c r="AI2" s="399" t="s">
        <v>427</v>
      </c>
      <c r="AJ2" s="399" t="s">
        <v>428</v>
      </c>
      <c r="AK2" s="399" t="s">
        <v>429</v>
      </c>
      <c r="AL2" s="399" t="s">
        <v>430</v>
      </c>
      <c r="AM2" s="399" t="s">
        <v>431</v>
      </c>
      <c r="AN2" s="399" t="s">
        <v>343</v>
      </c>
      <c r="AO2" s="399" t="s">
        <v>420</v>
      </c>
      <c r="AP2" s="399" t="s">
        <v>421</v>
      </c>
      <c r="AQ2" s="399" t="s">
        <v>422</v>
      </c>
      <c r="AR2" s="399" t="s">
        <v>423</v>
      </c>
      <c r="AS2" s="399" t="s">
        <v>424</v>
      </c>
      <c r="AT2" s="399" t="s">
        <v>425</v>
      </c>
      <c r="AU2" s="399" t="s">
        <v>426</v>
      </c>
      <c r="AV2" s="399" t="s">
        <v>427</v>
      </c>
      <c r="AW2" s="399" t="s">
        <v>428</v>
      </c>
      <c r="AX2" s="399" t="s">
        <v>429</v>
      </c>
      <c r="AY2" s="399" t="s">
        <v>430</v>
      </c>
      <c r="AZ2" s="399" t="s">
        <v>431</v>
      </c>
      <c r="BA2" s="399" t="s">
        <v>343</v>
      </c>
      <c r="BB2" s="399" t="s">
        <v>420</v>
      </c>
      <c r="BC2" s="399" t="s">
        <v>421</v>
      </c>
      <c r="BD2" s="399" t="s">
        <v>422</v>
      </c>
      <c r="BE2" s="399" t="s">
        <v>423</v>
      </c>
      <c r="BF2" s="399" t="s">
        <v>424</v>
      </c>
      <c r="BG2" s="399" t="s">
        <v>425</v>
      </c>
      <c r="BH2" s="399" t="s">
        <v>426</v>
      </c>
      <c r="BI2" s="399" t="s">
        <v>427</v>
      </c>
      <c r="BJ2" s="399" t="s">
        <v>428</v>
      </c>
      <c r="BK2" s="399" t="s">
        <v>429</v>
      </c>
      <c r="BL2" s="399" t="s">
        <v>430</v>
      </c>
      <c r="BM2" s="399" t="s">
        <v>431</v>
      </c>
      <c r="BN2" s="399" t="s">
        <v>343</v>
      </c>
      <c r="BO2" s="399" t="s">
        <v>343</v>
      </c>
    </row>
    <row r="3" spans="1:71" x14ac:dyDescent="0.25">
      <c r="A3" s="401" t="s">
        <v>438</v>
      </c>
      <c r="B3" s="396"/>
      <c r="C3" s="396"/>
      <c r="D3" s="396"/>
      <c r="E3" s="396"/>
      <c r="F3" s="396"/>
      <c r="G3" s="396"/>
      <c r="H3" s="396"/>
      <c r="I3" s="396"/>
      <c r="J3" s="396"/>
      <c r="K3" s="396"/>
      <c r="L3" s="396"/>
      <c r="M3" s="396"/>
      <c r="N3" s="396"/>
      <c r="O3" s="396"/>
      <c r="P3" s="396"/>
      <c r="Q3" s="396"/>
      <c r="R3" s="396"/>
      <c r="S3" s="396"/>
      <c r="T3" s="396"/>
      <c r="U3" s="396"/>
      <c r="V3" s="396"/>
      <c r="W3" s="396"/>
      <c r="X3" s="396"/>
      <c r="Y3" s="396"/>
      <c r="Z3" s="396"/>
      <c r="AA3" s="396"/>
      <c r="AB3" s="396"/>
      <c r="AC3" s="396"/>
      <c r="AD3" s="396"/>
      <c r="AE3" s="396"/>
      <c r="AF3" s="396"/>
      <c r="AG3" s="396"/>
      <c r="AH3" s="396"/>
      <c r="AI3" s="396"/>
      <c r="AJ3" s="396"/>
      <c r="AK3" s="396"/>
      <c r="AL3" s="396"/>
      <c r="AM3" s="396"/>
      <c r="AN3" s="396"/>
      <c r="AO3" s="396"/>
      <c r="AP3" s="396"/>
      <c r="AQ3" s="396"/>
      <c r="AR3" s="396"/>
      <c r="AS3" s="396"/>
      <c r="AT3" s="396"/>
      <c r="AU3" s="396"/>
      <c r="AV3" s="396"/>
      <c r="AW3" s="396"/>
      <c r="AX3" s="396"/>
      <c r="AY3" s="396"/>
      <c r="AZ3" s="396"/>
      <c r="BA3" s="396"/>
      <c r="BB3" s="396"/>
      <c r="BC3" s="396"/>
      <c r="BD3" s="396"/>
      <c r="BE3" s="396"/>
      <c r="BF3" s="396"/>
      <c r="BG3" s="396"/>
      <c r="BH3" s="396"/>
      <c r="BI3" s="396"/>
      <c r="BJ3" s="396"/>
      <c r="BK3" s="396"/>
      <c r="BL3" s="396"/>
      <c r="BM3" s="396"/>
      <c r="BN3" s="396"/>
      <c r="BO3" s="396"/>
    </row>
    <row r="4" spans="1:71" x14ac:dyDescent="0.25">
      <c r="A4" s="392" t="s">
        <v>137</v>
      </c>
      <c r="B4" s="396">
        <v>0</v>
      </c>
      <c r="C4" s="396">
        <v>0</v>
      </c>
      <c r="D4" s="396">
        <v>0</v>
      </c>
      <c r="E4" s="396">
        <v>0</v>
      </c>
      <c r="F4" s="396">
        <v>0</v>
      </c>
      <c r="G4" s="396">
        <v>0</v>
      </c>
      <c r="H4" s="396">
        <v>0</v>
      </c>
      <c r="I4" s="396">
        <v>0</v>
      </c>
      <c r="J4" s="396">
        <v>0</v>
      </c>
      <c r="K4" s="396">
        <v>0</v>
      </c>
      <c r="L4" s="396">
        <v>0</v>
      </c>
      <c r="M4" s="396">
        <v>0</v>
      </c>
      <c r="N4" s="396">
        <f>SUM(B4:M4)</f>
        <v>0</v>
      </c>
      <c r="O4" s="396">
        <v>0</v>
      </c>
      <c r="P4" s="396">
        <v>0</v>
      </c>
      <c r="Q4" s="396">
        <v>0</v>
      </c>
      <c r="R4" s="396">
        <v>0</v>
      </c>
      <c r="S4" s="396">
        <v>0</v>
      </c>
      <c r="T4" s="396">
        <v>0</v>
      </c>
      <c r="U4" s="396">
        <v>0</v>
      </c>
      <c r="V4" s="396">
        <v>0</v>
      </c>
      <c r="W4" s="396">
        <v>0</v>
      </c>
      <c r="X4" s="396">
        <v>0</v>
      </c>
      <c r="Y4" s="396">
        <v>0</v>
      </c>
      <c r="Z4" s="396">
        <v>0</v>
      </c>
      <c r="AA4" s="396">
        <f>SUM(O4:Z4)</f>
        <v>0</v>
      </c>
      <c r="AB4" s="396">
        <v>0</v>
      </c>
      <c r="AC4" s="396">
        <v>0</v>
      </c>
      <c r="AD4" s="396">
        <v>0</v>
      </c>
      <c r="AE4" s="396">
        <v>0</v>
      </c>
      <c r="AF4" s="396">
        <v>0</v>
      </c>
      <c r="AG4" s="396">
        <v>0</v>
      </c>
      <c r="AH4" s="396">
        <v>0</v>
      </c>
      <c r="AI4" s="396">
        <v>0</v>
      </c>
      <c r="AJ4" s="396">
        <v>0</v>
      </c>
      <c r="AK4" s="396">
        <v>0</v>
      </c>
      <c r="AL4" s="396">
        <v>0</v>
      </c>
      <c r="AM4" s="396">
        <v>0</v>
      </c>
      <c r="AN4" s="396">
        <f>SUM(AB4:AM4)</f>
        <v>0</v>
      </c>
      <c r="AO4" s="396">
        <v>0</v>
      </c>
      <c r="AP4" s="396">
        <v>0</v>
      </c>
      <c r="AQ4" s="396">
        <v>0</v>
      </c>
      <c r="AR4" s="396">
        <v>0</v>
      </c>
      <c r="AS4" s="396">
        <v>0</v>
      </c>
      <c r="AT4" s="396">
        <v>0</v>
      </c>
      <c r="AU4" s="396">
        <v>0</v>
      </c>
      <c r="AV4" s="396">
        <v>0</v>
      </c>
      <c r="AW4" s="396">
        <v>0</v>
      </c>
      <c r="AX4" s="396">
        <v>0</v>
      </c>
      <c r="AY4" s="396">
        <v>0</v>
      </c>
      <c r="AZ4" s="396">
        <v>0</v>
      </c>
      <c r="BA4" s="396">
        <f>SUM(AO4:AZ4)</f>
        <v>0</v>
      </c>
      <c r="BB4" s="396">
        <v>0</v>
      </c>
      <c r="BC4" s="396">
        <v>0</v>
      </c>
      <c r="BD4" s="396">
        <v>0</v>
      </c>
      <c r="BE4" s="396">
        <v>0</v>
      </c>
      <c r="BF4" s="396">
        <v>0</v>
      </c>
      <c r="BG4" s="396">
        <v>0</v>
      </c>
      <c r="BH4" s="396">
        <v>0</v>
      </c>
      <c r="BI4" s="396">
        <v>0</v>
      </c>
      <c r="BJ4" s="396">
        <v>0</v>
      </c>
      <c r="BK4" s="396">
        <v>0</v>
      </c>
      <c r="BL4" s="396">
        <v>0</v>
      </c>
      <c r="BM4" s="396">
        <v>0</v>
      </c>
      <c r="BN4" s="396">
        <f>SUM(BB4:BM4)</f>
        <v>0</v>
      </c>
      <c r="BO4" s="396"/>
    </row>
    <row r="5" spans="1:71" x14ac:dyDescent="0.25">
      <c r="A5" s="392" t="s">
        <v>349</v>
      </c>
      <c r="B5" s="396">
        <f>Allocation!C4</f>
        <v>0</v>
      </c>
      <c r="C5" s="396">
        <f>Allocation!D4</f>
        <v>0</v>
      </c>
      <c r="D5" s="396">
        <f>Allocation!E4</f>
        <v>0</v>
      </c>
      <c r="E5" s="396">
        <f>Allocation!F4</f>
        <v>0</v>
      </c>
      <c r="F5" s="396">
        <f>Allocation!G4</f>
        <v>0</v>
      </c>
      <c r="G5" s="396">
        <f>Allocation!H4</f>
        <v>0</v>
      </c>
      <c r="H5" s="396">
        <f>Allocation!I4</f>
        <v>0</v>
      </c>
      <c r="I5" s="396">
        <f>Allocation!J4</f>
        <v>7355.2852188498155</v>
      </c>
      <c r="J5" s="396">
        <f>Allocation!K4</f>
        <v>7736.269487458153</v>
      </c>
      <c r="K5" s="396">
        <f>Allocation!L4</f>
        <v>7777.6154874581525</v>
      </c>
      <c r="L5" s="396">
        <f>Allocation!M4</f>
        <v>11442.731486384928</v>
      </c>
      <c r="M5" s="396">
        <f>Allocation!N4</f>
        <v>17257.701565359999</v>
      </c>
      <c r="N5" s="396">
        <f t="shared" ref="N5:N8" si="0">SUM(B5:M5)</f>
        <v>51569.60324551104</v>
      </c>
      <c r="O5" s="396">
        <f>Allocation!P4-O4</f>
        <v>17528.807120917405</v>
      </c>
      <c r="P5" s="396">
        <f>Allocation!Q4-P4</f>
        <v>17421.018051300834</v>
      </c>
      <c r="Q5" s="396">
        <f>Allocation!R4-Q4</f>
        <v>17400.528297452078</v>
      </c>
      <c r="R5" s="396">
        <f>Allocation!S4-R4</f>
        <v>17629.355605839999</v>
      </c>
      <c r="S5" s="396">
        <f>Allocation!T4-S4</f>
        <v>17615.855605839999</v>
      </c>
      <c r="T5" s="396">
        <f>Allocation!U4-T4</f>
        <v>17557.892605839999</v>
      </c>
      <c r="U5" s="396">
        <f>Allocation!V4-U4</f>
        <v>17573.585605839999</v>
      </c>
      <c r="V5" s="396">
        <f>Allocation!W4-V4</f>
        <v>17546.948282464276</v>
      </c>
      <c r="W5" s="396">
        <f>Allocation!X4-W4</f>
        <v>17484.540991069542</v>
      </c>
      <c r="X5" s="396">
        <f>Allocation!Y4-X4</f>
        <v>17441.257316110008</v>
      </c>
      <c r="Y5" s="396">
        <f>Allocation!Z4-Y4</f>
        <v>17254.033481205057</v>
      </c>
      <c r="Z5" s="396">
        <f>Allocation!AA4-Z4</f>
        <v>18010.297168460282</v>
      </c>
      <c r="AA5" s="396">
        <f t="shared" ref="AA5:AA8" si="1">SUM(O5:Z5)</f>
        <v>210464.12013233948</v>
      </c>
      <c r="AB5" s="396">
        <f>Allocation!AC4-AB4</f>
        <v>19058.544909993343</v>
      </c>
      <c r="AC5" s="396">
        <f>Allocation!AD4-AC4</f>
        <v>19030.452515331581</v>
      </c>
      <c r="AD5" s="396">
        <f>Allocation!AE4-AD4</f>
        <v>19097.112962590902</v>
      </c>
      <c r="AE5" s="396">
        <f>Allocation!AF4-AE4</f>
        <v>19220.426036320205</v>
      </c>
      <c r="AF5" s="396">
        <f>Allocation!AG4-AF4</f>
        <v>19322.396321471726</v>
      </c>
      <c r="AG5" s="396">
        <f>Allocation!AH4-AG4</f>
        <v>19331.843959721304</v>
      </c>
      <c r="AH5" s="396">
        <f>Allocation!AI4-AH4</f>
        <v>19364.045705107357</v>
      </c>
      <c r="AI5" s="396">
        <f>Allocation!AJ4-AI4</f>
        <v>19249.301338361238</v>
      </c>
      <c r="AJ5" s="396">
        <f>Allocation!AK4-AJ4</f>
        <v>19241.040262745904</v>
      </c>
      <c r="AK5" s="396">
        <f>Allocation!AL4-AK4</f>
        <v>18851.996883017935</v>
      </c>
      <c r="AL5" s="396">
        <f>Allocation!AM4-AL4</f>
        <v>18754.835519456967</v>
      </c>
      <c r="AM5" s="396">
        <f>Allocation!AN4-AM4</f>
        <v>18773.443099836848</v>
      </c>
      <c r="AN5" s="396">
        <f t="shared" ref="AN5:AN8" si="2">SUM(AB5:AM5)</f>
        <v>229295.43951395529</v>
      </c>
      <c r="AO5" s="396">
        <f>Allocation!AP4-AO4</f>
        <v>22765.84943395924</v>
      </c>
      <c r="AP5" s="396">
        <f>Allocation!AQ4-AP4</f>
        <v>19365.798420489547</v>
      </c>
      <c r="AQ5" s="396">
        <f>Allocation!AR4-AQ4</f>
        <v>19450.920458538178</v>
      </c>
      <c r="AR5" s="396">
        <f>Allocation!AS4-AR4</f>
        <v>19702.565676076611</v>
      </c>
      <c r="AS5" s="396">
        <f>Allocation!AT4-AS4</f>
        <v>19771.445382104375</v>
      </c>
      <c r="AT5" s="396">
        <f>Allocation!AU4-AT4</f>
        <v>19920.179935861393</v>
      </c>
      <c r="AU5" s="396">
        <f>Allocation!AV4-AU4</f>
        <v>20004.360792618896</v>
      </c>
      <c r="AV5" s="396">
        <f>Allocation!AW4-AV4</f>
        <v>19835.325046533333</v>
      </c>
      <c r="AW5" s="396">
        <f>Allocation!AX4-AW4</f>
        <v>19887.9085247892</v>
      </c>
      <c r="AX5" s="396">
        <f>Allocation!AY4-AX4</f>
        <v>19566.918295682532</v>
      </c>
      <c r="AY5" s="396">
        <f>Allocation!AZ4-AY4</f>
        <v>18977.740129428137</v>
      </c>
      <c r="AZ5" s="396">
        <f>Allocation!BA4-AZ4</f>
        <v>19257.636329056924</v>
      </c>
      <c r="BA5" s="396">
        <f t="shared" ref="BA5:BA8" si="3">SUM(AO5:AZ5)</f>
        <v>238506.64842513838</v>
      </c>
      <c r="BB5" s="396">
        <f>Allocation!BC4-BB4</f>
        <v>19285.872197785102</v>
      </c>
      <c r="BC5" s="396">
        <f>Allocation!BD4-BC4</f>
        <v>19224.199104004409</v>
      </c>
      <c r="BD5" s="396">
        <f>Allocation!BE4-BD4</f>
        <v>19313.135936784409</v>
      </c>
      <c r="BE5" s="396">
        <f>Allocation!BF4-BE4+'S&amp;TVA 2024'!E40*(1-Allocation!BB14)</f>
        <v>28585.626901796379</v>
      </c>
      <c r="BF5" s="396">
        <f>Allocation!BG4-BF4</f>
        <v>20404.087681344678</v>
      </c>
      <c r="BG5" s="396">
        <f>Allocation!BH4-BG4</f>
        <v>20428.104344771542</v>
      </c>
      <c r="BH5" s="396">
        <f>Allocation!BI4-BH4</f>
        <v>20363.481786382683</v>
      </c>
      <c r="BI5" s="396">
        <f>Allocation!BJ4-BI4</f>
        <v>20401.952667090827</v>
      </c>
      <c r="BJ5" s="396">
        <f>Allocation!BK4-BJ4</f>
        <v>20384.591592684978</v>
      </c>
      <c r="BK5" s="396">
        <f>Allocation!BL4-BK4</f>
        <v>19697.819195694159</v>
      </c>
      <c r="BL5" s="396">
        <f>Allocation!BM4-BL4</f>
        <v>19776.442342666811</v>
      </c>
      <c r="BM5" s="396">
        <f>Allocation!BN4-BM4</f>
        <v>19673.206201032615</v>
      </c>
      <c r="BN5" s="396">
        <f t="shared" ref="BN5:BN8" si="4">SUM(BB5:BM5)</f>
        <v>247538.51995203862</v>
      </c>
      <c r="BO5" s="396"/>
    </row>
    <row r="6" spans="1:71" x14ac:dyDescent="0.25">
      <c r="A6" s="392" t="s">
        <v>473</v>
      </c>
      <c r="B6" s="396">
        <f>Allocation!C9</f>
        <v>0</v>
      </c>
      <c r="C6" s="396">
        <f>Allocation!D9</f>
        <v>0</v>
      </c>
      <c r="D6" s="396">
        <f>Allocation!E9</f>
        <v>0</v>
      </c>
      <c r="E6" s="396">
        <f>Allocation!F9</f>
        <v>0</v>
      </c>
      <c r="F6" s="396">
        <f>Allocation!G9</f>
        <v>0</v>
      </c>
      <c r="G6" s="396">
        <f>Allocation!H9</f>
        <v>0</v>
      </c>
      <c r="H6" s="396">
        <f>Allocation!I9</f>
        <v>0</v>
      </c>
      <c r="I6" s="396">
        <f>Allocation!J9</f>
        <v>1369.5314354895681</v>
      </c>
      <c r="J6" s="396">
        <f>Allocation!K9</f>
        <v>1856.0300691004481</v>
      </c>
      <c r="K6" s="396">
        <f>Allocation!L9</f>
        <v>2734.9553370883841</v>
      </c>
      <c r="L6" s="396">
        <f>Allocation!M9</f>
        <v>2712.4451136227394</v>
      </c>
      <c r="M6" s="396">
        <f>Allocation!N9</f>
        <v>2945.3546527092103</v>
      </c>
      <c r="N6" s="396">
        <f t="shared" si="0"/>
        <v>11618.316608010351</v>
      </c>
      <c r="O6" s="396">
        <f>Allocation!P9</f>
        <v>3076.936240635725</v>
      </c>
      <c r="P6" s="396">
        <f>Allocation!Q9</f>
        <v>2942.5425479787</v>
      </c>
      <c r="Q6" s="396">
        <f>Allocation!R9</f>
        <v>3119.7019587775617</v>
      </c>
      <c r="R6" s="396">
        <f>Allocation!S9</f>
        <v>2857.0036055103296</v>
      </c>
      <c r="S6" s="396">
        <f>Allocation!T9</f>
        <v>2624.0704445272481</v>
      </c>
      <c r="T6" s="396">
        <f>Allocation!U9</f>
        <v>1928.895998859434</v>
      </c>
      <c r="U6" s="396">
        <f>Allocation!V9</f>
        <v>2096.8584967294055</v>
      </c>
      <c r="V6" s="396">
        <f>Allocation!W9</f>
        <v>1997.2268903403876</v>
      </c>
      <c r="W6" s="396">
        <f>Allocation!X9</f>
        <v>1735.9719817908961</v>
      </c>
      <c r="X6" s="396">
        <f>Allocation!Y9</f>
        <v>2690.7909911740867</v>
      </c>
      <c r="Y6" s="396">
        <f>Allocation!Z9</f>
        <v>2955.6997841607549</v>
      </c>
      <c r="Z6" s="396">
        <f>Allocation!AA9</f>
        <v>3219.2711503351939</v>
      </c>
      <c r="AA6" s="396">
        <f t="shared" si="1"/>
        <v>31244.970090819723</v>
      </c>
      <c r="AB6" s="396">
        <f>Allocation!AC9</f>
        <v>3638.7378193034979</v>
      </c>
      <c r="AC6" s="396">
        <f>Allocation!AD9</f>
        <v>3110.0373848563399</v>
      </c>
      <c r="AD6" s="396">
        <f>Allocation!AE9</f>
        <v>3267.7552429741413</v>
      </c>
      <c r="AE6" s="396">
        <f>Allocation!AF9</f>
        <v>2965.3098487397574</v>
      </c>
      <c r="AF6" s="396">
        <f>Allocation!AG9</f>
        <v>2819.4310523904005</v>
      </c>
      <c r="AG6" s="396">
        <f>Allocation!AH9</f>
        <v>2048.8400565695997</v>
      </c>
      <c r="AH6" s="396">
        <f>Allocation!AI9</f>
        <v>2031.2053864896002</v>
      </c>
      <c r="AI6" s="396">
        <f>Allocation!AJ9</f>
        <v>2120.1722970432002</v>
      </c>
      <c r="AJ6" s="396">
        <f>Allocation!AK9</f>
        <v>1903.9271551871998</v>
      </c>
      <c r="AK6" s="396">
        <f>Allocation!AL9</f>
        <v>2561.48</v>
      </c>
      <c r="AL6" s="396">
        <f>Allocation!AM9</f>
        <v>2772.5669166527996</v>
      </c>
      <c r="AM6" s="396">
        <f>Allocation!AN9</f>
        <v>2957.9072991936009</v>
      </c>
      <c r="AN6" s="396">
        <f t="shared" si="2"/>
        <v>32197.370459400136</v>
      </c>
      <c r="AO6" s="396">
        <f>Allocation!AP9</f>
        <v>2948.7813574272</v>
      </c>
      <c r="AP6" s="396">
        <f>Allocation!AQ9</f>
        <v>2720.015599814401</v>
      </c>
      <c r="AQ6" s="396">
        <f>Allocation!AR9</f>
        <v>2993.7938528064005</v>
      </c>
      <c r="AR6" s="396">
        <f>Allocation!AS9</f>
        <v>2767.4585534775997</v>
      </c>
      <c r="AS6" s="396">
        <f>Allocation!AT9</f>
        <v>2348.2764051704007</v>
      </c>
      <c r="AT6" s="396">
        <f>Allocation!AU9</f>
        <v>1990.4972021344001</v>
      </c>
      <c r="AU6" s="396">
        <f>Allocation!AV9</f>
        <v>2206.7097297680007</v>
      </c>
      <c r="AV6" s="396">
        <f>Allocation!AW9</f>
        <v>2296.2317808176008</v>
      </c>
      <c r="AW6" s="396">
        <f>Allocation!AX9</f>
        <v>2146.7193612392007</v>
      </c>
      <c r="AX6" s="396">
        <f>Allocation!AY9</f>
        <v>2561.6637793192003</v>
      </c>
      <c r="AY6" s="396">
        <f>Allocation!AZ9</f>
        <v>2783.7914720616</v>
      </c>
      <c r="AZ6" s="396">
        <f>Allocation!BA9</f>
        <v>2975.7694799584001</v>
      </c>
      <c r="BA6" s="396">
        <f t="shared" si="3"/>
        <v>30739.708573994405</v>
      </c>
      <c r="BB6" s="396">
        <f>Allocation!BC9</f>
        <v>3201.4286145567999</v>
      </c>
      <c r="BC6" s="396">
        <f>Allocation!BD9</f>
        <v>2602.010502524</v>
      </c>
      <c r="BD6" s="396">
        <f>Allocation!BE9</f>
        <v>2668.5600951798133</v>
      </c>
      <c r="BE6" s="396">
        <f>Allocation!BF9</f>
        <v>2490.6817980136007</v>
      </c>
      <c r="BF6" s="396">
        <f>Allocation!BG9</f>
        <v>2690.5614070632005</v>
      </c>
      <c r="BG6" s="396">
        <f>Allocation!BH9</f>
        <v>1881.2873627376005</v>
      </c>
      <c r="BH6" s="396">
        <f>Allocation!BI9</f>
        <v>2234.5816481400002</v>
      </c>
      <c r="BI6" s="396">
        <f>Allocation!BJ9</f>
        <v>2297.4891413592004</v>
      </c>
      <c r="BJ6" s="396">
        <f>Allocation!BK9</f>
        <v>2216.8723958472001</v>
      </c>
      <c r="BK6" s="396">
        <f>Allocation!BL9</f>
        <v>2632.9517189951998</v>
      </c>
      <c r="BL6" s="396">
        <f>Allocation!BM9</f>
        <v>2607.7534794144003</v>
      </c>
      <c r="BM6" s="396">
        <f>Allocation!BN9</f>
        <v>3009.1631980511993</v>
      </c>
      <c r="BN6" s="396">
        <f t="shared" si="4"/>
        <v>30533.341361882216</v>
      </c>
      <c r="BO6" s="396"/>
    </row>
    <row r="7" spans="1:71" x14ac:dyDescent="0.25">
      <c r="A7" s="392" t="s">
        <v>350</v>
      </c>
      <c r="B7" s="396">
        <v>0</v>
      </c>
      <c r="C7" s="396">
        <v>0</v>
      </c>
      <c r="D7" s="396">
        <v>0</v>
      </c>
      <c r="E7" s="396">
        <v>0</v>
      </c>
      <c r="F7" s="396">
        <v>0</v>
      </c>
      <c r="G7" s="396">
        <v>0</v>
      </c>
      <c r="H7" s="396">
        <v>0</v>
      </c>
      <c r="I7" s="396">
        <v>0</v>
      </c>
      <c r="J7" s="396">
        <v>0</v>
      </c>
      <c r="K7" s="396">
        <v>0</v>
      </c>
      <c r="L7" s="396">
        <v>0</v>
      </c>
      <c r="M7" s="396">
        <v>0</v>
      </c>
      <c r="N7" s="396">
        <f t="shared" si="0"/>
        <v>0</v>
      </c>
      <c r="O7" s="396">
        <v>0</v>
      </c>
      <c r="P7" s="396">
        <v>0</v>
      </c>
      <c r="Q7" s="396">
        <v>0</v>
      </c>
      <c r="R7" s="396">
        <v>0</v>
      </c>
      <c r="S7" s="396">
        <v>0</v>
      </c>
      <c r="T7" s="396">
        <v>0</v>
      </c>
      <c r="U7" s="396">
        <v>0</v>
      </c>
      <c r="V7" s="396">
        <v>0</v>
      </c>
      <c r="W7" s="396">
        <v>0</v>
      </c>
      <c r="X7" s="396">
        <v>0</v>
      </c>
      <c r="Y7" s="396">
        <v>0</v>
      </c>
      <c r="Z7" s="396">
        <v>0</v>
      </c>
      <c r="AA7" s="396">
        <f t="shared" si="1"/>
        <v>0</v>
      </c>
      <c r="AB7" s="396">
        <v>0</v>
      </c>
      <c r="AC7" s="396">
        <v>0</v>
      </c>
      <c r="AD7" s="396">
        <v>0</v>
      </c>
      <c r="AE7" s="396">
        <v>0</v>
      </c>
      <c r="AF7" s="396">
        <v>0</v>
      </c>
      <c r="AG7" s="396">
        <v>0</v>
      </c>
      <c r="AH7" s="396">
        <v>0</v>
      </c>
      <c r="AI7" s="396">
        <v>0</v>
      </c>
      <c r="AJ7" s="396">
        <v>0</v>
      </c>
      <c r="AK7" s="396">
        <v>0</v>
      </c>
      <c r="AL7" s="396">
        <v>0</v>
      </c>
      <c r="AM7" s="396">
        <v>0</v>
      </c>
      <c r="AN7" s="396">
        <f t="shared" si="2"/>
        <v>0</v>
      </c>
      <c r="AO7" s="396">
        <v>0</v>
      </c>
      <c r="AP7" s="396">
        <v>0</v>
      </c>
      <c r="AQ7" s="396">
        <v>0</v>
      </c>
      <c r="AR7" s="396">
        <v>0</v>
      </c>
      <c r="AS7" s="396">
        <v>0</v>
      </c>
      <c r="AT7" s="396">
        <v>0</v>
      </c>
      <c r="AU7" s="396">
        <v>0</v>
      </c>
      <c r="AV7" s="396">
        <v>0</v>
      </c>
      <c r="AW7" s="396">
        <v>0</v>
      </c>
      <c r="AX7" s="396">
        <v>0</v>
      </c>
      <c r="AY7" s="396">
        <v>0</v>
      </c>
      <c r="AZ7" s="396">
        <v>0</v>
      </c>
      <c r="BA7" s="396">
        <f t="shared" si="3"/>
        <v>0</v>
      </c>
      <c r="BB7" s="396">
        <v>0</v>
      </c>
      <c r="BC7" s="396">
        <v>0</v>
      </c>
      <c r="BD7" s="396">
        <v>0</v>
      </c>
      <c r="BE7" s="396">
        <v>0</v>
      </c>
      <c r="BF7" s="396">
        <v>0</v>
      </c>
      <c r="BG7" s="396">
        <v>0</v>
      </c>
      <c r="BH7" s="396">
        <v>0</v>
      </c>
      <c r="BI7" s="396">
        <v>0</v>
      </c>
      <c r="BJ7" s="396">
        <v>0</v>
      </c>
      <c r="BK7" s="396">
        <v>0</v>
      </c>
      <c r="BL7" s="396">
        <v>0</v>
      </c>
      <c r="BM7" s="396">
        <v>0</v>
      </c>
      <c r="BN7" s="396">
        <f t="shared" si="4"/>
        <v>0</v>
      </c>
      <c r="BO7" s="396"/>
    </row>
    <row r="8" spans="1:71" x14ac:dyDescent="0.25">
      <c r="A8" s="392" t="s">
        <v>352</v>
      </c>
      <c r="B8" s="396">
        <v>0</v>
      </c>
      <c r="C8" s="396">
        <v>0</v>
      </c>
      <c r="D8" s="396">
        <v>0</v>
      </c>
      <c r="E8" s="396">
        <v>0</v>
      </c>
      <c r="F8" s="396">
        <v>0</v>
      </c>
      <c r="G8" s="396">
        <v>0</v>
      </c>
      <c r="H8" s="396">
        <v>0</v>
      </c>
      <c r="I8" s="396">
        <v>0</v>
      </c>
      <c r="J8" s="396">
        <v>0</v>
      </c>
      <c r="K8" s="396">
        <v>0</v>
      </c>
      <c r="L8" s="396">
        <v>0</v>
      </c>
      <c r="M8" s="396">
        <v>0</v>
      </c>
      <c r="N8" s="396">
        <f t="shared" si="0"/>
        <v>0</v>
      </c>
      <c r="O8" s="396">
        <v>0</v>
      </c>
      <c r="P8" s="396">
        <v>0</v>
      </c>
      <c r="Q8" s="396">
        <v>0</v>
      </c>
      <c r="R8" s="396">
        <v>0</v>
      </c>
      <c r="S8" s="396">
        <v>0</v>
      </c>
      <c r="T8" s="396">
        <v>0</v>
      </c>
      <c r="U8" s="396">
        <v>0</v>
      </c>
      <c r="V8" s="396">
        <v>0</v>
      </c>
      <c r="W8" s="396">
        <v>0</v>
      </c>
      <c r="X8" s="396">
        <v>0</v>
      </c>
      <c r="Y8" s="396">
        <v>0</v>
      </c>
      <c r="Z8" s="396">
        <v>0</v>
      </c>
      <c r="AA8" s="396">
        <f t="shared" si="1"/>
        <v>0</v>
      </c>
      <c r="AB8" s="396">
        <v>0</v>
      </c>
      <c r="AC8" s="396">
        <v>0</v>
      </c>
      <c r="AD8" s="396">
        <v>0</v>
      </c>
      <c r="AE8" s="396">
        <v>0</v>
      </c>
      <c r="AF8" s="396">
        <v>0</v>
      </c>
      <c r="AG8" s="396">
        <v>0</v>
      </c>
      <c r="AH8" s="396">
        <v>0</v>
      </c>
      <c r="AI8" s="396">
        <v>0</v>
      </c>
      <c r="AJ8" s="396">
        <v>0</v>
      </c>
      <c r="AK8" s="396">
        <v>0</v>
      </c>
      <c r="AL8" s="396">
        <v>0</v>
      </c>
      <c r="AM8" s="396">
        <v>0</v>
      </c>
      <c r="AN8" s="396">
        <f t="shared" si="2"/>
        <v>0</v>
      </c>
      <c r="AO8" s="396">
        <v>0</v>
      </c>
      <c r="AP8" s="396">
        <v>0</v>
      </c>
      <c r="AQ8" s="396">
        <v>0</v>
      </c>
      <c r="AR8" s="396">
        <v>0</v>
      </c>
      <c r="AS8" s="396">
        <v>0</v>
      </c>
      <c r="AT8" s="396">
        <v>0</v>
      </c>
      <c r="AU8" s="396">
        <v>0</v>
      </c>
      <c r="AV8" s="396">
        <v>0</v>
      </c>
      <c r="AW8" s="396">
        <v>0</v>
      </c>
      <c r="AX8" s="396">
        <v>0</v>
      </c>
      <c r="AY8" s="396">
        <v>0</v>
      </c>
      <c r="AZ8" s="396">
        <v>0</v>
      </c>
      <c r="BA8" s="396">
        <f t="shared" si="3"/>
        <v>0</v>
      </c>
      <c r="BB8" s="396">
        <v>0</v>
      </c>
      <c r="BC8" s="396">
        <v>0</v>
      </c>
      <c r="BD8" s="396">
        <v>0</v>
      </c>
      <c r="BE8" s="396">
        <v>0</v>
      </c>
      <c r="BF8" s="396">
        <v>0</v>
      </c>
      <c r="BG8" s="396">
        <v>0</v>
      </c>
      <c r="BH8" s="396">
        <v>0</v>
      </c>
      <c r="BI8" s="396">
        <v>0</v>
      </c>
      <c r="BJ8" s="396">
        <v>0</v>
      </c>
      <c r="BK8" s="396">
        <v>0</v>
      </c>
      <c r="BL8" s="396">
        <v>0</v>
      </c>
      <c r="BM8" s="396">
        <v>0</v>
      </c>
      <c r="BN8" s="396">
        <f t="shared" si="4"/>
        <v>0</v>
      </c>
      <c r="BO8" s="396"/>
    </row>
    <row r="9" spans="1:71" s="315" customFormat="1" x14ac:dyDescent="0.25">
      <c r="A9" s="392" t="s">
        <v>436</v>
      </c>
      <c r="B9" s="400">
        <f>SUM(B4:B8)</f>
        <v>0</v>
      </c>
      <c r="C9" s="400">
        <f t="shared" ref="C9:BN9" si="5">SUM(C4:C8)</f>
        <v>0</v>
      </c>
      <c r="D9" s="400">
        <f t="shared" si="5"/>
        <v>0</v>
      </c>
      <c r="E9" s="400">
        <f t="shared" si="5"/>
        <v>0</v>
      </c>
      <c r="F9" s="400">
        <f t="shared" si="5"/>
        <v>0</v>
      </c>
      <c r="G9" s="400">
        <f t="shared" si="5"/>
        <v>0</v>
      </c>
      <c r="H9" s="400">
        <f t="shared" si="5"/>
        <v>0</v>
      </c>
      <c r="I9" s="400">
        <f t="shared" si="5"/>
        <v>8724.8166543393836</v>
      </c>
      <c r="J9" s="400">
        <f t="shared" si="5"/>
        <v>9592.2995565586007</v>
      </c>
      <c r="K9" s="400">
        <f t="shared" si="5"/>
        <v>10512.570824546536</v>
      </c>
      <c r="L9" s="400">
        <f t="shared" si="5"/>
        <v>14155.176600007668</v>
      </c>
      <c r="M9" s="400">
        <f t="shared" si="5"/>
        <v>20203.05621806921</v>
      </c>
      <c r="N9" s="400">
        <f t="shared" si="5"/>
        <v>63187.919853521395</v>
      </c>
      <c r="O9" s="400">
        <f t="shared" si="5"/>
        <v>20605.74336155313</v>
      </c>
      <c r="P9" s="400">
        <f t="shared" si="5"/>
        <v>20363.560599279535</v>
      </c>
      <c r="Q9" s="400">
        <f t="shared" si="5"/>
        <v>20520.230256229639</v>
      </c>
      <c r="R9" s="400">
        <f t="shared" si="5"/>
        <v>20486.359211350329</v>
      </c>
      <c r="S9" s="400">
        <f t="shared" si="5"/>
        <v>20239.926050367249</v>
      </c>
      <c r="T9" s="400">
        <f t="shared" si="5"/>
        <v>19486.788604699432</v>
      </c>
      <c r="U9" s="400">
        <f t="shared" si="5"/>
        <v>19670.444102569403</v>
      </c>
      <c r="V9" s="400">
        <f t="shared" si="5"/>
        <v>19544.175172804666</v>
      </c>
      <c r="W9" s="400">
        <f t="shared" si="5"/>
        <v>19220.512972860437</v>
      </c>
      <c r="X9" s="400">
        <f t="shared" si="5"/>
        <v>20132.048307284094</v>
      </c>
      <c r="Y9" s="400">
        <f t="shared" si="5"/>
        <v>20209.733265365812</v>
      </c>
      <c r="Z9" s="400">
        <f t="shared" si="5"/>
        <v>21229.568318795475</v>
      </c>
      <c r="AA9" s="400">
        <f t="shared" si="5"/>
        <v>241709.0902231592</v>
      </c>
      <c r="AB9" s="400">
        <f t="shared" si="5"/>
        <v>22697.28272929684</v>
      </c>
      <c r="AC9" s="400">
        <f t="shared" si="5"/>
        <v>22140.48990018792</v>
      </c>
      <c r="AD9" s="400">
        <f t="shared" si="5"/>
        <v>22364.868205565042</v>
      </c>
      <c r="AE9" s="400">
        <f t="shared" si="5"/>
        <v>22185.735885059963</v>
      </c>
      <c r="AF9" s="400">
        <f t="shared" si="5"/>
        <v>22141.827373862128</v>
      </c>
      <c r="AG9" s="400">
        <f t="shared" si="5"/>
        <v>21380.684016290903</v>
      </c>
      <c r="AH9" s="400">
        <f t="shared" si="5"/>
        <v>21395.251091596958</v>
      </c>
      <c r="AI9" s="400">
        <f t="shared" si="5"/>
        <v>21369.473635404436</v>
      </c>
      <c r="AJ9" s="400">
        <f t="shared" si="5"/>
        <v>21144.967417933105</v>
      </c>
      <c r="AK9" s="400">
        <f t="shared" si="5"/>
        <v>21413.476883017935</v>
      </c>
      <c r="AL9" s="400">
        <f t="shared" si="5"/>
        <v>21527.402436109765</v>
      </c>
      <c r="AM9" s="400">
        <f t="shared" si="5"/>
        <v>21731.350399030449</v>
      </c>
      <c r="AN9" s="400">
        <f t="shared" si="5"/>
        <v>261492.80997335544</v>
      </c>
      <c r="AO9" s="400">
        <f t="shared" si="5"/>
        <v>25714.63079138644</v>
      </c>
      <c r="AP9" s="400">
        <f t="shared" si="5"/>
        <v>22085.814020303947</v>
      </c>
      <c r="AQ9" s="400">
        <f t="shared" si="5"/>
        <v>22444.714311344578</v>
      </c>
      <c r="AR9" s="400">
        <f t="shared" si="5"/>
        <v>22470.024229554212</v>
      </c>
      <c r="AS9" s="400">
        <f t="shared" si="5"/>
        <v>22119.721787274775</v>
      </c>
      <c r="AT9" s="400">
        <f t="shared" si="5"/>
        <v>21910.677137995794</v>
      </c>
      <c r="AU9" s="400">
        <f t="shared" si="5"/>
        <v>22211.070522386897</v>
      </c>
      <c r="AV9" s="400">
        <f t="shared" si="5"/>
        <v>22131.556827350934</v>
      </c>
      <c r="AW9" s="400">
        <f t="shared" si="5"/>
        <v>22034.6278860284</v>
      </c>
      <c r="AX9" s="400">
        <f t="shared" si="5"/>
        <v>22128.58207500173</v>
      </c>
      <c r="AY9" s="400">
        <f t="shared" si="5"/>
        <v>21761.531601489736</v>
      </c>
      <c r="AZ9" s="400">
        <f t="shared" si="5"/>
        <v>22233.405809015323</v>
      </c>
      <c r="BA9" s="400">
        <f t="shared" si="5"/>
        <v>269246.35699913278</v>
      </c>
      <c r="BB9" s="400">
        <f t="shared" si="5"/>
        <v>22487.300812341902</v>
      </c>
      <c r="BC9" s="400">
        <f t="shared" si="5"/>
        <v>21826.209606528409</v>
      </c>
      <c r="BD9" s="400">
        <f t="shared" si="5"/>
        <v>21981.696031964224</v>
      </c>
      <c r="BE9" s="400">
        <f t="shared" si="5"/>
        <v>31076.308699809979</v>
      </c>
      <c r="BF9" s="400">
        <f t="shared" si="5"/>
        <v>23094.649088407878</v>
      </c>
      <c r="BG9" s="400">
        <f t="shared" si="5"/>
        <v>22309.391707509141</v>
      </c>
      <c r="BH9" s="400">
        <f t="shared" si="5"/>
        <v>22598.063434522683</v>
      </c>
      <c r="BI9" s="400">
        <f t="shared" si="5"/>
        <v>22699.441808450028</v>
      </c>
      <c r="BJ9" s="400">
        <f t="shared" si="5"/>
        <v>22601.463988532178</v>
      </c>
      <c r="BK9" s="400">
        <f t="shared" si="5"/>
        <v>22330.770914689358</v>
      </c>
      <c r="BL9" s="400">
        <f t="shared" si="5"/>
        <v>22384.195822081212</v>
      </c>
      <c r="BM9" s="400">
        <f t="shared" si="5"/>
        <v>22682.369399083815</v>
      </c>
      <c r="BN9" s="400">
        <f t="shared" si="5"/>
        <v>278071.86131392082</v>
      </c>
      <c r="BO9" s="400"/>
    </row>
    <row r="10" spans="1:71" x14ac:dyDescent="0.25">
      <c r="A10" s="392"/>
      <c r="B10" s="396"/>
      <c r="C10" s="396"/>
      <c r="D10" s="396"/>
      <c r="E10" s="396"/>
      <c r="F10" s="396"/>
      <c r="G10" s="396"/>
      <c r="H10" s="396"/>
      <c r="I10" s="396"/>
      <c r="J10" s="396"/>
      <c r="K10" s="396"/>
      <c r="L10" s="396"/>
      <c r="M10" s="396"/>
      <c r="N10" s="396"/>
      <c r="O10" s="396"/>
      <c r="P10" s="396"/>
      <c r="Q10" s="396"/>
      <c r="R10" s="396"/>
      <c r="S10" s="396"/>
      <c r="T10" s="396"/>
      <c r="U10" s="396"/>
      <c r="V10" s="396"/>
      <c r="W10" s="396"/>
      <c r="X10" s="396"/>
      <c r="Y10" s="396"/>
      <c r="Z10" s="396"/>
      <c r="AA10" s="396"/>
      <c r="AB10" s="396"/>
      <c r="AC10" s="396"/>
      <c r="AD10" s="396"/>
      <c r="AE10" s="396"/>
      <c r="AF10" s="396"/>
      <c r="AG10" s="396"/>
      <c r="AH10" s="396"/>
      <c r="AI10" s="396"/>
      <c r="AJ10" s="396"/>
      <c r="AK10" s="396"/>
      <c r="AL10" s="396"/>
      <c r="AM10" s="396"/>
      <c r="AN10" s="396"/>
      <c r="AO10" s="396"/>
      <c r="AP10" s="396"/>
      <c r="AQ10" s="396"/>
      <c r="AR10" s="396"/>
      <c r="AS10" s="396"/>
      <c r="AT10" s="396"/>
      <c r="AU10" s="396"/>
      <c r="AV10" s="396"/>
      <c r="AW10" s="396"/>
      <c r="AX10" s="396"/>
      <c r="AY10" s="396"/>
      <c r="AZ10" s="396"/>
      <c r="BA10" s="396"/>
      <c r="BB10" s="396"/>
      <c r="BC10" s="396"/>
      <c r="BD10" s="396"/>
      <c r="BE10" s="396"/>
      <c r="BF10" s="396"/>
      <c r="BG10" s="396"/>
      <c r="BH10" s="396"/>
      <c r="BI10" s="396"/>
      <c r="BJ10" s="396"/>
      <c r="BK10" s="396"/>
      <c r="BL10" s="396"/>
      <c r="BM10" s="396"/>
      <c r="BN10" s="396"/>
      <c r="BO10" s="396"/>
      <c r="BS10" s="408"/>
    </row>
    <row r="11" spans="1:71" s="315" customFormat="1" x14ac:dyDescent="0.25">
      <c r="A11" s="392" t="s">
        <v>419</v>
      </c>
      <c r="B11" s="400">
        <f>'S&amp;TVA Q4 2020'!B45</f>
        <v>0</v>
      </c>
      <c r="C11" s="400">
        <f>'S&amp;TVA Q4 2020'!C45</f>
        <v>0</v>
      </c>
      <c r="D11" s="400">
        <f>'S&amp;TVA Q4 2020'!D45</f>
        <v>0</v>
      </c>
      <c r="E11" s="400">
        <f>'S&amp;TVA Q4 2020'!E45</f>
        <v>0</v>
      </c>
      <c r="F11" s="400">
        <f>'S&amp;TVA Q4 2020'!F45</f>
        <v>0</v>
      </c>
      <c r="G11" s="400">
        <f>'S&amp;TVA Q4 2020'!G45</f>
        <v>0</v>
      </c>
      <c r="H11" s="400">
        <f>'S&amp;TVA Q4 2020'!H45</f>
        <v>0</v>
      </c>
      <c r="I11" s="400">
        <f>'S&amp;TVA Q4 2020'!I45</f>
        <v>0</v>
      </c>
      <c r="J11" s="400">
        <f>'S&amp;TVA Q4 2020'!J45</f>
        <v>9877.2099999999991</v>
      </c>
      <c r="K11" s="400">
        <f>'S&amp;TVA Q4 2020'!K45</f>
        <v>15882.82</v>
      </c>
      <c r="L11" s="400">
        <f>'S&amp;TVA Q4 2020'!L45</f>
        <v>15873.16</v>
      </c>
      <c r="M11" s="400">
        <f>'S&amp;TVA Q4 2020'!M45</f>
        <v>15889.26</v>
      </c>
      <c r="N11" s="400">
        <f>SUM(B11:M11)</f>
        <v>57522.450000000004</v>
      </c>
      <c r="O11" s="400">
        <f>'S&amp;TVA 2021'!B47</f>
        <v>15889.26</v>
      </c>
      <c r="P11" s="400">
        <f>'S&amp;TVA 2021'!C47</f>
        <v>15889.26</v>
      </c>
      <c r="Q11" s="400">
        <f>'S&amp;TVA 2021'!D47</f>
        <v>15889.26</v>
      </c>
      <c r="R11" s="400">
        <f>'S&amp;TVA 2021'!E47</f>
        <v>15889.26</v>
      </c>
      <c r="S11" s="400">
        <f>'S&amp;TVA 2021'!F47</f>
        <v>15889.26</v>
      </c>
      <c r="T11" s="400">
        <f>'S&amp;TVA 2021'!G47</f>
        <v>15889.26</v>
      </c>
      <c r="U11" s="400">
        <f>'S&amp;TVA 2021'!H47</f>
        <v>15889.26</v>
      </c>
      <c r="V11" s="400">
        <f>'S&amp;TVA 2021'!I47</f>
        <v>15889.26</v>
      </c>
      <c r="W11" s="400">
        <f>'S&amp;TVA 2021'!J47</f>
        <v>15889.26</v>
      </c>
      <c r="X11" s="400">
        <f>'S&amp;TVA 2021'!K47</f>
        <v>15889.26</v>
      </c>
      <c r="Y11" s="400">
        <f>'S&amp;TVA 2021'!L47</f>
        <v>15889.26</v>
      </c>
      <c r="Z11" s="400">
        <f>'S&amp;TVA 2021'!M47</f>
        <v>15889.26</v>
      </c>
      <c r="AA11" s="400">
        <f>SUM(O11:Z11)</f>
        <v>190671.12000000002</v>
      </c>
      <c r="AB11" s="400">
        <f>'S&amp;TVA 2022'!B47</f>
        <v>15889.26</v>
      </c>
      <c r="AC11" s="400">
        <f>'S&amp;TVA 2022'!C47</f>
        <v>15889.26</v>
      </c>
      <c r="AD11" s="400">
        <f>'S&amp;TVA 2022'!D47</f>
        <v>15889.26</v>
      </c>
      <c r="AE11" s="400">
        <f>'S&amp;TVA 2022'!E47</f>
        <v>15889.26</v>
      </c>
      <c r="AF11" s="400">
        <f>'S&amp;TVA 2022'!F47</f>
        <v>15889.26</v>
      </c>
      <c r="AG11" s="400">
        <f>'S&amp;TVA 2022'!G47</f>
        <v>15889.26</v>
      </c>
      <c r="AH11" s="400">
        <f>'S&amp;TVA 2022'!H47</f>
        <v>15889.26</v>
      </c>
      <c r="AI11" s="400">
        <f>'S&amp;TVA 2022'!I47</f>
        <v>15889.26</v>
      </c>
      <c r="AJ11" s="400">
        <f>'S&amp;TVA 2022'!J47</f>
        <v>17535.7</v>
      </c>
      <c r="AK11" s="400">
        <f>'S&amp;TVA 2022'!K47</f>
        <v>17535.7</v>
      </c>
      <c r="AL11" s="400">
        <f>'S&amp;TVA 2022'!L47</f>
        <v>17535.7</v>
      </c>
      <c r="AM11" s="476">
        <f>'S&amp;TVA 2022'!M47-23433</f>
        <v>17536.46</v>
      </c>
      <c r="AN11" s="400">
        <f>SUM(AB11:AM11)</f>
        <v>197257.64</v>
      </c>
      <c r="AO11" s="400">
        <f>'S&amp;TVA 2023'!B48</f>
        <v>19182.14</v>
      </c>
      <c r="AP11" s="400">
        <f>'S&amp;TVA 2023'!C48</f>
        <v>15889.26</v>
      </c>
      <c r="AQ11" s="400">
        <f>'S&amp;TVA 2023'!D48</f>
        <v>17535.7</v>
      </c>
      <c r="AR11" s="400">
        <f>'S&amp;TVA 2023'!E48</f>
        <v>17535.7</v>
      </c>
      <c r="AS11" s="400">
        <f>'S&amp;TVA 2023'!F48</f>
        <v>17544.68</v>
      </c>
      <c r="AT11" s="400">
        <f>'S&amp;TVA 2023'!G48</f>
        <v>19190.46</v>
      </c>
      <c r="AU11" s="400">
        <f>'S&amp;TVA 2023'!H48</f>
        <v>17536.36</v>
      </c>
      <c r="AV11" s="400">
        <f>'S&amp;TVA 2023'!I48</f>
        <v>17535.699999999997</v>
      </c>
      <c r="AW11" s="400">
        <f>'S&amp;TVA 2023'!J48</f>
        <v>17535.699999999997</v>
      </c>
      <c r="AX11" s="400">
        <f>'S&amp;TVA 2023'!K48</f>
        <v>17535.699999999997</v>
      </c>
      <c r="AY11" s="400">
        <f>'S&amp;TVA 2023'!L48</f>
        <v>17535.699999999997</v>
      </c>
      <c r="AZ11" s="400">
        <f>'S&amp;TVA 2023'!M48</f>
        <v>17535.699999999997</v>
      </c>
      <c r="BA11" s="400">
        <f>SUM(AO11:AZ11)</f>
        <v>212092.80000000005</v>
      </c>
      <c r="BB11" s="400">
        <f>'S&amp;TVA 2024'!B58</f>
        <v>17535.699999999997</v>
      </c>
      <c r="BC11" s="400">
        <f>'S&amp;TVA 2024'!C58</f>
        <v>17535.699999999997</v>
      </c>
      <c r="BD11" s="400">
        <f>'S&amp;TVA 2024'!D58</f>
        <v>17535.699999999997</v>
      </c>
      <c r="BE11" s="400">
        <f>'S&amp;TVA 2024'!E58</f>
        <v>17535.699999999997</v>
      </c>
      <c r="BF11" s="400">
        <f>'S&amp;TVA 2024'!F58</f>
        <v>17535.699999999997</v>
      </c>
      <c r="BG11" s="400">
        <f>'S&amp;TVA 2024'!G58</f>
        <v>17535.699999999997</v>
      </c>
      <c r="BH11" s="400">
        <f>'S&amp;TVA 2024'!H58</f>
        <v>17535.699999999997</v>
      </c>
      <c r="BI11" s="400">
        <f>'S&amp;TVA 2024'!I58</f>
        <v>17535.699999999997</v>
      </c>
      <c r="BJ11" s="400">
        <f>'S&amp;TVA 2024'!J58</f>
        <v>17535.699999999997</v>
      </c>
      <c r="BK11" s="400">
        <f>'S&amp;TVA 2024'!K58</f>
        <v>17535.699999999997</v>
      </c>
      <c r="BL11" s="400">
        <f>'S&amp;TVA 2024'!L58</f>
        <v>17535.699999999997</v>
      </c>
      <c r="BM11" s="400">
        <f>'S&amp;TVA 2024'!M58</f>
        <v>17535.699999999997</v>
      </c>
      <c r="BN11" s="400">
        <f>SUM(BB11:BM11)</f>
        <v>210428.40000000002</v>
      </c>
      <c r="BO11" s="400"/>
    </row>
    <row r="12" spans="1:71" x14ac:dyDescent="0.25">
      <c r="A12" s="392"/>
      <c r="B12" s="397"/>
      <c r="C12" s="397"/>
      <c r="D12" s="397"/>
      <c r="E12" s="397"/>
      <c r="F12" s="397"/>
      <c r="G12" s="397"/>
      <c r="H12" s="397"/>
      <c r="I12" s="397"/>
      <c r="J12" s="397"/>
      <c r="K12" s="397"/>
      <c r="L12" s="397"/>
      <c r="M12" s="397"/>
      <c r="N12" s="397"/>
      <c r="O12" s="397"/>
      <c r="P12" s="397"/>
      <c r="Q12" s="397"/>
      <c r="R12" s="397"/>
      <c r="S12" s="397"/>
      <c r="T12" s="397"/>
      <c r="U12" s="397"/>
      <c r="V12" s="397"/>
      <c r="W12" s="397"/>
      <c r="X12" s="397"/>
      <c r="Y12" s="397"/>
      <c r="Z12" s="397"/>
      <c r="AA12" s="397"/>
      <c r="AB12" s="397"/>
      <c r="AC12" s="397"/>
      <c r="AD12" s="397"/>
      <c r="AE12" s="397"/>
      <c r="AF12" s="397"/>
      <c r="AG12" s="397"/>
      <c r="AH12" s="397"/>
      <c r="AI12" s="397"/>
      <c r="AJ12" s="397"/>
      <c r="AK12" s="397"/>
      <c r="AL12" s="397"/>
      <c r="AM12" s="397"/>
      <c r="AN12" s="397"/>
      <c r="AO12" s="397"/>
      <c r="AP12" s="397"/>
      <c r="AQ12" s="397"/>
      <c r="AR12" s="397"/>
      <c r="AS12" s="397"/>
      <c r="AT12" s="397"/>
      <c r="AU12" s="397"/>
      <c r="AV12" s="397"/>
      <c r="AW12" s="397"/>
      <c r="AX12" s="397"/>
      <c r="AY12" s="397"/>
      <c r="AZ12" s="397"/>
      <c r="BA12" s="397"/>
      <c r="BB12" s="397"/>
      <c r="BC12" s="397"/>
      <c r="BD12" s="397"/>
      <c r="BE12" s="397"/>
      <c r="BF12" s="397"/>
      <c r="BG12" s="397"/>
      <c r="BH12" s="397"/>
      <c r="BI12" s="397"/>
      <c r="BJ12" s="397"/>
      <c r="BK12" s="397"/>
      <c r="BL12" s="397"/>
      <c r="BM12" s="397"/>
      <c r="BN12" s="397"/>
      <c r="BO12" s="397"/>
    </row>
    <row r="13" spans="1:71" x14ac:dyDescent="0.25">
      <c r="A13" s="392" t="s">
        <v>417</v>
      </c>
      <c r="B13" s="396">
        <f>B9-B11</f>
        <v>0</v>
      </c>
      <c r="C13" s="396">
        <f t="shared" ref="C13:M13" si="6">C9-C11</f>
        <v>0</v>
      </c>
      <c r="D13" s="396">
        <f t="shared" si="6"/>
        <v>0</v>
      </c>
      <c r="E13" s="396">
        <f t="shared" si="6"/>
        <v>0</v>
      </c>
      <c r="F13" s="396">
        <f t="shared" si="6"/>
        <v>0</v>
      </c>
      <c r="G13" s="396">
        <f t="shared" si="6"/>
        <v>0</v>
      </c>
      <c r="H13" s="396">
        <f t="shared" si="6"/>
        <v>0</v>
      </c>
      <c r="I13" s="396">
        <f t="shared" si="6"/>
        <v>8724.8166543393836</v>
      </c>
      <c r="J13" s="396">
        <f t="shared" si="6"/>
        <v>-284.91044344139846</v>
      </c>
      <c r="K13" s="396">
        <f t="shared" si="6"/>
        <v>-5370.249175453464</v>
      </c>
      <c r="L13" s="396">
        <f t="shared" si="6"/>
        <v>-1717.9833999923321</v>
      </c>
      <c r="M13" s="396">
        <f t="shared" si="6"/>
        <v>4313.7962180692102</v>
      </c>
      <c r="N13" s="396">
        <f>SUM(B13:M13)</f>
        <v>5665.4698535213993</v>
      </c>
      <c r="O13" s="396">
        <f>O9-O11</f>
        <v>4716.4833615531297</v>
      </c>
      <c r="P13" s="396">
        <f t="shared" ref="P13:Z13" si="7">P9-P11</f>
        <v>4474.3005992795352</v>
      </c>
      <c r="Q13" s="396">
        <f t="shared" si="7"/>
        <v>4630.9702562296388</v>
      </c>
      <c r="R13" s="396">
        <f t="shared" si="7"/>
        <v>4597.0992113503289</v>
      </c>
      <c r="S13" s="396">
        <f t="shared" si="7"/>
        <v>4350.6660503672483</v>
      </c>
      <c r="T13" s="396">
        <f t="shared" si="7"/>
        <v>3597.5286046994315</v>
      </c>
      <c r="U13" s="396">
        <f t="shared" si="7"/>
        <v>3781.184102569403</v>
      </c>
      <c r="V13" s="396">
        <f t="shared" si="7"/>
        <v>3654.9151728046654</v>
      </c>
      <c r="W13" s="396">
        <f t="shared" si="7"/>
        <v>3331.2529728604368</v>
      </c>
      <c r="X13" s="396">
        <f t="shared" si="7"/>
        <v>4242.7883072840941</v>
      </c>
      <c r="Y13" s="396">
        <f t="shared" si="7"/>
        <v>4320.473265365812</v>
      </c>
      <c r="Z13" s="396">
        <f t="shared" si="7"/>
        <v>5340.3083187954744</v>
      </c>
      <c r="AA13" s="396">
        <f>SUM(O13:Z13)</f>
        <v>51037.970223159195</v>
      </c>
      <c r="AB13" s="396">
        <f>AB9-AB11</f>
        <v>6808.0227292968393</v>
      </c>
      <c r="AC13" s="396">
        <f t="shared" ref="AC13:AM13" si="8">AC9-AC11</f>
        <v>6251.2299001879201</v>
      </c>
      <c r="AD13" s="396">
        <f t="shared" si="8"/>
        <v>6475.6082055650422</v>
      </c>
      <c r="AE13" s="396">
        <f t="shared" si="8"/>
        <v>6296.4758850599628</v>
      </c>
      <c r="AF13" s="396">
        <f t="shared" si="8"/>
        <v>6252.5673738621281</v>
      </c>
      <c r="AG13" s="396">
        <f t="shared" si="8"/>
        <v>5491.4240162909027</v>
      </c>
      <c r="AH13" s="396">
        <f t="shared" si="8"/>
        <v>5505.9910915969576</v>
      </c>
      <c r="AI13" s="396">
        <f t="shared" si="8"/>
        <v>5480.213635404436</v>
      </c>
      <c r="AJ13" s="396">
        <f t="shared" si="8"/>
        <v>3609.2674179331043</v>
      </c>
      <c r="AK13" s="396">
        <f t="shared" si="8"/>
        <v>3877.7768830179339</v>
      </c>
      <c r="AL13" s="396">
        <f t="shared" si="8"/>
        <v>3991.7024361097647</v>
      </c>
      <c r="AM13" s="396">
        <f t="shared" si="8"/>
        <v>4194.8903990304498</v>
      </c>
      <c r="AN13" s="396">
        <f>SUM(AB13:AM13)</f>
        <v>64235.169973355441</v>
      </c>
      <c r="AO13" s="396">
        <f>AO9-AO11</f>
        <v>6532.4907913864408</v>
      </c>
      <c r="AP13" s="396">
        <f t="shared" ref="AP13:AZ13" si="9">AP9-AP11</f>
        <v>6196.5540203039473</v>
      </c>
      <c r="AQ13" s="396">
        <f t="shared" si="9"/>
        <v>4909.0143113445774</v>
      </c>
      <c r="AR13" s="396">
        <f t="shared" si="9"/>
        <v>4934.3242295542113</v>
      </c>
      <c r="AS13" s="396">
        <f t="shared" si="9"/>
        <v>4575.0417872747748</v>
      </c>
      <c r="AT13" s="396">
        <f t="shared" si="9"/>
        <v>2720.2171379957945</v>
      </c>
      <c r="AU13" s="396">
        <f t="shared" si="9"/>
        <v>4674.7105223868966</v>
      </c>
      <c r="AV13" s="396">
        <f t="shared" si="9"/>
        <v>4595.8568273509372</v>
      </c>
      <c r="AW13" s="396">
        <f t="shared" si="9"/>
        <v>4498.927886028403</v>
      </c>
      <c r="AX13" s="396">
        <f t="shared" si="9"/>
        <v>4592.882075001733</v>
      </c>
      <c r="AY13" s="396">
        <f t="shared" si="9"/>
        <v>4225.8316014897391</v>
      </c>
      <c r="AZ13" s="396">
        <f t="shared" si="9"/>
        <v>4697.7058090153259</v>
      </c>
      <c r="BA13" s="396">
        <f>SUM(AO13:AZ13)</f>
        <v>57153.556999132794</v>
      </c>
      <c r="BB13" s="396">
        <f>BB9-BB11</f>
        <v>4951.6008123419051</v>
      </c>
      <c r="BC13" s="396">
        <f t="shared" ref="BC13:BM13" si="10">BC9-BC11</f>
        <v>4290.5096065284124</v>
      </c>
      <c r="BD13" s="396">
        <f t="shared" si="10"/>
        <v>4445.9960319642269</v>
      </c>
      <c r="BE13" s="396">
        <f t="shared" si="10"/>
        <v>13540.608699809982</v>
      </c>
      <c r="BF13" s="396">
        <f t="shared" si="10"/>
        <v>5558.9490884078805</v>
      </c>
      <c r="BG13" s="396">
        <f t="shared" si="10"/>
        <v>4773.6917075091442</v>
      </c>
      <c r="BH13" s="396">
        <f t="shared" si="10"/>
        <v>5062.3634345226856</v>
      </c>
      <c r="BI13" s="396">
        <f t="shared" si="10"/>
        <v>5163.7418084500314</v>
      </c>
      <c r="BJ13" s="396">
        <f t="shared" si="10"/>
        <v>5065.7639885321805</v>
      </c>
      <c r="BK13" s="396">
        <f t="shared" si="10"/>
        <v>4795.0709146893605</v>
      </c>
      <c r="BL13" s="396">
        <f t="shared" si="10"/>
        <v>4848.495822081215</v>
      </c>
      <c r="BM13" s="396">
        <f t="shared" si="10"/>
        <v>5146.6693990838176</v>
      </c>
      <c r="BN13" s="396">
        <f>SUM(BB13:BM13)</f>
        <v>67643.461313920852</v>
      </c>
      <c r="BO13" s="396"/>
    </row>
    <row r="14" spans="1:71" x14ac:dyDescent="0.25">
      <c r="A14" s="392" t="s">
        <v>432</v>
      </c>
      <c r="B14" s="396">
        <f>B13</f>
        <v>0</v>
      </c>
      <c r="C14" s="396">
        <f>C13+B14</f>
        <v>0</v>
      </c>
      <c r="D14" s="396">
        <f t="shared" ref="D14:M14" si="11">D13+C14</f>
        <v>0</v>
      </c>
      <c r="E14" s="396">
        <f t="shared" si="11"/>
        <v>0</v>
      </c>
      <c r="F14" s="396">
        <f t="shared" si="11"/>
        <v>0</v>
      </c>
      <c r="G14" s="396">
        <f t="shared" si="11"/>
        <v>0</v>
      </c>
      <c r="H14" s="396">
        <f t="shared" si="11"/>
        <v>0</v>
      </c>
      <c r="I14" s="396">
        <f t="shared" si="11"/>
        <v>8724.8166543393836</v>
      </c>
      <c r="J14" s="396">
        <f t="shared" si="11"/>
        <v>8439.9062108979851</v>
      </c>
      <c r="K14" s="396">
        <f t="shared" si="11"/>
        <v>3069.6570354445212</v>
      </c>
      <c r="L14" s="396">
        <f t="shared" si="11"/>
        <v>1351.673635452189</v>
      </c>
      <c r="M14" s="396">
        <f t="shared" si="11"/>
        <v>5665.4698535213993</v>
      </c>
      <c r="N14" s="396">
        <f>M14</f>
        <v>5665.4698535213993</v>
      </c>
      <c r="O14" s="396">
        <f t="shared" ref="O14:Z14" si="12">O13+N14</f>
        <v>10381.953215074529</v>
      </c>
      <c r="P14" s="396">
        <f t="shared" si="12"/>
        <v>14856.253814354064</v>
      </c>
      <c r="Q14" s="396">
        <f t="shared" si="12"/>
        <v>19487.224070583703</v>
      </c>
      <c r="R14" s="396">
        <f t="shared" si="12"/>
        <v>24084.323281934034</v>
      </c>
      <c r="S14" s="396">
        <f t="shared" si="12"/>
        <v>28434.98933230128</v>
      </c>
      <c r="T14" s="396">
        <f t="shared" si="12"/>
        <v>32032.51793700071</v>
      </c>
      <c r="U14" s="396">
        <f t="shared" si="12"/>
        <v>35813.702039570111</v>
      </c>
      <c r="V14" s="396">
        <f t="shared" si="12"/>
        <v>39468.617212374775</v>
      </c>
      <c r="W14" s="396">
        <f t="shared" si="12"/>
        <v>42799.87018523521</v>
      </c>
      <c r="X14" s="396">
        <f t="shared" si="12"/>
        <v>47042.658492519302</v>
      </c>
      <c r="Y14" s="396">
        <f t="shared" si="12"/>
        <v>51363.131757885116</v>
      </c>
      <c r="Z14" s="396">
        <f t="shared" si="12"/>
        <v>56703.440076680592</v>
      </c>
      <c r="AA14" s="396">
        <f>Z14</f>
        <v>56703.440076680592</v>
      </c>
      <c r="AB14" s="396">
        <f t="shared" ref="AB14:AM14" si="13">AB13+AA14</f>
        <v>63511.462805977433</v>
      </c>
      <c r="AC14" s="396">
        <f t="shared" si="13"/>
        <v>69762.692706165355</v>
      </c>
      <c r="AD14" s="396">
        <f t="shared" si="13"/>
        <v>76238.300911730403</v>
      </c>
      <c r="AE14" s="396">
        <f t="shared" si="13"/>
        <v>82534.776796790364</v>
      </c>
      <c r="AF14" s="396">
        <f t="shared" si="13"/>
        <v>88787.34417065249</v>
      </c>
      <c r="AG14" s="396">
        <f t="shared" si="13"/>
        <v>94278.768186943387</v>
      </c>
      <c r="AH14" s="396">
        <f t="shared" si="13"/>
        <v>99784.759278540339</v>
      </c>
      <c r="AI14" s="396">
        <f t="shared" si="13"/>
        <v>105264.97291394477</v>
      </c>
      <c r="AJ14" s="396">
        <f t="shared" si="13"/>
        <v>108874.24033187788</v>
      </c>
      <c r="AK14" s="396">
        <f t="shared" si="13"/>
        <v>112752.01721489581</v>
      </c>
      <c r="AL14" s="396">
        <f t="shared" si="13"/>
        <v>116743.71965100558</v>
      </c>
      <c r="AM14" s="396">
        <f t="shared" si="13"/>
        <v>120938.61005003603</v>
      </c>
      <c r="AN14" s="396">
        <f>AM14</f>
        <v>120938.61005003603</v>
      </c>
      <c r="AO14" s="396">
        <f t="shared" ref="AO14:AZ14" si="14">AO13+AN14</f>
        <v>127471.10084142248</v>
      </c>
      <c r="AP14" s="396">
        <f t="shared" si="14"/>
        <v>133667.65486172642</v>
      </c>
      <c r="AQ14" s="396">
        <f t="shared" si="14"/>
        <v>138576.66917307099</v>
      </c>
      <c r="AR14" s="396">
        <f t="shared" si="14"/>
        <v>143510.9934026252</v>
      </c>
      <c r="AS14" s="396">
        <f t="shared" si="14"/>
        <v>148086.03518989997</v>
      </c>
      <c r="AT14" s="396">
        <f t="shared" si="14"/>
        <v>150806.25232789575</v>
      </c>
      <c r="AU14" s="396">
        <f t="shared" si="14"/>
        <v>155480.96285028264</v>
      </c>
      <c r="AV14" s="396">
        <f t="shared" si="14"/>
        <v>160076.81967763358</v>
      </c>
      <c r="AW14" s="396">
        <f t="shared" si="14"/>
        <v>164575.74756366198</v>
      </c>
      <c r="AX14" s="396">
        <f t="shared" si="14"/>
        <v>169168.62963866373</v>
      </c>
      <c r="AY14" s="396">
        <f t="shared" si="14"/>
        <v>173394.46124015347</v>
      </c>
      <c r="AZ14" s="396">
        <f t="shared" si="14"/>
        <v>178092.16704916878</v>
      </c>
      <c r="BA14" s="396">
        <f>AZ14</f>
        <v>178092.16704916878</v>
      </c>
      <c r="BB14" s="396">
        <f t="shared" ref="BB14:BM14" si="15">BB13+BA14</f>
        <v>183043.76786151069</v>
      </c>
      <c r="BC14" s="396">
        <f t="shared" si="15"/>
        <v>187334.2774680391</v>
      </c>
      <c r="BD14" s="396">
        <f t="shared" si="15"/>
        <v>191780.27350000333</v>
      </c>
      <c r="BE14" s="396">
        <f t="shared" si="15"/>
        <v>205320.88219981332</v>
      </c>
      <c r="BF14" s="396">
        <f t="shared" si="15"/>
        <v>210879.8312882212</v>
      </c>
      <c r="BG14" s="396">
        <f t="shared" si="15"/>
        <v>215653.52299573034</v>
      </c>
      <c r="BH14" s="396">
        <f t="shared" si="15"/>
        <v>220715.88643025301</v>
      </c>
      <c r="BI14" s="396">
        <f t="shared" si="15"/>
        <v>225879.62823870304</v>
      </c>
      <c r="BJ14" s="396">
        <f t="shared" si="15"/>
        <v>230945.39222723522</v>
      </c>
      <c r="BK14" s="396">
        <f t="shared" si="15"/>
        <v>235740.46314192459</v>
      </c>
      <c r="BL14" s="396">
        <f t="shared" si="15"/>
        <v>240588.95896400581</v>
      </c>
      <c r="BM14" s="396">
        <f t="shared" si="15"/>
        <v>245735.62836308964</v>
      </c>
      <c r="BN14" s="396">
        <f>BM14</f>
        <v>245735.62836308964</v>
      </c>
      <c r="BO14" s="396"/>
    </row>
    <row r="15" spans="1:71" x14ac:dyDescent="0.25">
      <c r="A15" s="392"/>
      <c r="B15" s="397"/>
      <c r="C15" s="397"/>
      <c r="D15" s="397"/>
      <c r="E15" s="397"/>
      <c r="F15" s="397"/>
      <c r="G15" s="397"/>
      <c r="H15" s="397"/>
      <c r="I15" s="397"/>
      <c r="J15" s="397"/>
      <c r="K15" s="397"/>
      <c r="L15" s="397"/>
      <c r="M15" s="397"/>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7"/>
      <c r="AK15" s="397"/>
      <c r="AL15" s="397"/>
      <c r="AM15" s="397"/>
      <c r="AN15" s="397"/>
      <c r="AO15" s="397"/>
      <c r="AP15" s="397"/>
      <c r="AQ15" s="397"/>
      <c r="AR15" s="397"/>
      <c r="AS15" s="397"/>
      <c r="AT15" s="397"/>
      <c r="AU15" s="397"/>
      <c r="AV15" s="397"/>
      <c r="AW15" s="397"/>
      <c r="AX15" s="397"/>
      <c r="AY15" s="397"/>
      <c r="AZ15" s="397"/>
      <c r="BA15" s="397"/>
      <c r="BB15" s="397"/>
      <c r="BC15" s="397"/>
      <c r="BD15" s="397"/>
      <c r="BE15" s="397"/>
      <c r="BF15" s="397"/>
      <c r="BG15" s="397"/>
      <c r="BH15" s="397"/>
      <c r="BI15" s="397"/>
      <c r="BJ15" s="397"/>
      <c r="BK15" s="397"/>
      <c r="BL15" s="397"/>
      <c r="BM15" s="397"/>
      <c r="BN15" s="397"/>
      <c r="BO15" s="397"/>
    </row>
    <row r="16" spans="1:71" x14ac:dyDescent="0.25">
      <c r="A16" s="392" t="s">
        <v>433</v>
      </c>
      <c r="B16" s="396">
        <v>0</v>
      </c>
      <c r="C16" s="396">
        <f>B14*C18/12</f>
        <v>0</v>
      </c>
      <c r="D16" s="396">
        <f t="shared" ref="D16:M16" si="16">C14*D18/12</f>
        <v>0</v>
      </c>
      <c r="E16" s="396">
        <f t="shared" si="16"/>
        <v>0</v>
      </c>
      <c r="F16" s="396">
        <f t="shared" si="16"/>
        <v>0</v>
      </c>
      <c r="G16" s="396">
        <f t="shared" si="16"/>
        <v>0</v>
      </c>
      <c r="H16" s="396">
        <f t="shared" si="16"/>
        <v>0</v>
      </c>
      <c r="I16" s="396">
        <f t="shared" si="16"/>
        <v>0</v>
      </c>
      <c r="J16" s="396">
        <f t="shared" si="16"/>
        <v>27.046931628452089</v>
      </c>
      <c r="K16" s="396">
        <f t="shared" si="16"/>
        <v>26.163709253783754</v>
      </c>
      <c r="L16" s="396">
        <f t="shared" si="16"/>
        <v>9.515936809878017</v>
      </c>
      <c r="M16" s="396">
        <f t="shared" si="16"/>
        <v>4.1901882699017863</v>
      </c>
      <c r="N16" s="396">
        <f>SUM(B16:M16)</f>
        <v>66.916765962015646</v>
      </c>
      <c r="O16" s="396">
        <f>N14*O18/12</f>
        <v>17.562956545916339</v>
      </c>
      <c r="P16" s="396">
        <f t="shared" ref="P16:BM16" si="17">O14*P18/12</f>
        <v>32.184054966731047</v>
      </c>
      <c r="Q16" s="396">
        <f t="shared" si="17"/>
        <v>46.054386824497605</v>
      </c>
      <c r="R16" s="396">
        <f t="shared" si="17"/>
        <v>60.410394618809484</v>
      </c>
      <c r="S16" s="396">
        <f t="shared" si="17"/>
        <v>74.661402173995512</v>
      </c>
      <c r="T16" s="396">
        <f t="shared" si="17"/>
        <v>88.148466930133978</v>
      </c>
      <c r="U16" s="396">
        <f t="shared" si="17"/>
        <v>99.300805604702205</v>
      </c>
      <c r="V16" s="396">
        <f t="shared" si="17"/>
        <v>111.02247632266734</v>
      </c>
      <c r="W16" s="396">
        <f t="shared" si="17"/>
        <v>122.35271335836181</v>
      </c>
      <c r="X16" s="396">
        <f t="shared" si="17"/>
        <v>132.67959757422918</v>
      </c>
      <c r="Y16" s="396">
        <f t="shared" si="17"/>
        <v>145.83224132680985</v>
      </c>
      <c r="Z16" s="396">
        <f t="shared" si="17"/>
        <v>159.22570844944389</v>
      </c>
      <c r="AA16" s="396">
        <f>SUM(O16:Z16)</f>
        <v>1089.4352046962981</v>
      </c>
      <c r="AB16" s="396">
        <f t="shared" si="17"/>
        <v>175.78066423770986</v>
      </c>
      <c r="AC16" s="396">
        <f t="shared" si="17"/>
        <v>196.88553469853005</v>
      </c>
      <c r="AD16" s="396">
        <f t="shared" si="17"/>
        <v>216.2643473891126</v>
      </c>
      <c r="AE16" s="396">
        <f t="shared" si="17"/>
        <v>236.33873282636429</v>
      </c>
      <c r="AF16" s="396">
        <f t="shared" si="17"/>
        <v>255.85780807005017</v>
      </c>
      <c r="AG16" s="396">
        <f t="shared" si="17"/>
        <v>275.24076692902275</v>
      </c>
      <c r="AH16" s="396">
        <f t="shared" si="17"/>
        <v>292.26418137952453</v>
      </c>
      <c r="AI16" s="396">
        <f t="shared" si="17"/>
        <v>309.33275376347507</v>
      </c>
      <c r="AJ16" s="396">
        <f t="shared" si="17"/>
        <v>326.32141603322884</v>
      </c>
      <c r="AK16" s="396">
        <f t="shared" si="17"/>
        <v>337.51014502882146</v>
      </c>
      <c r="AL16" s="396">
        <f t="shared" si="17"/>
        <v>349.53125336617705</v>
      </c>
      <c r="AM16" s="396">
        <f t="shared" si="17"/>
        <v>361.90553091811734</v>
      </c>
      <c r="AN16" s="396">
        <f>SUM(AB16:AM16)</f>
        <v>3333.2331346401343</v>
      </c>
      <c r="AO16" s="396">
        <f t="shared" si="17"/>
        <v>374.90969115511172</v>
      </c>
      <c r="AP16" s="396">
        <f t="shared" si="17"/>
        <v>395.16041260840967</v>
      </c>
      <c r="AQ16" s="396">
        <f t="shared" si="17"/>
        <v>414.36973007135197</v>
      </c>
      <c r="AR16" s="396">
        <f t="shared" si="17"/>
        <v>429.5876744365201</v>
      </c>
      <c r="AS16" s="396">
        <f t="shared" si="17"/>
        <v>444.88407954813812</v>
      </c>
      <c r="AT16" s="396">
        <f t="shared" si="17"/>
        <v>459.06670908868995</v>
      </c>
      <c r="AU16" s="396">
        <f t="shared" si="17"/>
        <v>467.49938221647693</v>
      </c>
      <c r="AV16" s="396">
        <f t="shared" si="17"/>
        <v>481.99098483587619</v>
      </c>
      <c r="AW16" s="396">
        <f t="shared" si="17"/>
        <v>496.23814100066414</v>
      </c>
      <c r="AX16" s="396">
        <f t="shared" si="17"/>
        <v>510.18481744735215</v>
      </c>
      <c r="AY16" s="396">
        <f t="shared" si="17"/>
        <v>524.42275187985763</v>
      </c>
      <c r="AZ16" s="396">
        <f t="shared" si="17"/>
        <v>537.52282984447584</v>
      </c>
      <c r="BA16" s="396">
        <f>SUM(AO16:AZ16)</f>
        <v>5535.8372041329258</v>
      </c>
      <c r="BB16" s="396">
        <f t="shared" si="17"/>
        <v>552.08571785242327</v>
      </c>
      <c r="BC16" s="396">
        <f t="shared" si="17"/>
        <v>567.43568037068314</v>
      </c>
      <c r="BD16" s="396">
        <f t="shared" si="17"/>
        <v>580.73626015092134</v>
      </c>
      <c r="BE16" s="396">
        <f t="shared" si="17"/>
        <v>594.51884785001039</v>
      </c>
      <c r="BF16" s="396">
        <f t="shared" si="17"/>
        <v>636.4947348194213</v>
      </c>
      <c r="BG16" s="396">
        <f t="shared" si="17"/>
        <v>653.72747699348577</v>
      </c>
      <c r="BH16" s="396">
        <f t="shared" si="17"/>
        <v>668.52592128676417</v>
      </c>
      <c r="BI16" s="396">
        <f t="shared" si="17"/>
        <v>684.21924793378446</v>
      </c>
      <c r="BJ16" s="396">
        <f t="shared" si="17"/>
        <v>700.22684753997953</v>
      </c>
      <c r="BK16" s="396">
        <f t="shared" si="17"/>
        <v>715.93071590442923</v>
      </c>
      <c r="BL16" s="396">
        <f t="shared" si="17"/>
        <v>730.79543573996625</v>
      </c>
      <c r="BM16" s="396">
        <f t="shared" si="17"/>
        <v>745.82577278841802</v>
      </c>
      <c r="BN16" s="396">
        <f>SUM(BB16:BM16)</f>
        <v>7830.522659230287</v>
      </c>
      <c r="BO16" s="396">
        <f>BN14*BO18</f>
        <v>9141.365375106936</v>
      </c>
      <c r="BS16" s="408"/>
    </row>
    <row r="17" spans="1:68" x14ac:dyDescent="0.25">
      <c r="A17" s="392" t="s">
        <v>437</v>
      </c>
      <c r="B17" s="396">
        <f>B16</f>
        <v>0</v>
      </c>
      <c r="C17" s="396">
        <f>C16+B17</f>
        <v>0</v>
      </c>
      <c r="D17" s="396">
        <f t="shared" ref="D17:M17" si="18">D16+C17</f>
        <v>0</v>
      </c>
      <c r="E17" s="396">
        <f t="shared" si="18"/>
        <v>0</v>
      </c>
      <c r="F17" s="396">
        <f t="shared" si="18"/>
        <v>0</v>
      </c>
      <c r="G17" s="396">
        <f t="shared" si="18"/>
        <v>0</v>
      </c>
      <c r="H17" s="396">
        <f t="shared" si="18"/>
        <v>0</v>
      </c>
      <c r="I17" s="396">
        <f t="shared" si="18"/>
        <v>0</v>
      </c>
      <c r="J17" s="396">
        <f t="shared" si="18"/>
        <v>27.046931628452089</v>
      </c>
      <c r="K17" s="396">
        <f t="shared" si="18"/>
        <v>53.210640882235843</v>
      </c>
      <c r="L17" s="396">
        <f t="shared" si="18"/>
        <v>62.726577692113864</v>
      </c>
      <c r="M17" s="396">
        <f t="shared" si="18"/>
        <v>66.916765962015646</v>
      </c>
      <c r="N17" s="396">
        <f>M17</f>
        <v>66.916765962015646</v>
      </c>
      <c r="O17" s="396">
        <f t="shared" ref="O17:Z17" si="19">O16+N17</f>
        <v>84.479722507931982</v>
      </c>
      <c r="P17" s="396">
        <f t="shared" si="19"/>
        <v>116.66377747466302</v>
      </c>
      <c r="Q17" s="396">
        <f t="shared" si="19"/>
        <v>162.71816429916063</v>
      </c>
      <c r="R17" s="396">
        <f t="shared" si="19"/>
        <v>223.12855891797011</v>
      </c>
      <c r="S17" s="396">
        <f t="shared" si="19"/>
        <v>297.78996109196561</v>
      </c>
      <c r="T17" s="396">
        <f t="shared" si="19"/>
        <v>385.93842802209957</v>
      </c>
      <c r="U17" s="396">
        <f t="shared" si="19"/>
        <v>485.23923362680176</v>
      </c>
      <c r="V17" s="396">
        <f t="shared" si="19"/>
        <v>596.26170994946915</v>
      </c>
      <c r="W17" s="396">
        <f t="shared" si="19"/>
        <v>718.61442330783098</v>
      </c>
      <c r="X17" s="396">
        <f t="shared" si="19"/>
        <v>851.29402088206018</v>
      </c>
      <c r="Y17" s="396">
        <f t="shared" si="19"/>
        <v>997.12626220887</v>
      </c>
      <c r="Z17" s="396">
        <f t="shared" si="19"/>
        <v>1156.3519706583138</v>
      </c>
      <c r="AA17" s="396">
        <f>Z17</f>
        <v>1156.3519706583138</v>
      </c>
      <c r="AB17" s="396">
        <f>AB16+AA17</f>
        <v>1332.1326348960238</v>
      </c>
      <c r="AC17" s="396">
        <f t="shared" ref="AC17:AM17" si="20">AC16+AB17</f>
        <v>1529.0181695945539</v>
      </c>
      <c r="AD17" s="396">
        <f t="shared" si="20"/>
        <v>1745.2825169836665</v>
      </c>
      <c r="AE17" s="396">
        <f t="shared" si="20"/>
        <v>1981.6212498100308</v>
      </c>
      <c r="AF17" s="396">
        <f t="shared" si="20"/>
        <v>2237.4790578800812</v>
      </c>
      <c r="AG17" s="396">
        <f t="shared" si="20"/>
        <v>2512.719824809104</v>
      </c>
      <c r="AH17" s="396">
        <f t="shared" si="20"/>
        <v>2804.9840061886284</v>
      </c>
      <c r="AI17" s="396">
        <f t="shared" si="20"/>
        <v>3114.3167599521034</v>
      </c>
      <c r="AJ17" s="396">
        <f t="shared" si="20"/>
        <v>3440.6381759853321</v>
      </c>
      <c r="AK17" s="396">
        <f t="shared" si="20"/>
        <v>3778.1483210141537</v>
      </c>
      <c r="AL17" s="396">
        <f t="shared" si="20"/>
        <v>4127.6795743803305</v>
      </c>
      <c r="AM17" s="396">
        <f t="shared" si="20"/>
        <v>4489.5851052984481</v>
      </c>
      <c r="AN17" s="396">
        <f>AM17</f>
        <v>4489.5851052984481</v>
      </c>
      <c r="AO17" s="396">
        <f t="shared" ref="AO17:AZ17" si="21">AO16+AN17</f>
        <v>4864.4947964535595</v>
      </c>
      <c r="AP17" s="396">
        <f t="shared" si="21"/>
        <v>5259.6552090619689</v>
      </c>
      <c r="AQ17" s="396">
        <f t="shared" si="21"/>
        <v>5674.0249391333209</v>
      </c>
      <c r="AR17" s="396">
        <f t="shared" si="21"/>
        <v>6103.6126135698414</v>
      </c>
      <c r="AS17" s="396">
        <f t="shared" si="21"/>
        <v>6548.4966931179797</v>
      </c>
      <c r="AT17" s="396">
        <f t="shared" si="21"/>
        <v>7007.5634022066697</v>
      </c>
      <c r="AU17" s="396">
        <f t="shared" si="21"/>
        <v>7475.0627844231467</v>
      </c>
      <c r="AV17" s="396">
        <f t="shared" si="21"/>
        <v>7957.0537692590233</v>
      </c>
      <c r="AW17" s="396">
        <f t="shared" si="21"/>
        <v>8453.2919102596879</v>
      </c>
      <c r="AX17" s="396">
        <f t="shared" si="21"/>
        <v>8963.4767277070405</v>
      </c>
      <c r="AY17" s="396">
        <f t="shared" si="21"/>
        <v>9487.8994795868985</v>
      </c>
      <c r="AZ17" s="396">
        <f t="shared" si="21"/>
        <v>10025.422309431375</v>
      </c>
      <c r="BA17" s="396">
        <f>AZ17</f>
        <v>10025.422309431375</v>
      </c>
      <c r="BB17" s="396">
        <f t="shared" ref="BB17:BM17" si="22">BB16+BA17</f>
        <v>10577.508027283799</v>
      </c>
      <c r="BC17" s="396">
        <f t="shared" si="22"/>
        <v>11144.943707654482</v>
      </c>
      <c r="BD17" s="396">
        <f t="shared" si="22"/>
        <v>11725.679967805403</v>
      </c>
      <c r="BE17" s="396">
        <f t="shared" si="22"/>
        <v>12320.198815655414</v>
      </c>
      <c r="BF17" s="396">
        <f t="shared" si="22"/>
        <v>12956.693550474836</v>
      </c>
      <c r="BG17" s="396">
        <f t="shared" si="22"/>
        <v>13610.421027468323</v>
      </c>
      <c r="BH17" s="396">
        <f t="shared" si="22"/>
        <v>14278.946948755087</v>
      </c>
      <c r="BI17" s="396">
        <f t="shared" si="22"/>
        <v>14963.166196688871</v>
      </c>
      <c r="BJ17" s="396">
        <f t="shared" si="22"/>
        <v>15663.393044228851</v>
      </c>
      <c r="BK17" s="396">
        <f t="shared" si="22"/>
        <v>16379.32376013328</v>
      </c>
      <c r="BL17" s="396">
        <f t="shared" si="22"/>
        <v>17110.119195873245</v>
      </c>
      <c r="BM17" s="396">
        <f t="shared" si="22"/>
        <v>17855.944968661664</v>
      </c>
      <c r="BN17" s="396">
        <f>BM17</f>
        <v>17855.944968661664</v>
      </c>
      <c r="BO17" s="396">
        <f>BN17</f>
        <v>17855.944968661664</v>
      </c>
    </row>
    <row r="18" spans="1:68" x14ac:dyDescent="0.25">
      <c r="A18" s="392" t="s">
        <v>434</v>
      </c>
      <c r="B18" s="398">
        <v>3.7200000000000004E-2</v>
      </c>
      <c r="C18" s="398">
        <f>B18</f>
        <v>3.7200000000000004E-2</v>
      </c>
      <c r="D18" s="398">
        <f t="shared" ref="D18:M18" si="23">C18</f>
        <v>3.7200000000000004E-2</v>
      </c>
      <c r="E18" s="398">
        <f t="shared" si="23"/>
        <v>3.7200000000000004E-2</v>
      </c>
      <c r="F18" s="398">
        <f t="shared" si="23"/>
        <v>3.7200000000000004E-2</v>
      </c>
      <c r="G18" s="398">
        <f t="shared" si="23"/>
        <v>3.7200000000000004E-2</v>
      </c>
      <c r="H18" s="398">
        <f t="shared" si="23"/>
        <v>3.7200000000000004E-2</v>
      </c>
      <c r="I18" s="398">
        <f t="shared" si="23"/>
        <v>3.7200000000000004E-2</v>
      </c>
      <c r="J18" s="398">
        <f t="shared" si="23"/>
        <v>3.7200000000000004E-2</v>
      </c>
      <c r="K18" s="398">
        <f t="shared" si="23"/>
        <v>3.7200000000000004E-2</v>
      </c>
      <c r="L18" s="398">
        <f t="shared" si="23"/>
        <v>3.7200000000000004E-2</v>
      </c>
      <c r="M18" s="398">
        <f t="shared" si="23"/>
        <v>3.7200000000000004E-2</v>
      </c>
      <c r="N18" s="397"/>
      <c r="O18" s="398">
        <v>3.7200000000000004E-2</v>
      </c>
      <c r="P18" s="398">
        <f>O18</f>
        <v>3.7200000000000004E-2</v>
      </c>
      <c r="Q18" s="398">
        <f t="shared" ref="Q18:Z18" si="24">P18</f>
        <v>3.7200000000000004E-2</v>
      </c>
      <c r="R18" s="398">
        <f t="shared" si="24"/>
        <v>3.7200000000000004E-2</v>
      </c>
      <c r="S18" s="398">
        <f t="shared" si="24"/>
        <v>3.7200000000000004E-2</v>
      </c>
      <c r="T18" s="398">
        <f t="shared" si="24"/>
        <v>3.7200000000000004E-2</v>
      </c>
      <c r="U18" s="398">
        <f t="shared" si="24"/>
        <v>3.7200000000000004E-2</v>
      </c>
      <c r="V18" s="398">
        <f t="shared" si="24"/>
        <v>3.7200000000000004E-2</v>
      </c>
      <c r="W18" s="398">
        <f t="shared" si="24"/>
        <v>3.7200000000000004E-2</v>
      </c>
      <c r="X18" s="398">
        <f t="shared" si="24"/>
        <v>3.7200000000000004E-2</v>
      </c>
      <c r="Y18" s="398">
        <f t="shared" si="24"/>
        <v>3.7200000000000004E-2</v>
      </c>
      <c r="Z18" s="398">
        <f t="shared" si="24"/>
        <v>3.7200000000000004E-2</v>
      </c>
      <c r="AA18" s="397"/>
      <c r="AB18" s="398">
        <v>3.7200000000000004E-2</v>
      </c>
      <c r="AC18" s="398">
        <f>AB18</f>
        <v>3.7200000000000004E-2</v>
      </c>
      <c r="AD18" s="398">
        <f t="shared" ref="AD18:AM18" si="25">AC18</f>
        <v>3.7200000000000004E-2</v>
      </c>
      <c r="AE18" s="398">
        <f t="shared" si="25"/>
        <v>3.7200000000000004E-2</v>
      </c>
      <c r="AF18" s="398">
        <f t="shared" si="25"/>
        <v>3.7200000000000004E-2</v>
      </c>
      <c r="AG18" s="398">
        <f t="shared" si="25"/>
        <v>3.7200000000000004E-2</v>
      </c>
      <c r="AH18" s="398">
        <f t="shared" si="25"/>
        <v>3.7200000000000004E-2</v>
      </c>
      <c r="AI18" s="398">
        <f t="shared" si="25"/>
        <v>3.7200000000000004E-2</v>
      </c>
      <c r="AJ18" s="398">
        <f t="shared" si="25"/>
        <v>3.7200000000000004E-2</v>
      </c>
      <c r="AK18" s="398">
        <f t="shared" si="25"/>
        <v>3.7200000000000004E-2</v>
      </c>
      <c r="AL18" s="398">
        <f t="shared" si="25"/>
        <v>3.7200000000000004E-2</v>
      </c>
      <c r="AM18" s="398">
        <f t="shared" si="25"/>
        <v>3.7200000000000004E-2</v>
      </c>
      <c r="AN18" s="397"/>
      <c r="AO18" s="398">
        <v>3.7200000000000004E-2</v>
      </c>
      <c r="AP18" s="398">
        <f>AO18</f>
        <v>3.7200000000000004E-2</v>
      </c>
      <c r="AQ18" s="398">
        <f t="shared" ref="AQ18:AZ18" si="26">AP18</f>
        <v>3.7200000000000004E-2</v>
      </c>
      <c r="AR18" s="398">
        <f t="shared" si="26"/>
        <v>3.7200000000000004E-2</v>
      </c>
      <c r="AS18" s="398">
        <f t="shared" si="26"/>
        <v>3.7200000000000004E-2</v>
      </c>
      <c r="AT18" s="398">
        <f t="shared" si="26"/>
        <v>3.7200000000000004E-2</v>
      </c>
      <c r="AU18" s="398">
        <f t="shared" si="26"/>
        <v>3.7200000000000004E-2</v>
      </c>
      <c r="AV18" s="398">
        <f t="shared" si="26"/>
        <v>3.7200000000000004E-2</v>
      </c>
      <c r="AW18" s="398">
        <f t="shared" si="26"/>
        <v>3.7200000000000004E-2</v>
      </c>
      <c r="AX18" s="398">
        <f t="shared" si="26"/>
        <v>3.7200000000000004E-2</v>
      </c>
      <c r="AY18" s="398">
        <f t="shared" si="26"/>
        <v>3.7200000000000004E-2</v>
      </c>
      <c r="AZ18" s="398">
        <f t="shared" si="26"/>
        <v>3.7200000000000004E-2</v>
      </c>
      <c r="BA18" s="397"/>
      <c r="BB18" s="398">
        <v>3.7200000000000004E-2</v>
      </c>
      <c r="BC18" s="398">
        <f>BB18</f>
        <v>3.7200000000000004E-2</v>
      </c>
      <c r="BD18" s="398">
        <f t="shared" ref="BD18:BM18" si="27">BC18</f>
        <v>3.7200000000000004E-2</v>
      </c>
      <c r="BE18" s="398">
        <f t="shared" si="27"/>
        <v>3.7200000000000004E-2</v>
      </c>
      <c r="BF18" s="398">
        <f t="shared" si="27"/>
        <v>3.7200000000000004E-2</v>
      </c>
      <c r="BG18" s="398">
        <f t="shared" si="27"/>
        <v>3.7200000000000004E-2</v>
      </c>
      <c r="BH18" s="398">
        <f t="shared" si="27"/>
        <v>3.7200000000000004E-2</v>
      </c>
      <c r="BI18" s="398">
        <f t="shared" si="27"/>
        <v>3.7200000000000004E-2</v>
      </c>
      <c r="BJ18" s="398">
        <f t="shared" si="27"/>
        <v>3.7200000000000004E-2</v>
      </c>
      <c r="BK18" s="398">
        <f t="shared" si="27"/>
        <v>3.7200000000000004E-2</v>
      </c>
      <c r="BL18" s="398">
        <f t="shared" si="27"/>
        <v>3.7200000000000004E-2</v>
      </c>
      <c r="BM18" s="398">
        <f t="shared" si="27"/>
        <v>3.7200000000000004E-2</v>
      </c>
      <c r="BN18" s="397"/>
      <c r="BO18" s="398">
        <f>BM18</f>
        <v>3.7200000000000004E-2</v>
      </c>
    </row>
    <row r="19" spans="1:68" x14ac:dyDescent="0.25">
      <c r="A19" s="392"/>
      <c r="B19" s="397"/>
      <c r="C19" s="397"/>
      <c r="D19" s="397"/>
      <c r="E19" s="397"/>
      <c r="F19" s="397"/>
      <c r="G19" s="397"/>
      <c r="H19" s="397"/>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397"/>
      <c r="AM19" s="397"/>
      <c r="AN19" s="397"/>
      <c r="AO19" s="397"/>
      <c r="AP19" s="397"/>
      <c r="AQ19" s="397"/>
      <c r="AR19" s="397"/>
      <c r="AS19" s="397"/>
      <c r="AT19" s="397"/>
      <c r="AU19" s="397"/>
      <c r="AV19" s="397"/>
      <c r="AW19" s="397"/>
      <c r="AX19" s="397"/>
      <c r="AY19" s="397"/>
      <c r="AZ19" s="397"/>
      <c r="BA19" s="397"/>
      <c r="BB19" s="397"/>
      <c r="BC19" s="397"/>
      <c r="BD19" s="397"/>
      <c r="BE19" s="397"/>
      <c r="BF19" s="397"/>
      <c r="BG19" s="397"/>
      <c r="BH19" s="397"/>
      <c r="BI19" s="397"/>
      <c r="BJ19" s="397"/>
      <c r="BK19" s="397"/>
      <c r="BL19" s="397"/>
      <c r="BM19" s="397"/>
      <c r="BN19" s="397"/>
      <c r="BO19" s="397"/>
    </row>
    <row r="20" spans="1:68" s="315" customFormat="1" x14ac:dyDescent="0.25">
      <c r="A20" s="392" t="s">
        <v>447</v>
      </c>
      <c r="B20" s="400">
        <f>B13+B16</f>
        <v>0</v>
      </c>
      <c r="C20" s="400">
        <f t="shared" ref="C20:N20" si="28">C13+C16</f>
        <v>0</v>
      </c>
      <c r="D20" s="400">
        <f t="shared" si="28"/>
        <v>0</v>
      </c>
      <c r="E20" s="400">
        <f t="shared" si="28"/>
        <v>0</v>
      </c>
      <c r="F20" s="400">
        <f t="shared" si="28"/>
        <v>0</v>
      </c>
      <c r="G20" s="400">
        <f t="shared" si="28"/>
        <v>0</v>
      </c>
      <c r="H20" s="400">
        <f t="shared" si="28"/>
        <v>0</v>
      </c>
      <c r="I20" s="400">
        <f t="shared" si="28"/>
        <v>8724.8166543393836</v>
      </c>
      <c r="J20" s="400">
        <f t="shared" si="28"/>
        <v>-257.86351181294634</v>
      </c>
      <c r="K20" s="400">
        <f t="shared" si="28"/>
        <v>-5344.08546619968</v>
      </c>
      <c r="L20" s="400">
        <f t="shared" si="28"/>
        <v>-1708.4674631824541</v>
      </c>
      <c r="M20" s="400">
        <f t="shared" si="28"/>
        <v>4317.9864063391124</v>
      </c>
      <c r="N20" s="400">
        <f t="shared" si="28"/>
        <v>5732.3866194834145</v>
      </c>
      <c r="O20" s="400">
        <f>O13+O16</f>
        <v>4734.0463180990464</v>
      </c>
      <c r="P20" s="400">
        <f t="shared" ref="P20:AA20" si="29">P13+P16</f>
        <v>4506.4846542462665</v>
      </c>
      <c r="Q20" s="400">
        <f t="shared" si="29"/>
        <v>4677.0246430541365</v>
      </c>
      <c r="R20" s="400">
        <f t="shared" si="29"/>
        <v>4657.5096059691386</v>
      </c>
      <c r="S20" s="400">
        <f t="shared" si="29"/>
        <v>4425.3274525412435</v>
      </c>
      <c r="T20" s="400">
        <f t="shared" si="29"/>
        <v>3685.6770716295655</v>
      </c>
      <c r="U20" s="400">
        <f t="shared" si="29"/>
        <v>3880.4849081741054</v>
      </c>
      <c r="V20" s="400">
        <f t="shared" si="29"/>
        <v>3765.9376491273329</v>
      </c>
      <c r="W20" s="400">
        <f t="shared" si="29"/>
        <v>3453.6056862187984</v>
      </c>
      <c r="X20" s="400">
        <f t="shared" si="29"/>
        <v>4375.467904858323</v>
      </c>
      <c r="Y20" s="400">
        <f t="shared" si="29"/>
        <v>4466.3055066926217</v>
      </c>
      <c r="Z20" s="400">
        <f t="shared" si="29"/>
        <v>5499.5340272449184</v>
      </c>
      <c r="AA20" s="400">
        <f t="shared" si="29"/>
        <v>52127.40542785549</v>
      </c>
      <c r="AB20" s="400">
        <f>AB13+AB16</f>
        <v>6983.8033935345493</v>
      </c>
      <c r="AC20" s="400">
        <f t="shared" ref="AC20:AN20" si="30">AC13+AC16</f>
        <v>6448.1154348864502</v>
      </c>
      <c r="AD20" s="400">
        <f t="shared" si="30"/>
        <v>6691.8725529541553</v>
      </c>
      <c r="AE20" s="400">
        <f t="shared" si="30"/>
        <v>6532.8146178863271</v>
      </c>
      <c r="AF20" s="400">
        <f t="shared" si="30"/>
        <v>6508.425181932178</v>
      </c>
      <c r="AG20" s="400">
        <f t="shared" si="30"/>
        <v>5766.6647832199251</v>
      </c>
      <c r="AH20" s="400">
        <f t="shared" si="30"/>
        <v>5798.255272976482</v>
      </c>
      <c r="AI20" s="400">
        <f t="shared" si="30"/>
        <v>5789.546389167911</v>
      </c>
      <c r="AJ20" s="400">
        <f t="shared" si="30"/>
        <v>3935.5888339663334</v>
      </c>
      <c r="AK20" s="400">
        <f t="shared" si="30"/>
        <v>4215.287028046755</v>
      </c>
      <c r="AL20" s="400">
        <f t="shared" si="30"/>
        <v>4341.2336894759419</v>
      </c>
      <c r="AM20" s="400">
        <f t="shared" si="30"/>
        <v>4556.7959299485674</v>
      </c>
      <c r="AN20" s="400">
        <f t="shared" si="30"/>
        <v>67568.403107995575</v>
      </c>
      <c r="AO20" s="400">
        <f>AO13+AO16</f>
        <v>6907.4004825415523</v>
      </c>
      <c r="AP20" s="400">
        <f t="shared" ref="AP20:BA20" si="31">AP13+AP16</f>
        <v>6591.7144329123566</v>
      </c>
      <c r="AQ20" s="400">
        <f t="shared" si="31"/>
        <v>5323.3840414159295</v>
      </c>
      <c r="AR20" s="400">
        <f t="shared" si="31"/>
        <v>5363.9119039907318</v>
      </c>
      <c r="AS20" s="400">
        <f t="shared" si="31"/>
        <v>5019.9258668229131</v>
      </c>
      <c r="AT20" s="400">
        <f t="shared" si="31"/>
        <v>3179.2838470844845</v>
      </c>
      <c r="AU20" s="400">
        <f t="shared" si="31"/>
        <v>5142.2099046033736</v>
      </c>
      <c r="AV20" s="400">
        <f t="shared" si="31"/>
        <v>5077.8478121868138</v>
      </c>
      <c r="AW20" s="400">
        <f t="shared" si="31"/>
        <v>4995.1660270290668</v>
      </c>
      <c r="AX20" s="400">
        <f t="shared" si="31"/>
        <v>5103.0668924490856</v>
      </c>
      <c r="AY20" s="400">
        <f t="shared" si="31"/>
        <v>4750.2543533695971</v>
      </c>
      <c r="AZ20" s="400">
        <f t="shared" si="31"/>
        <v>5235.2286388598022</v>
      </c>
      <c r="BA20" s="400">
        <f t="shared" si="31"/>
        <v>62689.394203265721</v>
      </c>
      <c r="BB20" s="400">
        <f>BB13+BB16</f>
        <v>5503.686530194328</v>
      </c>
      <c r="BC20" s="400">
        <f t="shared" ref="BC20:BO20" si="32">BC13+BC16</f>
        <v>4857.9452868990957</v>
      </c>
      <c r="BD20" s="400">
        <f t="shared" si="32"/>
        <v>5026.7322921151481</v>
      </c>
      <c r="BE20" s="400">
        <f t="shared" si="32"/>
        <v>14135.127547659991</v>
      </c>
      <c r="BF20" s="400">
        <f t="shared" si="32"/>
        <v>6195.4438232273014</v>
      </c>
      <c r="BG20" s="400">
        <f t="shared" si="32"/>
        <v>5427.4191845026298</v>
      </c>
      <c r="BH20" s="400">
        <f t="shared" si="32"/>
        <v>5730.8893558094496</v>
      </c>
      <c r="BI20" s="400">
        <f t="shared" si="32"/>
        <v>5847.961056383816</v>
      </c>
      <c r="BJ20" s="400">
        <f t="shared" si="32"/>
        <v>5765.9908360721602</v>
      </c>
      <c r="BK20" s="400">
        <f t="shared" si="32"/>
        <v>5511.0016305937897</v>
      </c>
      <c r="BL20" s="400">
        <f t="shared" si="32"/>
        <v>5579.2912578211817</v>
      </c>
      <c r="BM20" s="400">
        <f t="shared" si="32"/>
        <v>5892.4951718722359</v>
      </c>
      <c r="BN20" s="400">
        <f t="shared" si="32"/>
        <v>75473.983973151146</v>
      </c>
      <c r="BO20" s="400">
        <f t="shared" si="32"/>
        <v>9141.365375106936</v>
      </c>
    </row>
    <row r="21" spans="1:68" s="315" customFormat="1" x14ac:dyDescent="0.25">
      <c r="A21" s="394" t="s">
        <v>448</v>
      </c>
      <c r="B21" s="409">
        <f>B20</f>
        <v>0</v>
      </c>
      <c r="C21" s="409">
        <f>C20+B21</f>
        <v>0</v>
      </c>
      <c r="D21" s="409">
        <f t="shared" ref="D21:M21" si="33">D20+C21</f>
        <v>0</v>
      </c>
      <c r="E21" s="409">
        <f t="shared" si="33"/>
        <v>0</v>
      </c>
      <c r="F21" s="409">
        <f t="shared" si="33"/>
        <v>0</v>
      </c>
      <c r="G21" s="409">
        <f t="shared" si="33"/>
        <v>0</v>
      </c>
      <c r="H21" s="409">
        <f t="shared" si="33"/>
        <v>0</v>
      </c>
      <c r="I21" s="409">
        <f t="shared" si="33"/>
        <v>8724.8166543393836</v>
      </c>
      <c r="J21" s="409">
        <f t="shared" si="33"/>
        <v>8466.9531425264377</v>
      </c>
      <c r="K21" s="409">
        <f t="shared" si="33"/>
        <v>3122.8676763267576</v>
      </c>
      <c r="L21" s="409">
        <f t="shared" si="33"/>
        <v>1414.4002131443035</v>
      </c>
      <c r="M21" s="409">
        <f t="shared" si="33"/>
        <v>5732.3866194834154</v>
      </c>
      <c r="N21" s="410">
        <f>M21</f>
        <v>5732.3866194834154</v>
      </c>
      <c r="O21" s="409">
        <f t="shared" ref="O21:Z21" si="34">O20+N21</f>
        <v>10466.432937582462</v>
      </c>
      <c r="P21" s="409">
        <f t="shared" si="34"/>
        <v>14972.917591828729</v>
      </c>
      <c r="Q21" s="409">
        <f t="shared" si="34"/>
        <v>19649.942234882867</v>
      </c>
      <c r="R21" s="409">
        <f t="shared" si="34"/>
        <v>24307.451840852005</v>
      </c>
      <c r="S21" s="409">
        <f t="shared" si="34"/>
        <v>28732.779293393251</v>
      </c>
      <c r="T21" s="409">
        <f t="shared" si="34"/>
        <v>32418.456365022816</v>
      </c>
      <c r="U21" s="409">
        <f t="shared" si="34"/>
        <v>36298.941273196921</v>
      </c>
      <c r="V21" s="409">
        <f t="shared" si="34"/>
        <v>40064.878922324257</v>
      </c>
      <c r="W21" s="409">
        <f t="shared" si="34"/>
        <v>43518.484608543054</v>
      </c>
      <c r="X21" s="409">
        <f t="shared" si="34"/>
        <v>47893.952513401375</v>
      </c>
      <c r="Y21" s="409">
        <f t="shared" si="34"/>
        <v>52360.258020093999</v>
      </c>
      <c r="Z21" s="409">
        <f t="shared" si="34"/>
        <v>57859.792047338917</v>
      </c>
      <c r="AA21" s="410">
        <f>Z21</f>
        <v>57859.792047338917</v>
      </c>
      <c r="AB21" s="409">
        <f t="shared" ref="AB21:AM21" si="35">AB20+AA21</f>
        <v>64843.595440873469</v>
      </c>
      <c r="AC21" s="409">
        <f t="shared" si="35"/>
        <v>71291.71087575992</v>
      </c>
      <c r="AD21" s="409">
        <f t="shared" si="35"/>
        <v>77983.583428714075</v>
      </c>
      <c r="AE21" s="409">
        <f t="shared" si="35"/>
        <v>84516.3980466004</v>
      </c>
      <c r="AF21" s="409">
        <f t="shared" si="35"/>
        <v>91024.823228532579</v>
      </c>
      <c r="AG21" s="409">
        <f t="shared" si="35"/>
        <v>96791.488011752503</v>
      </c>
      <c r="AH21" s="409">
        <f t="shared" si="35"/>
        <v>102589.74328472899</v>
      </c>
      <c r="AI21" s="409">
        <f t="shared" si="35"/>
        <v>108379.2896738969</v>
      </c>
      <c r="AJ21" s="409">
        <f t="shared" si="35"/>
        <v>112314.87850786324</v>
      </c>
      <c r="AK21" s="409">
        <f t="shared" si="35"/>
        <v>116530.16553591</v>
      </c>
      <c r="AL21" s="409">
        <f t="shared" si="35"/>
        <v>120871.39922538593</v>
      </c>
      <c r="AM21" s="409">
        <f t="shared" si="35"/>
        <v>125428.1951553345</v>
      </c>
      <c r="AN21" s="410">
        <f>AM21</f>
        <v>125428.1951553345</v>
      </c>
      <c r="AO21" s="409">
        <f t="shared" ref="AO21:AZ21" si="36">AO20+AN21</f>
        <v>132335.59563787605</v>
      </c>
      <c r="AP21" s="409">
        <f t="shared" si="36"/>
        <v>138927.3100707884</v>
      </c>
      <c r="AQ21" s="409">
        <f t="shared" si="36"/>
        <v>144250.69411220434</v>
      </c>
      <c r="AR21" s="409">
        <f t="shared" si="36"/>
        <v>149614.60601619506</v>
      </c>
      <c r="AS21" s="409">
        <f t="shared" si="36"/>
        <v>154634.53188301797</v>
      </c>
      <c r="AT21" s="409">
        <f t="shared" si="36"/>
        <v>157813.81573010245</v>
      </c>
      <c r="AU21" s="409">
        <f t="shared" si="36"/>
        <v>162956.02563470582</v>
      </c>
      <c r="AV21" s="409">
        <f t="shared" si="36"/>
        <v>168033.87344689263</v>
      </c>
      <c r="AW21" s="409">
        <f t="shared" si="36"/>
        <v>173029.0394739217</v>
      </c>
      <c r="AX21" s="409">
        <f t="shared" si="36"/>
        <v>178132.10636637078</v>
      </c>
      <c r="AY21" s="409">
        <f t="shared" si="36"/>
        <v>182882.36071974036</v>
      </c>
      <c r="AZ21" s="409">
        <f t="shared" si="36"/>
        <v>188117.58935860018</v>
      </c>
      <c r="BA21" s="410">
        <f>AZ21</f>
        <v>188117.58935860018</v>
      </c>
      <c r="BB21" s="409">
        <f t="shared" ref="BB21:BM21" si="37">BB20+BA21</f>
        <v>193621.27588879451</v>
      </c>
      <c r="BC21" s="409">
        <f t="shared" si="37"/>
        <v>198479.22117569362</v>
      </c>
      <c r="BD21" s="409">
        <f t="shared" si="37"/>
        <v>203505.95346780875</v>
      </c>
      <c r="BE21" s="409">
        <f t="shared" si="37"/>
        <v>217641.08101546875</v>
      </c>
      <c r="BF21" s="409">
        <f t="shared" si="37"/>
        <v>223836.52483869606</v>
      </c>
      <c r="BG21" s="409">
        <f t="shared" si="37"/>
        <v>229263.94402319868</v>
      </c>
      <c r="BH21" s="409">
        <f t="shared" si="37"/>
        <v>234994.83337900814</v>
      </c>
      <c r="BI21" s="409">
        <f t="shared" si="37"/>
        <v>240842.79443539196</v>
      </c>
      <c r="BJ21" s="409">
        <f t="shared" si="37"/>
        <v>246608.78527146412</v>
      </c>
      <c r="BK21" s="409">
        <f t="shared" si="37"/>
        <v>252119.78690205791</v>
      </c>
      <c r="BL21" s="409">
        <f t="shared" si="37"/>
        <v>257699.07815987908</v>
      </c>
      <c r="BM21" s="409">
        <f t="shared" si="37"/>
        <v>263591.57333175134</v>
      </c>
      <c r="BN21" s="410">
        <f>BM21</f>
        <v>263591.57333175134</v>
      </c>
      <c r="BO21" s="410">
        <f>BN21+BO20</f>
        <v>272732.93870685826</v>
      </c>
    </row>
    <row r="22" spans="1:68" x14ac:dyDescent="0.25">
      <c r="A22" s="401" t="s">
        <v>439</v>
      </c>
      <c r="B22" s="396"/>
      <c r="C22" s="396"/>
      <c r="D22" s="396"/>
      <c r="E22" s="396"/>
      <c r="F22" s="396"/>
      <c r="G22" s="396"/>
      <c r="H22" s="396"/>
      <c r="I22" s="396"/>
      <c r="J22" s="396"/>
      <c r="K22" s="396"/>
      <c r="L22" s="396"/>
      <c r="M22" s="396"/>
      <c r="N22" s="396"/>
      <c r="O22" s="396"/>
      <c r="P22" s="396"/>
      <c r="Q22" s="396"/>
      <c r="R22" s="396"/>
      <c r="S22" s="396"/>
      <c r="T22" s="396"/>
      <c r="U22" s="396"/>
      <c r="V22" s="396"/>
      <c r="W22" s="396"/>
      <c r="X22" s="396"/>
      <c r="Y22" s="396"/>
      <c r="Z22" s="396"/>
      <c r="AA22" s="396"/>
      <c r="AB22" s="396"/>
      <c r="AC22" s="396"/>
      <c r="AD22" s="396"/>
      <c r="AE22" s="396"/>
      <c r="AF22" s="396"/>
      <c r="AG22" s="396"/>
      <c r="AH22" s="396"/>
      <c r="AI22" s="396"/>
      <c r="AJ22" s="396"/>
      <c r="AK22" s="396"/>
      <c r="AL22" s="396"/>
      <c r="AM22" s="396"/>
      <c r="AN22" s="396"/>
      <c r="AO22" s="396"/>
      <c r="AP22" s="396"/>
      <c r="AQ22" s="396"/>
      <c r="AR22" s="396"/>
      <c r="AS22" s="396"/>
      <c r="AT22" s="396"/>
      <c r="AU22" s="396"/>
      <c r="AV22" s="396"/>
      <c r="AW22" s="396"/>
      <c r="AX22" s="396"/>
      <c r="AY22" s="396"/>
      <c r="AZ22" s="396"/>
      <c r="BA22" s="396"/>
      <c r="BB22" s="396"/>
      <c r="BC22" s="396"/>
      <c r="BD22" s="396"/>
      <c r="BE22" s="396"/>
      <c r="BF22" s="396"/>
      <c r="BG22" s="396"/>
      <c r="BH22" s="396"/>
      <c r="BI22" s="396"/>
      <c r="BJ22" s="396"/>
      <c r="BK22" s="396"/>
      <c r="BL22" s="396"/>
      <c r="BM22" s="396"/>
      <c r="BN22" s="396"/>
      <c r="BO22" s="396"/>
    </row>
    <row r="23" spans="1:68" x14ac:dyDescent="0.25">
      <c r="A23" s="315" t="s">
        <v>418</v>
      </c>
      <c r="B23" s="396">
        <f>('Upstream Recovery'!E128+'Upstream Recovery'!F128)/12*1000*'Upstream Allocation'!$R$32</f>
        <v>20043.585488351684</v>
      </c>
      <c r="C23" s="396">
        <f>B23</f>
        <v>20043.585488351684</v>
      </c>
      <c r="D23" s="396">
        <f t="shared" ref="D23:M23" si="38">C23</f>
        <v>20043.585488351684</v>
      </c>
      <c r="E23" s="396">
        <f t="shared" si="38"/>
        <v>20043.585488351684</v>
      </c>
      <c r="F23" s="396">
        <f t="shared" si="38"/>
        <v>20043.585488351684</v>
      </c>
      <c r="G23" s="396">
        <f t="shared" si="38"/>
        <v>20043.585488351684</v>
      </c>
      <c r="H23" s="396">
        <f t="shared" si="38"/>
        <v>20043.585488351684</v>
      </c>
      <c r="I23" s="396">
        <f t="shared" si="38"/>
        <v>20043.585488351684</v>
      </c>
      <c r="J23" s="396">
        <f t="shared" si="38"/>
        <v>20043.585488351684</v>
      </c>
      <c r="K23" s="396">
        <f t="shared" si="38"/>
        <v>20043.585488351684</v>
      </c>
      <c r="L23" s="396">
        <f t="shared" si="38"/>
        <v>20043.585488351684</v>
      </c>
      <c r="M23" s="396">
        <f t="shared" si="38"/>
        <v>20043.585488351684</v>
      </c>
      <c r="N23" s="396">
        <f>SUM(B23:M23)</f>
        <v>240523.02586022016</v>
      </c>
      <c r="O23" s="396">
        <f>'Upstream Recovery'!G128/12*1000*'Upstream Allocation'!$R$32</f>
        <v>13104.055787241525</v>
      </c>
      <c r="P23" s="396">
        <f>O23</f>
        <v>13104.055787241525</v>
      </c>
      <c r="Q23" s="396">
        <f t="shared" ref="Q23:Z23" si="39">P23</f>
        <v>13104.055787241525</v>
      </c>
      <c r="R23" s="396">
        <f t="shared" si="39"/>
        <v>13104.055787241525</v>
      </c>
      <c r="S23" s="396">
        <f t="shared" si="39"/>
        <v>13104.055787241525</v>
      </c>
      <c r="T23" s="396">
        <f t="shared" si="39"/>
        <v>13104.055787241525</v>
      </c>
      <c r="U23" s="396">
        <f t="shared" si="39"/>
        <v>13104.055787241525</v>
      </c>
      <c r="V23" s="396">
        <f t="shared" si="39"/>
        <v>13104.055787241525</v>
      </c>
      <c r="W23" s="396">
        <f t="shared" si="39"/>
        <v>13104.055787241525</v>
      </c>
      <c r="X23" s="396">
        <f t="shared" si="39"/>
        <v>13104.055787241525</v>
      </c>
      <c r="Y23" s="396">
        <f t="shared" si="39"/>
        <v>13104.055787241525</v>
      </c>
      <c r="Z23" s="396">
        <f t="shared" si="39"/>
        <v>13104.055787241525</v>
      </c>
      <c r="AA23" s="396">
        <f>SUM(O23:Z23)</f>
        <v>157248.6694468983</v>
      </c>
      <c r="AB23" s="396">
        <f>'Upstream Recovery'!H128/12*1000*'Upstream Allocation'!$R$32</f>
        <v>12882.626182961869</v>
      </c>
      <c r="AC23" s="396">
        <f>AB23</f>
        <v>12882.626182961869</v>
      </c>
      <c r="AD23" s="396">
        <f t="shared" ref="AD23:AM23" si="40">AC23</f>
        <v>12882.626182961869</v>
      </c>
      <c r="AE23" s="396">
        <f t="shared" si="40"/>
        <v>12882.626182961869</v>
      </c>
      <c r="AF23" s="396">
        <f t="shared" si="40"/>
        <v>12882.626182961869</v>
      </c>
      <c r="AG23" s="396">
        <f t="shared" si="40"/>
        <v>12882.626182961869</v>
      </c>
      <c r="AH23" s="396">
        <f t="shared" si="40"/>
        <v>12882.626182961869</v>
      </c>
      <c r="AI23" s="396">
        <f t="shared" si="40"/>
        <v>12882.626182961869</v>
      </c>
      <c r="AJ23" s="396">
        <f t="shared" si="40"/>
        <v>12882.626182961869</v>
      </c>
      <c r="AK23" s="396">
        <f t="shared" si="40"/>
        <v>12882.626182961869</v>
      </c>
      <c r="AL23" s="396">
        <f t="shared" si="40"/>
        <v>12882.626182961869</v>
      </c>
      <c r="AM23" s="396">
        <f t="shared" si="40"/>
        <v>12882.626182961869</v>
      </c>
      <c r="AN23" s="396">
        <f>SUM(AB23:AM23)</f>
        <v>154591.51419554243</v>
      </c>
      <c r="AO23" s="396">
        <f>'Upstream Recovery'!I128/12*1000*'Upstream Allocation'!$R$32</f>
        <v>12661.196578682213</v>
      </c>
      <c r="AP23" s="396">
        <f>AO23</f>
        <v>12661.196578682213</v>
      </c>
      <c r="AQ23" s="396">
        <f t="shared" ref="AQ23:BM23" si="41">AP23</f>
        <v>12661.196578682213</v>
      </c>
      <c r="AR23" s="396">
        <f t="shared" si="41"/>
        <v>12661.196578682213</v>
      </c>
      <c r="AS23" s="396">
        <f t="shared" si="41"/>
        <v>12661.196578682213</v>
      </c>
      <c r="AT23" s="396">
        <f t="shared" si="41"/>
        <v>12661.196578682213</v>
      </c>
      <c r="AU23" s="396">
        <f t="shared" si="41"/>
        <v>12661.196578682213</v>
      </c>
      <c r="AV23" s="396">
        <f t="shared" si="41"/>
        <v>12661.196578682213</v>
      </c>
      <c r="AW23" s="396">
        <f t="shared" si="41"/>
        <v>12661.196578682213</v>
      </c>
      <c r="AX23" s="396">
        <f t="shared" si="41"/>
        <v>12661.196578682213</v>
      </c>
      <c r="AY23" s="396">
        <f t="shared" si="41"/>
        <v>12661.196578682213</v>
      </c>
      <c r="AZ23" s="396">
        <f t="shared" si="41"/>
        <v>12661.196578682213</v>
      </c>
      <c r="BA23" s="396">
        <f>SUM(AO23:AZ23)</f>
        <v>151934.35894418656</v>
      </c>
      <c r="BB23" s="396">
        <f>'Upstream Recovery'!J128/12*1000*'Upstream Allocation'!$R$32</f>
        <v>12439.766974402555</v>
      </c>
      <c r="BC23" s="396">
        <f>BB23</f>
        <v>12439.766974402555</v>
      </c>
      <c r="BD23" s="396">
        <f t="shared" si="41"/>
        <v>12439.766974402555</v>
      </c>
      <c r="BE23" s="396">
        <f t="shared" si="41"/>
        <v>12439.766974402555</v>
      </c>
      <c r="BF23" s="396">
        <f t="shared" si="41"/>
        <v>12439.766974402555</v>
      </c>
      <c r="BG23" s="396">
        <f t="shared" si="41"/>
        <v>12439.766974402555</v>
      </c>
      <c r="BH23" s="396">
        <f t="shared" si="41"/>
        <v>12439.766974402555</v>
      </c>
      <c r="BI23" s="396">
        <f t="shared" si="41"/>
        <v>12439.766974402555</v>
      </c>
      <c r="BJ23" s="396">
        <f t="shared" si="41"/>
        <v>12439.766974402555</v>
      </c>
      <c r="BK23" s="396">
        <f t="shared" si="41"/>
        <v>12439.766974402555</v>
      </c>
      <c r="BL23" s="396">
        <f t="shared" si="41"/>
        <v>12439.766974402555</v>
      </c>
      <c r="BM23" s="396">
        <f t="shared" si="41"/>
        <v>12439.766974402555</v>
      </c>
      <c r="BN23" s="396">
        <f>SUM(BB23:BM23)</f>
        <v>149277.20369283069</v>
      </c>
      <c r="BO23" s="396"/>
      <c r="BP23" s="408"/>
    </row>
    <row r="24" spans="1:68" x14ac:dyDescent="0.25">
      <c r="A24" s="315" t="s">
        <v>419</v>
      </c>
      <c r="B24" s="396">
        <f>'S&amp;TVA Q4 2020'!B44</f>
        <v>0</v>
      </c>
      <c r="C24" s="396">
        <f>'S&amp;TVA Q4 2020'!C44</f>
        <v>0</v>
      </c>
      <c r="D24" s="396">
        <f>'S&amp;TVA Q4 2020'!D44</f>
        <v>0</v>
      </c>
      <c r="E24" s="396">
        <f>'S&amp;TVA Q4 2020'!E44</f>
        <v>0</v>
      </c>
      <c r="F24" s="396">
        <f>'S&amp;TVA Q4 2020'!F44</f>
        <v>0</v>
      </c>
      <c r="G24" s="396">
        <f>'S&amp;TVA Q4 2020'!G44</f>
        <v>0</v>
      </c>
      <c r="H24" s="396">
        <f>'S&amp;TVA Q4 2020'!H44</f>
        <v>0</v>
      </c>
      <c r="I24" s="396">
        <f>'S&amp;TVA Q4 2020'!I44</f>
        <v>0</v>
      </c>
      <c r="J24" s="396">
        <f>'S&amp;TVA Q4 2020'!J44</f>
        <v>7687.74</v>
      </c>
      <c r="K24" s="396">
        <f>'S&amp;TVA Q4 2020'!K44</f>
        <v>12362.109999999999</v>
      </c>
      <c r="L24" s="396">
        <f>'S&amp;TVA Q4 2020'!L44</f>
        <v>12354.59</v>
      </c>
      <c r="M24" s="396">
        <f>'S&amp;TVA Q4 2020'!M44</f>
        <v>12367.12</v>
      </c>
      <c r="N24" s="396">
        <f>SUM(B24:M24)</f>
        <v>44771.56</v>
      </c>
      <c r="O24" s="396">
        <f>'S&amp;TVA 2021'!B46</f>
        <v>12367.12</v>
      </c>
      <c r="P24" s="396">
        <f>'S&amp;TVA 2021'!C46</f>
        <v>12367.12</v>
      </c>
      <c r="Q24" s="396">
        <f>'S&amp;TVA 2021'!D46</f>
        <v>12367.12</v>
      </c>
      <c r="R24" s="396">
        <f>'S&amp;TVA 2021'!E46</f>
        <v>12367.12</v>
      </c>
      <c r="S24" s="396">
        <f>'S&amp;TVA 2021'!F46</f>
        <v>12367.12</v>
      </c>
      <c r="T24" s="396">
        <f>'S&amp;TVA 2021'!G46</f>
        <v>12367.12</v>
      </c>
      <c r="U24" s="396">
        <f>'S&amp;TVA 2021'!H46</f>
        <v>12367.12</v>
      </c>
      <c r="V24" s="396">
        <f>'S&amp;TVA 2021'!I46</f>
        <v>12367.12</v>
      </c>
      <c r="W24" s="396">
        <f>'S&amp;TVA 2021'!J46</f>
        <v>12367.12</v>
      </c>
      <c r="X24" s="396">
        <f>'S&amp;TVA 2021'!K46</f>
        <v>12367.12</v>
      </c>
      <c r="Y24" s="396">
        <f>'S&amp;TVA 2021'!L46</f>
        <v>12367.12</v>
      </c>
      <c r="Z24" s="396">
        <f>'S&amp;TVA 2021'!M46</f>
        <v>12367.12</v>
      </c>
      <c r="AA24" s="396">
        <f>SUM(O24:Z24)</f>
        <v>148405.43999999997</v>
      </c>
      <c r="AB24" s="396">
        <f>'S&amp;TVA 2022'!B46</f>
        <v>12367.12</v>
      </c>
      <c r="AC24" s="396">
        <f>'S&amp;TVA 2022'!C46</f>
        <v>12367.12</v>
      </c>
      <c r="AD24" s="396">
        <f>'S&amp;TVA 2022'!D46</f>
        <v>12367.12</v>
      </c>
      <c r="AE24" s="396">
        <f>'S&amp;TVA 2022'!E46</f>
        <v>12367.12</v>
      </c>
      <c r="AF24" s="396">
        <f>'S&amp;TVA 2022'!F46</f>
        <v>12367.12</v>
      </c>
      <c r="AG24" s="396">
        <f>'S&amp;TVA 2022'!G46</f>
        <v>12367.12</v>
      </c>
      <c r="AH24" s="396">
        <f>'S&amp;TVA 2022'!H46</f>
        <v>12367.12</v>
      </c>
      <c r="AI24" s="396">
        <f>'S&amp;TVA 2022'!I46</f>
        <v>12367.12</v>
      </c>
      <c r="AJ24" s="396">
        <f>'S&amp;TVA 2022'!J46</f>
        <v>13655.79</v>
      </c>
      <c r="AK24" s="396">
        <f>'S&amp;TVA 2022'!K46</f>
        <v>13660.99</v>
      </c>
      <c r="AL24" s="396">
        <f>'S&amp;TVA 2022'!L46</f>
        <v>13683.79</v>
      </c>
      <c r="AM24" s="396">
        <f>'S&amp;TVA 2022'!M46</f>
        <v>31962.620000000003</v>
      </c>
      <c r="AN24" s="396">
        <f>SUM(AB24:AM24)</f>
        <v>171900.15</v>
      </c>
      <c r="AO24" s="396">
        <f>'S&amp;TVA 2023'!B47</f>
        <v>14930.08</v>
      </c>
      <c r="AP24" s="396">
        <f>'S&amp;TVA 2023'!C47</f>
        <v>12367.12</v>
      </c>
      <c r="AQ24" s="396">
        <f>'S&amp;TVA 2023'!D47</f>
        <v>13648.6</v>
      </c>
      <c r="AR24" s="396">
        <f>'S&amp;TVA 2023'!E47</f>
        <v>13648.6</v>
      </c>
      <c r="AS24" s="396">
        <f>'S&amp;TVA 2023'!F47</f>
        <v>13648.6</v>
      </c>
      <c r="AT24" s="396">
        <f>'S&amp;TVA 2023'!G47</f>
        <v>14930.08</v>
      </c>
      <c r="AU24" s="396">
        <f>'S&amp;TVA 2023'!H47</f>
        <v>13648.6</v>
      </c>
      <c r="AV24" s="396">
        <f>'S&amp;TVA 2023'!I47</f>
        <v>13648.6</v>
      </c>
      <c r="AW24" s="396">
        <f>'S&amp;TVA 2023'!J47</f>
        <v>13648.6</v>
      </c>
      <c r="AX24" s="396">
        <f>'S&amp;TVA 2023'!K47</f>
        <v>13648.6</v>
      </c>
      <c r="AY24" s="396">
        <f>'S&amp;TVA 2023'!L47</f>
        <v>13648.6</v>
      </c>
      <c r="AZ24" s="396">
        <f>'S&amp;TVA 2023'!M47</f>
        <v>13648.6</v>
      </c>
      <c r="BA24" s="396">
        <f>SUM(AO24:AZ24)</f>
        <v>165064.68000000002</v>
      </c>
      <c r="BB24" s="396">
        <f>'S&amp;TVA 2024'!B57</f>
        <v>13648.6</v>
      </c>
      <c r="BC24" s="396">
        <f>'S&amp;TVA 2024'!C57</f>
        <v>13648.6</v>
      </c>
      <c r="BD24" s="396">
        <f>'S&amp;TVA 2024'!D57</f>
        <v>13648.6</v>
      </c>
      <c r="BE24" s="396">
        <f>'S&amp;TVA 2024'!E57</f>
        <v>13648.6</v>
      </c>
      <c r="BF24" s="396">
        <f>'S&amp;TVA 2024'!F57</f>
        <v>13648.6</v>
      </c>
      <c r="BG24" s="396">
        <f>'S&amp;TVA 2024'!G57</f>
        <v>13648.6</v>
      </c>
      <c r="BH24" s="396">
        <f>'S&amp;TVA 2024'!H57</f>
        <v>13648.6</v>
      </c>
      <c r="BI24" s="396">
        <f>'S&amp;TVA 2024'!I57</f>
        <v>13648.6</v>
      </c>
      <c r="BJ24" s="396">
        <f>'S&amp;TVA 2024'!J57</f>
        <v>13648.6</v>
      </c>
      <c r="BK24" s="396">
        <f>'S&amp;TVA 2024'!K57</f>
        <v>13648.6</v>
      </c>
      <c r="BL24" s="396">
        <f>'S&amp;TVA 2024'!L57</f>
        <v>13648.6</v>
      </c>
      <c r="BM24" s="396">
        <f>'S&amp;TVA 2024'!M57</f>
        <v>13648.6</v>
      </c>
      <c r="BN24" s="396">
        <f>SUM(BB24:BM24)</f>
        <v>163783.20000000004</v>
      </c>
      <c r="BO24" s="396"/>
      <c r="BP24" s="411"/>
    </row>
    <row r="25" spans="1:68" x14ac:dyDescent="0.25">
      <c r="B25" s="396"/>
      <c r="C25" s="396"/>
      <c r="D25" s="396"/>
      <c r="E25" s="396"/>
      <c r="F25" s="396"/>
      <c r="G25" s="396"/>
      <c r="H25" s="396"/>
      <c r="I25" s="396"/>
      <c r="J25" s="396"/>
      <c r="K25" s="396"/>
      <c r="L25" s="396"/>
      <c r="M25" s="396"/>
      <c r="N25" s="396"/>
      <c r="O25" s="396"/>
      <c r="P25" s="396"/>
      <c r="Q25" s="396"/>
      <c r="R25" s="396"/>
      <c r="S25" s="396"/>
      <c r="T25" s="396"/>
      <c r="U25" s="396"/>
      <c r="V25" s="396"/>
      <c r="W25" s="396"/>
      <c r="X25" s="396"/>
      <c r="Y25" s="396"/>
      <c r="Z25" s="396"/>
      <c r="AA25" s="396"/>
      <c r="AB25" s="396"/>
      <c r="AC25" s="396"/>
      <c r="AD25" s="396"/>
      <c r="AE25" s="396"/>
      <c r="AF25" s="396"/>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6"/>
      <c r="BC25" s="396"/>
      <c r="BD25" s="396"/>
      <c r="BE25" s="396"/>
      <c r="BF25" s="396"/>
      <c r="BG25" s="396"/>
      <c r="BH25" s="396"/>
      <c r="BI25" s="396"/>
      <c r="BJ25" s="396"/>
      <c r="BK25" s="396"/>
      <c r="BL25" s="396"/>
      <c r="BM25" s="396"/>
      <c r="BN25" s="396"/>
      <c r="BO25" s="396"/>
    </row>
    <row r="26" spans="1:68" x14ac:dyDescent="0.25">
      <c r="A26" s="315" t="s">
        <v>417</v>
      </c>
      <c r="B26" s="396">
        <f>B23-B24</f>
        <v>20043.585488351684</v>
      </c>
      <c r="C26" s="396">
        <f t="shared" ref="C26:M26" si="42">C23-C24</f>
        <v>20043.585488351684</v>
      </c>
      <c r="D26" s="396">
        <f t="shared" si="42"/>
        <v>20043.585488351684</v>
      </c>
      <c r="E26" s="396">
        <f t="shared" si="42"/>
        <v>20043.585488351684</v>
      </c>
      <c r="F26" s="396">
        <f t="shared" si="42"/>
        <v>20043.585488351684</v>
      </c>
      <c r="G26" s="396">
        <f t="shared" si="42"/>
        <v>20043.585488351684</v>
      </c>
      <c r="H26" s="396">
        <f t="shared" si="42"/>
        <v>20043.585488351684</v>
      </c>
      <c r="I26" s="396">
        <f t="shared" si="42"/>
        <v>20043.585488351684</v>
      </c>
      <c r="J26" s="396">
        <f t="shared" si="42"/>
        <v>12355.845488351684</v>
      </c>
      <c r="K26" s="396">
        <f t="shared" si="42"/>
        <v>7681.4754883516853</v>
      </c>
      <c r="L26" s="396">
        <f t="shared" si="42"/>
        <v>7688.9954883516839</v>
      </c>
      <c r="M26" s="396">
        <f t="shared" si="42"/>
        <v>7676.4654883516832</v>
      </c>
      <c r="N26" s="396">
        <f>SUM(B26:M26)</f>
        <v>195751.4658602202</v>
      </c>
      <c r="O26" s="396">
        <f>O23-O24</f>
        <v>736.93578724152394</v>
      </c>
      <c r="P26" s="396">
        <f t="shared" ref="P26:Z26" si="43">P23-P24</f>
        <v>736.93578724152394</v>
      </c>
      <c r="Q26" s="396">
        <f t="shared" si="43"/>
        <v>736.93578724152394</v>
      </c>
      <c r="R26" s="396">
        <f t="shared" si="43"/>
        <v>736.93578724152394</v>
      </c>
      <c r="S26" s="396">
        <f t="shared" si="43"/>
        <v>736.93578724152394</v>
      </c>
      <c r="T26" s="396">
        <f t="shared" si="43"/>
        <v>736.93578724152394</v>
      </c>
      <c r="U26" s="396">
        <f t="shared" si="43"/>
        <v>736.93578724152394</v>
      </c>
      <c r="V26" s="396">
        <f t="shared" si="43"/>
        <v>736.93578724152394</v>
      </c>
      <c r="W26" s="396">
        <f t="shared" si="43"/>
        <v>736.93578724152394</v>
      </c>
      <c r="X26" s="396">
        <f t="shared" si="43"/>
        <v>736.93578724152394</v>
      </c>
      <c r="Y26" s="396">
        <f t="shared" si="43"/>
        <v>736.93578724152394</v>
      </c>
      <c r="Z26" s="396">
        <f t="shared" si="43"/>
        <v>736.93578724152394</v>
      </c>
      <c r="AA26" s="396">
        <f>SUM(O26:Z26)</f>
        <v>8843.2294468982873</v>
      </c>
      <c r="AB26" s="396">
        <f>AB23-AB24</f>
        <v>515.50618296186803</v>
      </c>
      <c r="AC26" s="396">
        <f t="shared" ref="AC26:AM26" si="44">AC23-AC24</f>
        <v>515.50618296186803</v>
      </c>
      <c r="AD26" s="396">
        <f t="shared" si="44"/>
        <v>515.50618296186803</v>
      </c>
      <c r="AE26" s="396">
        <f t="shared" si="44"/>
        <v>515.50618296186803</v>
      </c>
      <c r="AF26" s="396">
        <f t="shared" si="44"/>
        <v>515.50618296186803</v>
      </c>
      <c r="AG26" s="396">
        <f t="shared" si="44"/>
        <v>515.50618296186803</v>
      </c>
      <c r="AH26" s="396">
        <f t="shared" si="44"/>
        <v>515.50618296186803</v>
      </c>
      <c r="AI26" s="396">
        <f t="shared" si="44"/>
        <v>515.50618296186803</v>
      </c>
      <c r="AJ26" s="396">
        <f t="shared" si="44"/>
        <v>-773.16381703813204</v>
      </c>
      <c r="AK26" s="396">
        <f t="shared" si="44"/>
        <v>-778.36381703813095</v>
      </c>
      <c r="AL26" s="396">
        <f t="shared" si="44"/>
        <v>-801.16381703813204</v>
      </c>
      <c r="AM26" s="396">
        <f t="shared" si="44"/>
        <v>-19079.993817038136</v>
      </c>
      <c r="AN26" s="396">
        <f>SUM(AB26:AM26)</f>
        <v>-17308.635804457586</v>
      </c>
      <c r="AO26" s="396">
        <f>AO23-AO24</f>
        <v>-2268.883421317787</v>
      </c>
      <c r="AP26" s="396">
        <f t="shared" ref="AP26:AZ26" si="45">AP23-AP24</f>
        <v>294.07657868221213</v>
      </c>
      <c r="AQ26" s="396">
        <f t="shared" si="45"/>
        <v>-987.40342131778743</v>
      </c>
      <c r="AR26" s="396">
        <f t="shared" si="45"/>
        <v>-987.40342131778743</v>
      </c>
      <c r="AS26" s="396">
        <f t="shared" si="45"/>
        <v>-987.40342131778743</v>
      </c>
      <c r="AT26" s="396">
        <f t="shared" si="45"/>
        <v>-2268.883421317787</v>
      </c>
      <c r="AU26" s="396">
        <f t="shared" si="45"/>
        <v>-987.40342131778743</v>
      </c>
      <c r="AV26" s="396">
        <f t="shared" si="45"/>
        <v>-987.40342131778743</v>
      </c>
      <c r="AW26" s="396">
        <f t="shared" si="45"/>
        <v>-987.40342131778743</v>
      </c>
      <c r="AX26" s="396">
        <f t="shared" si="45"/>
        <v>-987.40342131778743</v>
      </c>
      <c r="AY26" s="396">
        <f t="shared" si="45"/>
        <v>-987.40342131778743</v>
      </c>
      <c r="AZ26" s="396">
        <f t="shared" si="45"/>
        <v>-987.40342131778743</v>
      </c>
      <c r="BA26" s="396">
        <f>SUM(AO26:AZ26)</f>
        <v>-13130.321055813449</v>
      </c>
      <c r="BB26" s="396">
        <f>BB23-BB24</f>
        <v>-1208.8330255974452</v>
      </c>
      <c r="BC26" s="396">
        <f t="shared" ref="BC26:BM26" si="46">BC23-BC24</f>
        <v>-1208.8330255974452</v>
      </c>
      <c r="BD26" s="396">
        <f t="shared" si="46"/>
        <v>-1208.8330255974452</v>
      </c>
      <c r="BE26" s="396">
        <f t="shared" si="46"/>
        <v>-1208.8330255974452</v>
      </c>
      <c r="BF26" s="396">
        <f t="shared" si="46"/>
        <v>-1208.8330255974452</v>
      </c>
      <c r="BG26" s="396">
        <f t="shared" si="46"/>
        <v>-1208.8330255974452</v>
      </c>
      <c r="BH26" s="396">
        <f t="shared" si="46"/>
        <v>-1208.8330255974452</v>
      </c>
      <c r="BI26" s="396">
        <f t="shared" si="46"/>
        <v>-1208.8330255974452</v>
      </c>
      <c r="BJ26" s="396">
        <f t="shared" si="46"/>
        <v>-1208.8330255974452</v>
      </c>
      <c r="BK26" s="396">
        <f t="shared" si="46"/>
        <v>-1208.8330255974452</v>
      </c>
      <c r="BL26" s="396">
        <f t="shared" si="46"/>
        <v>-1208.8330255974452</v>
      </c>
      <c r="BM26" s="396">
        <f t="shared" si="46"/>
        <v>-1208.8330255974452</v>
      </c>
      <c r="BN26" s="396">
        <f>SUM(BB26:BM26)</f>
        <v>-14505.996307169342</v>
      </c>
      <c r="BO26" s="396"/>
    </row>
    <row r="27" spans="1:68" x14ac:dyDescent="0.25">
      <c r="A27" s="392" t="s">
        <v>432</v>
      </c>
      <c r="B27" s="396">
        <f>B26</f>
        <v>20043.585488351684</v>
      </c>
      <c r="C27" s="396">
        <f>C26+B27</f>
        <v>40087.170976703368</v>
      </c>
      <c r="D27" s="396">
        <f t="shared" ref="D27:M27" si="47">D26+C27</f>
        <v>60130.756465055048</v>
      </c>
      <c r="E27" s="396">
        <f t="shared" si="47"/>
        <v>80174.341953406736</v>
      </c>
      <c r="F27" s="396">
        <f t="shared" si="47"/>
        <v>100217.92744175842</v>
      </c>
      <c r="G27" s="396">
        <f t="shared" si="47"/>
        <v>120261.51293011011</v>
      </c>
      <c r="H27" s="396">
        <f t="shared" si="47"/>
        <v>140305.0984184618</v>
      </c>
      <c r="I27" s="396">
        <f t="shared" si="47"/>
        <v>160348.68390681347</v>
      </c>
      <c r="J27" s="396">
        <f t="shared" si="47"/>
        <v>172704.52939516515</v>
      </c>
      <c r="K27" s="396">
        <f t="shared" si="47"/>
        <v>180386.00488351684</v>
      </c>
      <c r="L27" s="396">
        <f t="shared" si="47"/>
        <v>188075.00037186852</v>
      </c>
      <c r="M27" s="396">
        <f t="shared" si="47"/>
        <v>195751.4658602202</v>
      </c>
      <c r="N27" s="396">
        <f>M27</f>
        <v>195751.4658602202</v>
      </c>
      <c r="O27" s="396">
        <f t="shared" ref="O27:Z27" si="48">O26+N27</f>
        <v>196488.40164746172</v>
      </c>
      <c r="P27" s="396">
        <f t="shared" si="48"/>
        <v>197225.33743470325</v>
      </c>
      <c r="Q27" s="396">
        <f t="shared" si="48"/>
        <v>197962.27322194478</v>
      </c>
      <c r="R27" s="396">
        <f t="shared" si="48"/>
        <v>198699.20900918631</v>
      </c>
      <c r="S27" s="396">
        <f t="shared" si="48"/>
        <v>199436.14479642783</v>
      </c>
      <c r="T27" s="396">
        <f t="shared" si="48"/>
        <v>200173.08058366936</v>
      </c>
      <c r="U27" s="396">
        <f t="shared" si="48"/>
        <v>200910.01637091089</v>
      </c>
      <c r="V27" s="396">
        <f t="shared" si="48"/>
        <v>201646.95215815242</v>
      </c>
      <c r="W27" s="396">
        <f t="shared" si="48"/>
        <v>202383.88794539394</v>
      </c>
      <c r="X27" s="396">
        <f t="shared" si="48"/>
        <v>203120.82373263547</v>
      </c>
      <c r="Y27" s="396">
        <f t="shared" si="48"/>
        <v>203857.759519877</v>
      </c>
      <c r="Z27" s="396">
        <f t="shared" si="48"/>
        <v>204594.69530711853</v>
      </c>
      <c r="AA27" s="396">
        <f>Z27</f>
        <v>204594.69530711853</v>
      </c>
      <c r="AB27" s="396">
        <f t="shared" ref="AB27:AM27" si="49">AB26+AA27</f>
        <v>205110.20149008039</v>
      </c>
      <c r="AC27" s="396">
        <f t="shared" si="49"/>
        <v>205625.70767304226</v>
      </c>
      <c r="AD27" s="396">
        <f t="shared" si="49"/>
        <v>206141.21385600412</v>
      </c>
      <c r="AE27" s="396">
        <f t="shared" si="49"/>
        <v>206656.72003896598</v>
      </c>
      <c r="AF27" s="396">
        <f t="shared" si="49"/>
        <v>207172.22622192785</v>
      </c>
      <c r="AG27" s="396">
        <f t="shared" si="49"/>
        <v>207687.73240488971</v>
      </c>
      <c r="AH27" s="396">
        <f t="shared" si="49"/>
        <v>208203.23858785158</v>
      </c>
      <c r="AI27" s="396">
        <f t="shared" si="49"/>
        <v>208718.74477081344</v>
      </c>
      <c r="AJ27" s="396">
        <f t="shared" si="49"/>
        <v>207945.58095377532</v>
      </c>
      <c r="AK27" s="396">
        <f t="shared" si="49"/>
        <v>207167.21713673719</v>
      </c>
      <c r="AL27" s="396">
        <f t="shared" si="49"/>
        <v>206366.05331969907</v>
      </c>
      <c r="AM27" s="396">
        <f t="shared" si="49"/>
        <v>187286.05950266094</v>
      </c>
      <c r="AN27" s="396">
        <f>AM27</f>
        <v>187286.05950266094</v>
      </c>
      <c r="AO27" s="396">
        <f t="shared" ref="AO27:AZ27" si="50">AO26+AN27</f>
        <v>185017.17608134315</v>
      </c>
      <c r="AP27" s="396">
        <f t="shared" si="50"/>
        <v>185311.25266002535</v>
      </c>
      <c r="AQ27" s="396">
        <f t="shared" si="50"/>
        <v>184323.84923870757</v>
      </c>
      <c r="AR27" s="396">
        <f t="shared" si="50"/>
        <v>183336.44581738979</v>
      </c>
      <c r="AS27" s="396">
        <f t="shared" si="50"/>
        <v>182349.04239607201</v>
      </c>
      <c r="AT27" s="396">
        <f t="shared" si="50"/>
        <v>180080.15897475422</v>
      </c>
      <c r="AU27" s="396">
        <f t="shared" si="50"/>
        <v>179092.75555343644</v>
      </c>
      <c r="AV27" s="396">
        <f t="shared" si="50"/>
        <v>178105.35213211866</v>
      </c>
      <c r="AW27" s="396">
        <f t="shared" si="50"/>
        <v>177117.94871080088</v>
      </c>
      <c r="AX27" s="396">
        <f t="shared" si="50"/>
        <v>176130.5452894831</v>
      </c>
      <c r="AY27" s="396">
        <f t="shared" si="50"/>
        <v>175143.14186816532</v>
      </c>
      <c r="AZ27" s="396">
        <f t="shared" si="50"/>
        <v>174155.73844684754</v>
      </c>
      <c r="BA27" s="396">
        <f>AZ27</f>
        <v>174155.73844684754</v>
      </c>
      <c r="BB27" s="396">
        <f t="shared" ref="BB27:BM27" si="51">BB26+BA27</f>
        <v>172946.90542125009</v>
      </c>
      <c r="BC27" s="396">
        <f t="shared" si="51"/>
        <v>171738.07239565265</v>
      </c>
      <c r="BD27" s="396">
        <f t="shared" si="51"/>
        <v>170529.23937005521</v>
      </c>
      <c r="BE27" s="396">
        <f t="shared" si="51"/>
        <v>169320.40634445776</v>
      </c>
      <c r="BF27" s="396">
        <f t="shared" si="51"/>
        <v>168111.57331886032</v>
      </c>
      <c r="BG27" s="396">
        <f t="shared" si="51"/>
        <v>166902.74029326288</v>
      </c>
      <c r="BH27" s="396">
        <f t="shared" si="51"/>
        <v>165693.90726766543</v>
      </c>
      <c r="BI27" s="396">
        <f t="shared" si="51"/>
        <v>164485.07424206799</v>
      </c>
      <c r="BJ27" s="396">
        <f t="shared" si="51"/>
        <v>163276.24121647055</v>
      </c>
      <c r="BK27" s="396">
        <f t="shared" si="51"/>
        <v>162067.4081908731</v>
      </c>
      <c r="BL27" s="396">
        <f t="shared" si="51"/>
        <v>160858.57516527566</v>
      </c>
      <c r="BM27" s="396">
        <f t="shared" si="51"/>
        <v>159649.74213967822</v>
      </c>
      <c r="BN27" s="396">
        <f>BM27</f>
        <v>159649.74213967822</v>
      </c>
      <c r="BO27" s="396"/>
    </row>
    <row r="28" spans="1:68" x14ac:dyDescent="0.25">
      <c r="A28" s="392"/>
      <c r="B28" s="397"/>
      <c r="C28" s="397"/>
      <c r="D28" s="397"/>
      <c r="E28" s="397"/>
      <c r="F28" s="397"/>
      <c r="G28" s="397"/>
      <c r="H28" s="397"/>
      <c r="I28" s="397"/>
      <c r="J28" s="397"/>
      <c r="K28" s="397"/>
      <c r="L28" s="397"/>
      <c r="M28" s="397"/>
      <c r="N28" s="397"/>
      <c r="O28" s="397"/>
      <c r="P28" s="397"/>
      <c r="Q28" s="397"/>
      <c r="R28" s="397"/>
      <c r="S28" s="397"/>
      <c r="T28" s="397"/>
      <c r="U28" s="397"/>
      <c r="V28" s="397"/>
      <c r="W28" s="397"/>
      <c r="X28" s="397"/>
      <c r="Y28" s="397"/>
      <c r="Z28" s="397"/>
      <c r="AA28" s="397"/>
      <c r="AB28" s="397"/>
      <c r="AC28" s="397"/>
      <c r="AD28" s="397"/>
      <c r="AE28" s="397"/>
      <c r="AF28" s="397"/>
      <c r="AG28" s="397"/>
      <c r="AH28" s="397"/>
      <c r="AI28" s="397"/>
      <c r="AJ28" s="397"/>
      <c r="AK28" s="397"/>
      <c r="AL28" s="397"/>
      <c r="AM28" s="397"/>
      <c r="AN28" s="397"/>
      <c r="AO28" s="397"/>
      <c r="AP28" s="397"/>
      <c r="AQ28" s="397"/>
      <c r="AR28" s="397"/>
      <c r="AS28" s="397"/>
      <c r="AT28" s="397"/>
      <c r="AU28" s="397"/>
      <c r="AV28" s="397"/>
      <c r="AW28" s="397"/>
      <c r="AX28" s="397"/>
      <c r="AY28" s="397"/>
      <c r="AZ28" s="397"/>
      <c r="BA28" s="397"/>
      <c r="BB28" s="397"/>
      <c r="BC28" s="397"/>
      <c r="BD28" s="397"/>
      <c r="BE28" s="397"/>
      <c r="BF28" s="397"/>
      <c r="BG28" s="397"/>
      <c r="BH28" s="397"/>
      <c r="BI28" s="397"/>
      <c r="BJ28" s="397"/>
      <c r="BK28" s="397"/>
      <c r="BL28" s="397"/>
      <c r="BM28" s="397"/>
      <c r="BN28" s="397"/>
      <c r="BO28" s="397"/>
    </row>
    <row r="29" spans="1:68" x14ac:dyDescent="0.25">
      <c r="A29" s="392" t="s">
        <v>433</v>
      </c>
      <c r="B29" s="396">
        <v>0</v>
      </c>
      <c r="C29" s="396">
        <f>B27*C31/12</f>
        <v>62.135115013890221</v>
      </c>
      <c r="D29" s="396">
        <f t="shared" ref="D29:M29" si="52">C27*D31/12</f>
        <v>124.27023002778044</v>
      </c>
      <c r="E29" s="396">
        <f t="shared" si="52"/>
        <v>186.40534504167067</v>
      </c>
      <c r="F29" s="396">
        <f t="shared" si="52"/>
        <v>248.54046005556089</v>
      </c>
      <c r="G29" s="396">
        <f t="shared" si="52"/>
        <v>310.67557506945116</v>
      </c>
      <c r="H29" s="396">
        <f t="shared" si="52"/>
        <v>372.8106900833414</v>
      </c>
      <c r="I29" s="396">
        <f t="shared" si="52"/>
        <v>434.94580509723164</v>
      </c>
      <c r="J29" s="396">
        <f t="shared" si="52"/>
        <v>497.08092011112177</v>
      </c>
      <c r="K29" s="396">
        <f t="shared" si="52"/>
        <v>535.384041125012</v>
      </c>
      <c r="L29" s="396">
        <f t="shared" si="52"/>
        <v>559.1966151389023</v>
      </c>
      <c r="M29" s="396">
        <f t="shared" si="52"/>
        <v>583.03250115279241</v>
      </c>
      <c r="N29" s="396">
        <f>SUM(B29:M29)</f>
        <v>3914.4772979167551</v>
      </c>
      <c r="O29" s="396">
        <f>N27*O31/12</f>
        <v>606.82954416668269</v>
      </c>
      <c r="P29" s="396">
        <f t="shared" ref="P29:Z29" si="53">O27*P31/12</f>
        <v>609.11404510713135</v>
      </c>
      <c r="Q29" s="396">
        <f t="shared" si="53"/>
        <v>611.39854604758011</v>
      </c>
      <c r="R29" s="396">
        <f t="shared" si="53"/>
        <v>613.68304698802888</v>
      </c>
      <c r="S29" s="396">
        <f t="shared" si="53"/>
        <v>615.96754792847764</v>
      </c>
      <c r="T29" s="396">
        <f t="shared" si="53"/>
        <v>618.25204886892641</v>
      </c>
      <c r="U29" s="396">
        <f t="shared" si="53"/>
        <v>620.53654980937506</v>
      </c>
      <c r="V29" s="396">
        <f t="shared" si="53"/>
        <v>622.82105074982383</v>
      </c>
      <c r="W29" s="396">
        <f t="shared" si="53"/>
        <v>625.10555169027259</v>
      </c>
      <c r="X29" s="396">
        <f t="shared" si="53"/>
        <v>627.39005263072124</v>
      </c>
      <c r="Y29" s="396">
        <f t="shared" si="53"/>
        <v>629.67455357117001</v>
      </c>
      <c r="Z29" s="396">
        <f t="shared" si="53"/>
        <v>631.95905451161877</v>
      </c>
      <c r="AA29" s="396">
        <f>SUM(O29:Z29)</f>
        <v>7432.7315920698093</v>
      </c>
      <c r="AB29" s="396">
        <f t="shared" ref="AB29:BM29" si="54">AA27*AB31/12</f>
        <v>634.24355545206743</v>
      </c>
      <c r="AC29" s="396">
        <f t="shared" si="54"/>
        <v>635.84162461924927</v>
      </c>
      <c r="AD29" s="396">
        <f t="shared" si="54"/>
        <v>637.43969378643112</v>
      </c>
      <c r="AE29" s="396">
        <f t="shared" si="54"/>
        <v>639.03776295361286</v>
      </c>
      <c r="AF29" s="396">
        <f t="shared" si="54"/>
        <v>640.63583212079459</v>
      </c>
      <c r="AG29" s="396">
        <f t="shared" si="54"/>
        <v>642.23390128797644</v>
      </c>
      <c r="AH29" s="396">
        <f t="shared" si="54"/>
        <v>643.83197045515817</v>
      </c>
      <c r="AI29" s="396">
        <f t="shared" si="54"/>
        <v>645.4300396223399</v>
      </c>
      <c r="AJ29" s="396">
        <f t="shared" si="54"/>
        <v>647.02810878952175</v>
      </c>
      <c r="AK29" s="396">
        <f t="shared" si="54"/>
        <v>644.63130095670351</v>
      </c>
      <c r="AL29" s="396">
        <f t="shared" si="54"/>
        <v>642.21837312388539</v>
      </c>
      <c r="AM29" s="396">
        <f t="shared" si="54"/>
        <v>639.73476529106722</v>
      </c>
      <c r="AN29" s="396">
        <f>SUM(AB29:AM29)</f>
        <v>7692.3069284588091</v>
      </c>
      <c r="AO29" s="396">
        <f t="shared" si="54"/>
        <v>580.58678445824899</v>
      </c>
      <c r="AP29" s="396">
        <f t="shared" si="54"/>
        <v>573.55324585216374</v>
      </c>
      <c r="AQ29" s="396">
        <f t="shared" si="54"/>
        <v>574.46488324607867</v>
      </c>
      <c r="AR29" s="396">
        <f t="shared" si="54"/>
        <v>571.40393263999351</v>
      </c>
      <c r="AS29" s="396">
        <f t="shared" si="54"/>
        <v>568.34298203390847</v>
      </c>
      <c r="AT29" s="396">
        <f t="shared" si="54"/>
        <v>565.28203142782331</v>
      </c>
      <c r="AU29" s="396">
        <f t="shared" si="54"/>
        <v>558.24849282173807</v>
      </c>
      <c r="AV29" s="396">
        <f t="shared" si="54"/>
        <v>555.18754221565302</v>
      </c>
      <c r="AW29" s="396">
        <f t="shared" si="54"/>
        <v>552.12659160956787</v>
      </c>
      <c r="AX29" s="396">
        <f t="shared" si="54"/>
        <v>549.06564100348271</v>
      </c>
      <c r="AY29" s="396">
        <f t="shared" si="54"/>
        <v>546.00469039739767</v>
      </c>
      <c r="AZ29" s="396">
        <f t="shared" si="54"/>
        <v>542.94373979131251</v>
      </c>
      <c r="BA29" s="396">
        <f>SUM(AO29:AZ29)</f>
        <v>6737.2105574973693</v>
      </c>
      <c r="BB29" s="396">
        <f t="shared" si="54"/>
        <v>539.88278918522735</v>
      </c>
      <c r="BC29" s="396">
        <f t="shared" si="54"/>
        <v>536.13540680587528</v>
      </c>
      <c r="BD29" s="396">
        <f t="shared" si="54"/>
        <v>532.3880244265232</v>
      </c>
      <c r="BE29" s="396">
        <f t="shared" si="54"/>
        <v>528.64064204717113</v>
      </c>
      <c r="BF29" s="396">
        <f t="shared" si="54"/>
        <v>524.89325966781905</v>
      </c>
      <c r="BG29" s="396">
        <f t="shared" si="54"/>
        <v>521.14587728846698</v>
      </c>
      <c r="BH29" s="396">
        <f t="shared" si="54"/>
        <v>517.3984949091149</v>
      </c>
      <c r="BI29" s="396">
        <f t="shared" si="54"/>
        <v>513.65111252976283</v>
      </c>
      <c r="BJ29" s="396">
        <f t="shared" si="54"/>
        <v>509.90373015041081</v>
      </c>
      <c r="BK29" s="396">
        <f t="shared" si="54"/>
        <v>506.15634777105873</v>
      </c>
      <c r="BL29" s="396">
        <f t="shared" si="54"/>
        <v>502.40896539170666</v>
      </c>
      <c r="BM29" s="396">
        <f t="shared" si="54"/>
        <v>498.66158301235458</v>
      </c>
      <c r="BN29" s="396">
        <f>SUM(BB29:BM29)</f>
        <v>6231.2662331854908</v>
      </c>
      <c r="BO29" s="396">
        <f>BN27*BO31</f>
        <v>5938.9704075960299</v>
      </c>
    </row>
    <row r="30" spans="1:68" x14ac:dyDescent="0.25">
      <c r="A30" s="392" t="s">
        <v>437</v>
      </c>
      <c r="B30" s="396">
        <f>B29</f>
        <v>0</v>
      </c>
      <c r="C30" s="396">
        <f>C29+B30</f>
        <v>62.135115013890221</v>
      </c>
      <c r="D30" s="396">
        <f t="shared" ref="D30:M30" si="55">D29+C30</f>
        <v>186.40534504167067</v>
      </c>
      <c r="E30" s="396">
        <f t="shared" si="55"/>
        <v>372.81069008334134</v>
      </c>
      <c r="F30" s="396">
        <f t="shared" si="55"/>
        <v>621.3511501389022</v>
      </c>
      <c r="G30" s="396">
        <f t="shared" si="55"/>
        <v>932.02672520835335</v>
      </c>
      <c r="H30" s="396">
        <f t="shared" si="55"/>
        <v>1304.8374152916947</v>
      </c>
      <c r="I30" s="396">
        <f t="shared" si="55"/>
        <v>1739.7832203889263</v>
      </c>
      <c r="J30" s="396">
        <f t="shared" si="55"/>
        <v>2236.8641405000481</v>
      </c>
      <c r="K30" s="396">
        <f t="shared" si="55"/>
        <v>2772.2481816250602</v>
      </c>
      <c r="L30" s="396">
        <f t="shared" si="55"/>
        <v>3331.4447967639626</v>
      </c>
      <c r="M30" s="396">
        <f t="shared" si="55"/>
        <v>3914.4772979167551</v>
      </c>
      <c r="N30" s="396">
        <f>M30</f>
        <v>3914.4772979167551</v>
      </c>
      <c r="O30" s="396">
        <f t="shared" ref="O30:Z30" si="56">O29+N30</f>
        <v>4521.3068420834379</v>
      </c>
      <c r="P30" s="396">
        <f t="shared" si="56"/>
        <v>5130.4208871905694</v>
      </c>
      <c r="Q30" s="396">
        <f t="shared" si="56"/>
        <v>5741.8194332381499</v>
      </c>
      <c r="R30" s="396">
        <f t="shared" si="56"/>
        <v>6355.5024802261787</v>
      </c>
      <c r="S30" s="396">
        <f t="shared" si="56"/>
        <v>6971.4700281546566</v>
      </c>
      <c r="T30" s="396">
        <f t="shared" si="56"/>
        <v>7589.7220770235826</v>
      </c>
      <c r="U30" s="396">
        <f t="shared" si="56"/>
        <v>8210.2586268329578</v>
      </c>
      <c r="V30" s="396">
        <f t="shared" si="56"/>
        <v>8833.0796775827821</v>
      </c>
      <c r="W30" s="396">
        <f t="shared" si="56"/>
        <v>9458.1852292730546</v>
      </c>
      <c r="X30" s="396">
        <f t="shared" si="56"/>
        <v>10085.575281903775</v>
      </c>
      <c r="Y30" s="396">
        <f t="shared" si="56"/>
        <v>10715.249835474946</v>
      </c>
      <c r="Z30" s="396">
        <f t="shared" si="56"/>
        <v>11347.208889986565</v>
      </c>
      <c r="AA30" s="396">
        <f>Z30</f>
        <v>11347.208889986565</v>
      </c>
      <c r="AB30" s="396">
        <f t="shared" ref="AB30:AM30" si="57">AB29+AA30</f>
        <v>11981.452445438632</v>
      </c>
      <c r="AC30" s="396">
        <f t="shared" si="57"/>
        <v>12617.294070057882</v>
      </c>
      <c r="AD30" s="396">
        <f t="shared" si="57"/>
        <v>13254.733763844313</v>
      </c>
      <c r="AE30" s="396">
        <f t="shared" si="57"/>
        <v>13893.771526797926</v>
      </c>
      <c r="AF30" s="396">
        <f t="shared" si="57"/>
        <v>14534.407358918721</v>
      </c>
      <c r="AG30" s="396">
        <f t="shared" si="57"/>
        <v>15176.641260206698</v>
      </c>
      <c r="AH30" s="396">
        <f t="shared" si="57"/>
        <v>15820.473230661855</v>
      </c>
      <c r="AI30" s="396">
        <f t="shared" si="57"/>
        <v>16465.903270284194</v>
      </c>
      <c r="AJ30" s="396">
        <f t="shared" si="57"/>
        <v>17112.931379073714</v>
      </c>
      <c r="AK30" s="396">
        <f t="shared" si="57"/>
        <v>17757.562680030416</v>
      </c>
      <c r="AL30" s="396">
        <f t="shared" si="57"/>
        <v>18399.7810531543</v>
      </c>
      <c r="AM30" s="396">
        <f t="shared" si="57"/>
        <v>19039.515818445368</v>
      </c>
      <c r="AN30" s="396">
        <f>AM30</f>
        <v>19039.515818445368</v>
      </c>
      <c r="AO30" s="396">
        <f t="shared" ref="AO30:AZ30" si="58">AO29+AN30</f>
        <v>19620.102602903618</v>
      </c>
      <c r="AP30" s="396">
        <f t="shared" si="58"/>
        <v>20193.655848755781</v>
      </c>
      <c r="AQ30" s="396">
        <f t="shared" si="58"/>
        <v>20768.120732001858</v>
      </c>
      <c r="AR30" s="396">
        <f t="shared" si="58"/>
        <v>21339.524664641853</v>
      </c>
      <c r="AS30" s="396">
        <f t="shared" si="58"/>
        <v>21907.867646675761</v>
      </c>
      <c r="AT30" s="396">
        <f t="shared" si="58"/>
        <v>22473.149678103582</v>
      </c>
      <c r="AU30" s="396">
        <f t="shared" si="58"/>
        <v>23031.39817092532</v>
      </c>
      <c r="AV30" s="396">
        <f t="shared" si="58"/>
        <v>23586.585713140972</v>
      </c>
      <c r="AW30" s="396">
        <f t="shared" si="58"/>
        <v>24138.712304750541</v>
      </c>
      <c r="AX30" s="396">
        <f t="shared" si="58"/>
        <v>24687.777945754024</v>
      </c>
      <c r="AY30" s="396">
        <f t="shared" si="58"/>
        <v>25233.78263615142</v>
      </c>
      <c r="AZ30" s="396">
        <f t="shared" si="58"/>
        <v>25776.726375942733</v>
      </c>
      <c r="BA30" s="396">
        <f>AZ30</f>
        <v>25776.726375942733</v>
      </c>
      <c r="BB30" s="396">
        <f t="shared" ref="BB30:BM30" si="59">BB29+BA30</f>
        <v>26316.60916512796</v>
      </c>
      <c r="BC30" s="396">
        <f t="shared" si="59"/>
        <v>26852.744571933836</v>
      </c>
      <c r="BD30" s="396">
        <f t="shared" si="59"/>
        <v>27385.132596360359</v>
      </c>
      <c r="BE30" s="396">
        <f t="shared" si="59"/>
        <v>27913.773238407532</v>
      </c>
      <c r="BF30" s="396">
        <f t="shared" si="59"/>
        <v>28438.666498075352</v>
      </c>
      <c r="BG30" s="396">
        <f t="shared" si="59"/>
        <v>28959.812375363817</v>
      </c>
      <c r="BH30" s="396">
        <f t="shared" si="59"/>
        <v>29477.210870272931</v>
      </c>
      <c r="BI30" s="396">
        <f t="shared" si="59"/>
        <v>29990.861982802693</v>
      </c>
      <c r="BJ30" s="396">
        <f t="shared" si="59"/>
        <v>30500.765712953104</v>
      </c>
      <c r="BK30" s="396">
        <f t="shared" si="59"/>
        <v>31006.922060724162</v>
      </c>
      <c r="BL30" s="396">
        <f t="shared" si="59"/>
        <v>31509.331026115869</v>
      </c>
      <c r="BM30" s="396">
        <f t="shared" si="59"/>
        <v>32007.992609128225</v>
      </c>
      <c r="BN30" s="396">
        <f>BM30</f>
        <v>32007.992609128225</v>
      </c>
      <c r="BO30" s="396"/>
    </row>
    <row r="31" spans="1:68" x14ac:dyDescent="0.25">
      <c r="A31" s="392" t="s">
        <v>434</v>
      </c>
      <c r="B31" s="398">
        <v>3.7200000000000004E-2</v>
      </c>
      <c r="C31" s="398">
        <f>B31</f>
        <v>3.7200000000000004E-2</v>
      </c>
      <c r="D31" s="398">
        <f t="shared" ref="D31:M31" si="60">C31</f>
        <v>3.7200000000000004E-2</v>
      </c>
      <c r="E31" s="398">
        <f t="shared" si="60"/>
        <v>3.7200000000000004E-2</v>
      </c>
      <c r="F31" s="398">
        <f t="shared" si="60"/>
        <v>3.7200000000000004E-2</v>
      </c>
      <c r="G31" s="398">
        <f t="shared" si="60"/>
        <v>3.7200000000000004E-2</v>
      </c>
      <c r="H31" s="398">
        <f t="shared" si="60"/>
        <v>3.7200000000000004E-2</v>
      </c>
      <c r="I31" s="398">
        <f t="shared" si="60"/>
        <v>3.7200000000000004E-2</v>
      </c>
      <c r="J31" s="398">
        <f t="shared" si="60"/>
        <v>3.7200000000000004E-2</v>
      </c>
      <c r="K31" s="398">
        <f t="shared" si="60"/>
        <v>3.7200000000000004E-2</v>
      </c>
      <c r="L31" s="398">
        <f t="shared" si="60"/>
        <v>3.7200000000000004E-2</v>
      </c>
      <c r="M31" s="398">
        <f t="shared" si="60"/>
        <v>3.7200000000000004E-2</v>
      </c>
      <c r="N31" s="397"/>
      <c r="O31" s="398">
        <v>3.7200000000000004E-2</v>
      </c>
      <c r="P31" s="398">
        <f>O31</f>
        <v>3.7200000000000004E-2</v>
      </c>
      <c r="Q31" s="398">
        <f t="shared" ref="Q31:Z31" si="61">P31</f>
        <v>3.7200000000000004E-2</v>
      </c>
      <c r="R31" s="398">
        <f t="shared" si="61"/>
        <v>3.7200000000000004E-2</v>
      </c>
      <c r="S31" s="398">
        <f t="shared" si="61"/>
        <v>3.7200000000000004E-2</v>
      </c>
      <c r="T31" s="398">
        <f t="shared" si="61"/>
        <v>3.7200000000000004E-2</v>
      </c>
      <c r="U31" s="398">
        <f t="shared" si="61"/>
        <v>3.7200000000000004E-2</v>
      </c>
      <c r="V31" s="398">
        <f t="shared" si="61"/>
        <v>3.7200000000000004E-2</v>
      </c>
      <c r="W31" s="398">
        <f t="shared" si="61"/>
        <v>3.7200000000000004E-2</v>
      </c>
      <c r="X31" s="398">
        <f t="shared" si="61"/>
        <v>3.7200000000000004E-2</v>
      </c>
      <c r="Y31" s="398">
        <f t="shared" si="61"/>
        <v>3.7200000000000004E-2</v>
      </c>
      <c r="Z31" s="398">
        <f t="shared" si="61"/>
        <v>3.7200000000000004E-2</v>
      </c>
      <c r="AA31" s="397"/>
      <c r="AB31" s="398">
        <v>3.7200000000000004E-2</v>
      </c>
      <c r="AC31" s="398">
        <f>AB31</f>
        <v>3.7200000000000004E-2</v>
      </c>
      <c r="AD31" s="398">
        <f t="shared" ref="AD31:AM31" si="62">AC31</f>
        <v>3.7200000000000004E-2</v>
      </c>
      <c r="AE31" s="398">
        <f t="shared" si="62"/>
        <v>3.7200000000000004E-2</v>
      </c>
      <c r="AF31" s="398">
        <f t="shared" si="62"/>
        <v>3.7200000000000004E-2</v>
      </c>
      <c r="AG31" s="398">
        <f t="shared" si="62"/>
        <v>3.7200000000000004E-2</v>
      </c>
      <c r="AH31" s="398">
        <f t="shared" si="62"/>
        <v>3.7200000000000004E-2</v>
      </c>
      <c r="AI31" s="398">
        <f t="shared" si="62"/>
        <v>3.7200000000000004E-2</v>
      </c>
      <c r="AJ31" s="398">
        <f t="shared" si="62"/>
        <v>3.7200000000000004E-2</v>
      </c>
      <c r="AK31" s="398">
        <f t="shared" si="62"/>
        <v>3.7200000000000004E-2</v>
      </c>
      <c r="AL31" s="398">
        <f t="shared" si="62"/>
        <v>3.7200000000000004E-2</v>
      </c>
      <c r="AM31" s="398">
        <f t="shared" si="62"/>
        <v>3.7200000000000004E-2</v>
      </c>
      <c r="AN31" s="397"/>
      <c r="AO31" s="398">
        <v>3.7200000000000004E-2</v>
      </c>
      <c r="AP31" s="398">
        <f>AO31</f>
        <v>3.7200000000000004E-2</v>
      </c>
      <c r="AQ31" s="398">
        <f t="shared" ref="AQ31:AZ31" si="63">AP31</f>
        <v>3.7200000000000004E-2</v>
      </c>
      <c r="AR31" s="398">
        <f t="shared" si="63"/>
        <v>3.7200000000000004E-2</v>
      </c>
      <c r="AS31" s="398">
        <f t="shared" si="63"/>
        <v>3.7200000000000004E-2</v>
      </c>
      <c r="AT31" s="398">
        <f t="shared" si="63"/>
        <v>3.7200000000000004E-2</v>
      </c>
      <c r="AU31" s="398">
        <f t="shared" si="63"/>
        <v>3.7200000000000004E-2</v>
      </c>
      <c r="AV31" s="398">
        <f t="shared" si="63"/>
        <v>3.7200000000000004E-2</v>
      </c>
      <c r="AW31" s="398">
        <f t="shared" si="63"/>
        <v>3.7200000000000004E-2</v>
      </c>
      <c r="AX31" s="398">
        <f t="shared" si="63"/>
        <v>3.7200000000000004E-2</v>
      </c>
      <c r="AY31" s="398">
        <f t="shared" si="63"/>
        <v>3.7200000000000004E-2</v>
      </c>
      <c r="AZ31" s="398">
        <f t="shared" si="63"/>
        <v>3.7200000000000004E-2</v>
      </c>
      <c r="BA31" s="397"/>
      <c r="BB31" s="398">
        <v>3.7200000000000004E-2</v>
      </c>
      <c r="BC31" s="398">
        <f>BB31</f>
        <v>3.7200000000000004E-2</v>
      </c>
      <c r="BD31" s="398">
        <f t="shared" ref="BD31:BM31" si="64">BC31</f>
        <v>3.7200000000000004E-2</v>
      </c>
      <c r="BE31" s="398">
        <f t="shared" si="64"/>
        <v>3.7200000000000004E-2</v>
      </c>
      <c r="BF31" s="398">
        <f t="shared" si="64"/>
        <v>3.7200000000000004E-2</v>
      </c>
      <c r="BG31" s="398">
        <f t="shared" si="64"/>
        <v>3.7200000000000004E-2</v>
      </c>
      <c r="BH31" s="398">
        <f t="shared" si="64"/>
        <v>3.7200000000000004E-2</v>
      </c>
      <c r="BI31" s="398">
        <f t="shared" si="64"/>
        <v>3.7200000000000004E-2</v>
      </c>
      <c r="BJ31" s="398">
        <f t="shared" si="64"/>
        <v>3.7200000000000004E-2</v>
      </c>
      <c r="BK31" s="398">
        <f t="shared" si="64"/>
        <v>3.7200000000000004E-2</v>
      </c>
      <c r="BL31" s="398">
        <f t="shared" si="64"/>
        <v>3.7200000000000004E-2</v>
      </c>
      <c r="BM31" s="398">
        <f t="shared" si="64"/>
        <v>3.7200000000000004E-2</v>
      </c>
      <c r="BN31" s="397"/>
      <c r="BO31" s="398">
        <f>BM31</f>
        <v>3.7200000000000004E-2</v>
      </c>
    </row>
    <row r="32" spans="1:68" x14ac:dyDescent="0.25">
      <c r="A32" s="392"/>
      <c r="B32" s="397"/>
      <c r="C32" s="397"/>
      <c r="D32" s="397"/>
      <c r="E32" s="397"/>
      <c r="F32" s="397"/>
      <c r="G32" s="397"/>
      <c r="H32" s="397"/>
      <c r="I32" s="397"/>
      <c r="J32" s="397"/>
      <c r="K32" s="397"/>
      <c r="L32" s="397"/>
      <c r="M32" s="397"/>
      <c r="N32" s="397"/>
      <c r="O32" s="397"/>
      <c r="P32" s="397"/>
      <c r="Q32" s="397"/>
      <c r="R32" s="397"/>
      <c r="S32" s="397"/>
      <c r="T32" s="397"/>
      <c r="U32" s="397"/>
      <c r="V32" s="397"/>
      <c r="W32" s="397"/>
      <c r="X32" s="397"/>
      <c r="Y32" s="397"/>
      <c r="Z32" s="397"/>
      <c r="AA32" s="397"/>
      <c r="AB32" s="397"/>
      <c r="AC32" s="397"/>
      <c r="AD32" s="397"/>
      <c r="AE32" s="397"/>
      <c r="AF32" s="397"/>
      <c r="AG32" s="397"/>
      <c r="AH32" s="397"/>
      <c r="AI32" s="397"/>
      <c r="AJ32" s="397"/>
      <c r="AK32" s="397"/>
      <c r="AL32" s="397"/>
      <c r="AM32" s="397"/>
      <c r="AN32" s="397"/>
      <c r="AO32" s="397"/>
      <c r="AP32" s="397"/>
      <c r="AQ32" s="397"/>
      <c r="AR32" s="397"/>
      <c r="AS32" s="397"/>
      <c r="AT32" s="397"/>
      <c r="AU32" s="397"/>
      <c r="AV32" s="397"/>
      <c r="AW32" s="397"/>
      <c r="AX32" s="397"/>
      <c r="AY32" s="397"/>
      <c r="AZ32" s="397"/>
      <c r="BA32" s="397"/>
      <c r="BB32" s="397"/>
      <c r="BC32" s="397"/>
      <c r="BD32" s="397"/>
      <c r="BE32" s="397"/>
      <c r="BF32" s="397"/>
      <c r="BG32" s="397"/>
      <c r="BH32" s="397"/>
      <c r="BI32" s="397"/>
      <c r="BJ32" s="397"/>
      <c r="BK32" s="397"/>
      <c r="BL32" s="397"/>
      <c r="BM32" s="397"/>
      <c r="BN32" s="397"/>
      <c r="BO32" s="397"/>
    </row>
    <row r="33" spans="1:68" s="315" customFormat="1" x14ac:dyDescent="0.25">
      <c r="A33" s="392" t="s">
        <v>449</v>
      </c>
      <c r="B33" s="400">
        <f>B26+B29</f>
        <v>20043.585488351684</v>
      </c>
      <c r="C33" s="400">
        <f t="shared" ref="C33:N33" si="65">C26+C29</f>
        <v>20105.720603365575</v>
      </c>
      <c r="D33" s="400">
        <f t="shared" si="65"/>
        <v>20167.855718379466</v>
      </c>
      <c r="E33" s="400">
        <f t="shared" si="65"/>
        <v>20229.990833393356</v>
      </c>
      <c r="F33" s="400">
        <f t="shared" si="65"/>
        <v>20292.125948407243</v>
      </c>
      <c r="G33" s="400">
        <f t="shared" si="65"/>
        <v>20354.261063421134</v>
      </c>
      <c r="H33" s="400">
        <f t="shared" si="65"/>
        <v>20416.396178435025</v>
      </c>
      <c r="I33" s="400">
        <f t="shared" si="65"/>
        <v>20478.531293448916</v>
      </c>
      <c r="J33" s="400">
        <f t="shared" si="65"/>
        <v>12852.926408462807</v>
      </c>
      <c r="K33" s="400">
        <f t="shared" si="65"/>
        <v>8216.8595294766965</v>
      </c>
      <c r="L33" s="400">
        <f t="shared" si="65"/>
        <v>8248.1921034905863</v>
      </c>
      <c r="M33" s="400">
        <f t="shared" si="65"/>
        <v>8259.4979895044762</v>
      </c>
      <c r="N33" s="400">
        <f t="shared" si="65"/>
        <v>199665.94315813694</v>
      </c>
      <c r="O33" s="400">
        <f>O26+O29</f>
        <v>1343.7653314082067</v>
      </c>
      <c r="P33" s="400">
        <f t="shared" ref="P33:AA33" si="66">P26+P29</f>
        <v>1346.0498323486554</v>
      </c>
      <c r="Q33" s="400">
        <f t="shared" si="66"/>
        <v>1348.3343332891041</v>
      </c>
      <c r="R33" s="400">
        <f t="shared" si="66"/>
        <v>1350.6188342295527</v>
      </c>
      <c r="S33" s="400">
        <f t="shared" si="66"/>
        <v>1352.9033351700016</v>
      </c>
      <c r="T33" s="400">
        <f t="shared" si="66"/>
        <v>1355.1878361104505</v>
      </c>
      <c r="U33" s="400">
        <f t="shared" si="66"/>
        <v>1357.4723370508991</v>
      </c>
      <c r="V33" s="400">
        <f t="shared" si="66"/>
        <v>1359.7568379913478</v>
      </c>
      <c r="W33" s="400">
        <f t="shared" si="66"/>
        <v>1362.0413389317964</v>
      </c>
      <c r="X33" s="400">
        <f t="shared" si="66"/>
        <v>1364.3258398722451</v>
      </c>
      <c r="Y33" s="400">
        <f t="shared" si="66"/>
        <v>1366.6103408126939</v>
      </c>
      <c r="Z33" s="400">
        <f t="shared" si="66"/>
        <v>1368.8948417531428</v>
      </c>
      <c r="AA33" s="400">
        <f t="shared" si="66"/>
        <v>16275.961038968097</v>
      </c>
      <c r="AB33" s="400">
        <f>AB26+AB29</f>
        <v>1149.7497384139356</v>
      </c>
      <c r="AC33" s="400">
        <f t="shared" ref="AC33:AN33" si="67">AC26+AC29</f>
        <v>1151.3478075811172</v>
      </c>
      <c r="AD33" s="400">
        <f t="shared" si="67"/>
        <v>1152.9458767482993</v>
      </c>
      <c r="AE33" s="400">
        <f t="shared" si="67"/>
        <v>1154.5439459154809</v>
      </c>
      <c r="AF33" s="400">
        <f t="shared" si="67"/>
        <v>1156.1420150826625</v>
      </c>
      <c r="AG33" s="400">
        <f t="shared" si="67"/>
        <v>1157.7400842498446</v>
      </c>
      <c r="AH33" s="400">
        <f t="shared" si="67"/>
        <v>1159.3381534170262</v>
      </c>
      <c r="AI33" s="400">
        <f t="shared" si="67"/>
        <v>1160.9362225842078</v>
      </c>
      <c r="AJ33" s="400">
        <f t="shared" si="67"/>
        <v>-126.13570824861029</v>
      </c>
      <c r="AK33" s="400">
        <f t="shared" si="67"/>
        <v>-133.73251608142743</v>
      </c>
      <c r="AL33" s="400">
        <f t="shared" si="67"/>
        <v>-158.94544391424665</v>
      </c>
      <c r="AM33" s="400">
        <f t="shared" si="67"/>
        <v>-18440.259051747067</v>
      </c>
      <c r="AN33" s="400">
        <f t="shared" si="67"/>
        <v>-9616.3288759987772</v>
      </c>
      <c r="AO33" s="400">
        <f>AO26+AO29</f>
        <v>-1688.296636859538</v>
      </c>
      <c r="AP33" s="400">
        <f t="shared" ref="AP33:BA33" si="68">AP26+AP29</f>
        <v>867.62982453437587</v>
      </c>
      <c r="AQ33" s="400">
        <f t="shared" si="68"/>
        <v>-412.93853807170876</v>
      </c>
      <c r="AR33" s="400">
        <f t="shared" si="68"/>
        <v>-415.99948867779392</v>
      </c>
      <c r="AS33" s="400">
        <f t="shared" si="68"/>
        <v>-419.06043928387896</v>
      </c>
      <c r="AT33" s="400">
        <f t="shared" si="68"/>
        <v>-1703.6013898899637</v>
      </c>
      <c r="AU33" s="400">
        <f t="shared" si="68"/>
        <v>-429.15492849604937</v>
      </c>
      <c r="AV33" s="400">
        <f t="shared" si="68"/>
        <v>-432.21587910213441</v>
      </c>
      <c r="AW33" s="400">
        <f t="shared" si="68"/>
        <v>-435.27682970821957</v>
      </c>
      <c r="AX33" s="400">
        <f t="shared" si="68"/>
        <v>-438.33778031430472</v>
      </c>
      <c r="AY33" s="400">
        <f t="shared" si="68"/>
        <v>-441.39873092038977</v>
      </c>
      <c r="AZ33" s="400">
        <f t="shared" si="68"/>
        <v>-444.45968152647492</v>
      </c>
      <c r="BA33" s="400">
        <f t="shared" si="68"/>
        <v>-6393.1104983160794</v>
      </c>
      <c r="BB33" s="400">
        <f>BB26+BB29</f>
        <v>-668.95023641221781</v>
      </c>
      <c r="BC33" s="400">
        <f t="shared" ref="BC33:BO33" si="69">BC26+BC29</f>
        <v>-672.69761879156988</v>
      </c>
      <c r="BD33" s="400">
        <f t="shared" si="69"/>
        <v>-676.44500117092196</v>
      </c>
      <c r="BE33" s="400">
        <f t="shared" si="69"/>
        <v>-680.19238355027403</v>
      </c>
      <c r="BF33" s="400">
        <f t="shared" si="69"/>
        <v>-683.93976592962611</v>
      </c>
      <c r="BG33" s="400">
        <f t="shared" si="69"/>
        <v>-687.68714830897818</v>
      </c>
      <c r="BH33" s="400">
        <f t="shared" si="69"/>
        <v>-691.43453068833026</v>
      </c>
      <c r="BI33" s="400">
        <f t="shared" si="69"/>
        <v>-695.18191306768233</v>
      </c>
      <c r="BJ33" s="400">
        <f t="shared" si="69"/>
        <v>-698.92929544703429</v>
      </c>
      <c r="BK33" s="400">
        <f t="shared" si="69"/>
        <v>-702.67667782638637</v>
      </c>
      <c r="BL33" s="400">
        <f t="shared" si="69"/>
        <v>-706.42406020573844</v>
      </c>
      <c r="BM33" s="400">
        <f t="shared" si="69"/>
        <v>-710.17144258509052</v>
      </c>
      <c r="BN33" s="400">
        <f t="shared" si="69"/>
        <v>-8274.7300739838502</v>
      </c>
      <c r="BO33" s="400">
        <f t="shared" si="69"/>
        <v>5938.9704075960299</v>
      </c>
    </row>
    <row r="34" spans="1:68" s="315" customFormat="1" x14ac:dyDescent="0.25">
      <c r="A34" s="394" t="s">
        <v>450</v>
      </c>
      <c r="B34" s="409">
        <f>B33</f>
        <v>20043.585488351684</v>
      </c>
      <c r="C34" s="409">
        <f>C33+B34</f>
        <v>40149.306091717255</v>
      </c>
      <c r="D34" s="409">
        <f t="shared" ref="D34:M34" si="70">D33+C34</f>
        <v>60317.161810096717</v>
      </c>
      <c r="E34" s="409">
        <f t="shared" si="70"/>
        <v>80547.152643490073</v>
      </c>
      <c r="F34" s="409">
        <f t="shared" si="70"/>
        <v>100839.27859189731</v>
      </c>
      <c r="G34" s="409">
        <f t="shared" si="70"/>
        <v>121193.53965531844</v>
      </c>
      <c r="H34" s="409">
        <f t="shared" si="70"/>
        <v>141609.93583375346</v>
      </c>
      <c r="I34" s="409">
        <f t="shared" si="70"/>
        <v>162088.46712720237</v>
      </c>
      <c r="J34" s="409">
        <f t="shared" si="70"/>
        <v>174941.39353566518</v>
      </c>
      <c r="K34" s="409">
        <f t="shared" si="70"/>
        <v>183158.25306514188</v>
      </c>
      <c r="L34" s="409">
        <f t="shared" si="70"/>
        <v>191406.44516863246</v>
      </c>
      <c r="M34" s="409">
        <f t="shared" si="70"/>
        <v>199665.94315813694</v>
      </c>
      <c r="N34" s="410">
        <f>M34</f>
        <v>199665.94315813694</v>
      </c>
      <c r="O34" s="409">
        <f t="shared" ref="O34:Z34" si="71">O33+N34</f>
        <v>201009.70848954516</v>
      </c>
      <c r="P34" s="409">
        <f t="shared" si="71"/>
        <v>202355.75832189381</v>
      </c>
      <c r="Q34" s="409">
        <f t="shared" si="71"/>
        <v>203704.0926551829</v>
      </c>
      <c r="R34" s="409">
        <f t="shared" si="71"/>
        <v>205054.71148941247</v>
      </c>
      <c r="S34" s="409">
        <f t="shared" si="71"/>
        <v>206407.61482458247</v>
      </c>
      <c r="T34" s="409">
        <f t="shared" si="71"/>
        <v>207762.80266069292</v>
      </c>
      <c r="U34" s="409">
        <f t="shared" si="71"/>
        <v>209120.27499774381</v>
      </c>
      <c r="V34" s="409">
        <f t="shared" si="71"/>
        <v>210480.03183573516</v>
      </c>
      <c r="W34" s="409">
        <f t="shared" si="71"/>
        <v>211842.07317466696</v>
      </c>
      <c r="X34" s="409">
        <f t="shared" si="71"/>
        <v>213206.3990145392</v>
      </c>
      <c r="Y34" s="409">
        <f t="shared" si="71"/>
        <v>214573.00935535188</v>
      </c>
      <c r="Z34" s="409">
        <f t="shared" si="71"/>
        <v>215941.90419710503</v>
      </c>
      <c r="AA34" s="410">
        <f>Z34</f>
        <v>215941.90419710503</v>
      </c>
      <c r="AB34" s="409">
        <f t="shared" ref="AB34:AM34" si="72">AB33+AA34</f>
        <v>217091.65393551896</v>
      </c>
      <c r="AC34" s="409">
        <f t="shared" si="72"/>
        <v>218243.00174310009</v>
      </c>
      <c r="AD34" s="409">
        <f t="shared" si="72"/>
        <v>219395.94761984839</v>
      </c>
      <c r="AE34" s="409">
        <f t="shared" si="72"/>
        <v>220550.49156576386</v>
      </c>
      <c r="AF34" s="409">
        <f t="shared" si="72"/>
        <v>221706.63358084654</v>
      </c>
      <c r="AG34" s="409">
        <f t="shared" si="72"/>
        <v>222864.37366509638</v>
      </c>
      <c r="AH34" s="409">
        <f t="shared" si="72"/>
        <v>224023.7118185134</v>
      </c>
      <c r="AI34" s="409">
        <f t="shared" si="72"/>
        <v>225184.64804109762</v>
      </c>
      <c r="AJ34" s="409">
        <f t="shared" si="72"/>
        <v>225058.512332849</v>
      </c>
      <c r="AK34" s="409">
        <f t="shared" si="72"/>
        <v>224924.77981676758</v>
      </c>
      <c r="AL34" s="409">
        <f t="shared" si="72"/>
        <v>224765.83437285334</v>
      </c>
      <c r="AM34" s="409">
        <f t="shared" si="72"/>
        <v>206325.57532110627</v>
      </c>
      <c r="AN34" s="410">
        <f>AM34</f>
        <v>206325.57532110627</v>
      </c>
      <c r="AO34" s="409">
        <f t="shared" ref="AO34:AZ34" si="73">AO33+AN34</f>
        <v>204637.27868424673</v>
      </c>
      <c r="AP34" s="409">
        <f t="shared" si="73"/>
        <v>205504.90850878111</v>
      </c>
      <c r="AQ34" s="409">
        <f t="shared" si="73"/>
        <v>205091.96997070941</v>
      </c>
      <c r="AR34" s="409">
        <f t="shared" si="73"/>
        <v>204675.97048203161</v>
      </c>
      <c r="AS34" s="409">
        <f t="shared" si="73"/>
        <v>204256.91004274774</v>
      </c>
      <c r="AT34" s="409">
        <f t="shared" si="73"/>
        <v>202553.30865285778</v>
      </c>
      <c r="AU34" s="409">
        <f t="shared" si="73"/>
        <v>202124.15372436173</v>
      </c>
      <c r="AV34" s="409">
        <f t="shared" si="73"/>
        <v>201691.93784525961</v>
      </c>
      <c r="AW34" s="409">
        <f t="shared" si="73"/>
        <v>201256.66101555139</v>
      </c>
      <c r="AX34" s="409">
        <f t="shared" si="73"/>
        <v>200818.3232352371</v>
      </c>
      <c r="AY34" s="409">
        <f t="shared" si="73"/>
        <v>200376.9245043167</v>
      </c>
      <c r="AZ34" s="409">
        <f t="shared" si="73"/>
        <v>199932.46482279024</v>
      </c>
      <c r="BA34" s="410">
        <f>AZ34</f>
        <v>199932.46482279024</v>
      </c>
      <c r="BB34" s="409">
        <f t="shared" ref="BB34:BM34" si="74">BB33+BA34</f>
        <v>199263.51458637801</v>
      </c>
      <c r="BC34" s="409">
        <f t="shared" si="74"/>
        <v>198590.81696758643</v>
      </c>
      <c r="BD34" s="409">
        <f t="shared" si="74"/>
        <v>197914.37196641552</v>
      </c>
      <c r="BE34" s="409">
        <f t="shared" si="74"/>
        <v>197234.17958286524</v>
      </c>
      <c r="BF34" s="409">
        <f t="shared" si="74"/>
        <v>196550.23981693562</v>
      </c>
      <c r="BG34" s="409">
        <f t="shared" si="74"/>
        <v>195862.55266862662</v>
      </c>
      <c r="BH34" s="409">
        <f t="shared" si="74"/>
        <v>195171.11813793829</v>
      </c>
      <c r="BI34" s="409">
        <f t="shared" si="74"/>
        <v>194475.93622487062</v>
      </c>
      <c r="BJ34" s="409">
        <f t="shared" si="74"/>
        <v>193777.00692942357</v>
      </c>
      <c r="BK34" s="409">
        <f t="shared" si="74"/>
        <v>193074.33025159719</v>
      </c>
      <c r="BL34" s="409">
        <f t="shared" si="74"/>
        <v>192367.90619139146</v>
      </c>
      <c r="BM34" s="409">
        <f t="shared" si="74"/>
        <v>191657.73474880637</v>
      </c>
      <c r="BN34" s="410">
        <f>BM34</f>
        <v>191657.73474880637</v>
      </c>
      <c r="BO34" s="410">
        <f>BN34+BO33</f>
        <v>197596.7051564024</v>
      </c>
    </row>
    <row r="35" spans="1:68" x14ac:dyDescent="0.25">
      <c r="A35" s="401" t="s">
        <v>451</v>
      </c>
      <c r="B35" s="396"/>
      <c r="C35" s="396"/>
      <c r="D35" s="396"/>
      <c r="E35" s="396"/>
      <c r="F35" s="396"/>
      <c r="G35" s="396"/>
      <c r="H35" s="396"/>
      <c r="I35" s="396"/>
      <c r="J35" s="396"/>
      <c r="K35" s="396"/>
      <c r="L35" s="396"/>
      <c r="M35" s="396"/>
      <c r="N35" s="396"/>
      <c r="O35" s="396"/>
      <c r="P35" s="396"/>
      <c r="Q35" s="396"/>
      <c r="R35" s="396"/>
      <c r="S35" s="396"/>
      <c r="T35" s="396"/>
      <c r="U35" s="396"/>
      <c r="V35" s="396"/>
      <c r="W35" s="396"/>
      <c r="X35" s="396"/>
      <c r="Y35" s="396"/>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c r="AY35" s="396"/>
      <c r="AZ35" s="396"/>
      <c r="BA35" s="396"/>
      <c r="BB35" s="396"/>
      <c r="BC35" s="396"/>
      <c r="BD35" s="396"/>
      <c r="BE35" s="396"/>
      <c r="BF35" s="396"/>
      <c r="BG35" s="396"/>
      <c r="BH35" s="396"/>
      <c r="BI35" s="396"/>
      <c r="BJ35" s="396"/>
      <c r="BK35" s="396"/>
      <c r="BL35" s="396"/>
      <c r="BM35" s="396"/>
      <c r="BN35" s="396"/>
      <c r="BO35" s="396"/>
    </row>
    <row r="36" spans="1:68" x14ac:dyDescent="0.25">
      <c r="A36" s="315" t="s">
        <v>398</v>
      </c>
      <c r="B36" s="396">
        <f t="shared" ref="B36:M36" si="75">B9+B23</f>
        <v>20043.585488351684</v>
      </c>
      <c r="C36" s="396">
        <f t="shared" si="75"/>
        <v>20043.585488351684</v>
      </c>
      <c r="D36" s="396">
        <f t="shared" si="75"/>
        <v>20043.585488351684</v>
      </c>
      <c r="E36" s="396">
        <f t="shared" si="75"/>
        <v>20043.585488351684</v>
      </c>
      <c r="F36" s="396">
        <f t="shared" si="75"/>
        <v>20043.585488351684</v>
      </c>
      <c r="G36" s="396">
        <f t="shared" si="75"/>
        <v>20043.585488351684</v>
      </c>
      <c r="H36" s="396">
        <f t="shared" si="75"/>
        <v>20043.585488351684</v>
      </c>
      <c r="I36" s="396">
        <f t="shared" si="75"/>
        <v>28768.402142691069</v>
      </c>
      <c r="J36" s="396">
        <f t="shared" si="75"/>
        <v>29635.885044910283</v>
      </c>
      <c r="K36" s="396">
        <f t="shared" si="75"/>
        <v>30556.15631289822</v>
      </c>
      <c r="L36" s="396">
        <f t="shared" si="75"/>
        <v>34198.762088359348</v>
      </c>
      <c r="M36" s="396">
        <f t="shared" si="75"/>
        <v>40246.641706420894</v>
      </c>
      <c r="N36" s="396">
        <f>SUM(B36:M36)</f>
        <v>303710.94571374159</v>
      </c>
      <c r="O36" s="396">
        <f t="shared" ref="O36:Z36" si="76">O9+O23</f>
        <v>33709.799148794657</v>
      </c>
      <c r="P36" s="396">
        <f t="shared" si="76"/>
        <v>33467.616386521062</v>
      </c>
      <c r="Q36" s="396">
        <f t="shared" si="76"/>
        <v>33624.286043471162</v>
      </c>
      <c r="R36" s="396">
        <f t="shared" si="76"/>
        <v>33590.414998591856</v>
      </c>
      <c r="S36" s="396">
        <f t="shared" si="76"/>
        <v>33343.981837608771</v>
      </c>
      <c r="T36" s="396">
        <f t="shared" si="76"/>
        <v>32590.844391940955</v>
      </c>
      <c r="U36" s="396">
        <f t="shared" si="76"/>
        <v>32774.499889810926</v>
      </c>
      <c r="V36" s="396">
        <f t="shared" si="76"/>
        <v>32648.230960046189</v>
      </c>
      <c r="W36" s="396">
        <f t="shared" si="76"/>
        <v>32324.56876010196</v>
      </c>
      <c r="X36" s="396">
        <f t="shared" si="76"/>
        <v>33236.104094525617</v>
      </c>
      <c r="Y36" s="396">
        <f t="shared" si="76"/>
        <v>33313.789052607339</v>
      </c>
      <c r="Z36" s="396">
        <f t="shared" si="76"/>
        <v>34333.624106037001</v>
      </c>
      <c r="AA36" s="396">
        <f>SUM(O36:Z36)</f>
        <v>398957.75967005751</v>
      </c>
      <c r="AB36" s="396">
        <f t="shared" ref="AB36:AM36" si="77">AB9+AB23</f>
        <v>35579.90891225871</v>
      </c>
      <c r="AC36" s="396">
        <f t="shared" si="77"/>
        <v>35023.116083149791</v>
      </c>
      <c r="AD36" s="396">
        <f t="shared" si="77"/>
        <v>35247.494388526909</v>
      </c>
      <c r="AE36" s="396">
        <f t="shared" si="77"/>
        <v>35068.36206802183</v>
      </c>
      <c r="AF36" s="396">
        <f t="shared" si="77"/>
        <v>35024.453556823995</v>
      </c>
      <c r="AG36" s="396">
        <f t="shared" si="77"/>
        <v>34263.310199252774</v>
      </c>
      <c r="AH36" s="396">
        <f t="shared" si="77"/>
        <v>34277.877274558829</v>
      </c>
      <c r="AI36" s="396">
        <f t="shared" si="77"/>
        <v>34252.099818366303</v>
      </c>
      <c r="AJ36" s="396">
        <f t="shared" si="77"/>
        <v>34027.593600894972</v>
      </c>
      <c r="AK36" s="396">
        <f t="shared" si="77"/>
        <v>34296.103065979805</v>
      </c>
      <c r="AL36" s="396">
        <f t="shared" si="77"/>
        <v>34410.028619071636</v>
      </c>
      <c r="AM36" s="396">
        <f t="shared" si="77"/>
        <v>34613.97658199232</v>
      </c>
      <c r="AN36" s="396">
        <f>SUM(AB36:AM36)</f>
        <v>416084.32416889782</v>
      </c>
      <c r="AO36" s="396">
        <f t="shared" ref="AO36:AZ36" si="78">AO9+AO23</f>
        <v>38375.827370068655</v>
      </c>
      <c r="AP36" s="396">
        <f t="shared" si="78"/>
        <v>34747.010598986162</v>
      </c>
      <c r="AQ36" s="396">
        <f t="shared" si="78"/>
        <v>35105.910890026789</v>
      </c>
      <c r="AR36" s="396">
        <f t="shared" si="78"/>
        <v>35131.220808236423</v>
      </c>
      <c r="AS36" s="396">
        <f t="shared" si="78"/>
        <v>34780.91836595699</v>
      </c>
      <c r="AT36" s="396">
        <f t="shared" si="78"/>
        <v>34571.873716678005</v>
      </c>
      <c r="AU36" s="396">
        <f t="shared" si="78"/>
        <v>34872.267101069112</v>
      </c>
      <c r="AV36" s="396">
        <f t="shared" si="78"/>
        <v>34792.753406033145</v>
      </c>
      <c r="AW36" s="396">
        <f t="shared" si="78"/>
        <v>34695.824464710611</v>
      </c>
      <c r="AX36" s="396">
        <f t="shared" si="78"/>
        <v>34789.778653683941</v>
      </c>
      <c r="AY36" s="396">
        <f t="shared" si="78"/>
        <v>34422.728180171951</v>
      </c>
      <c r="AZ36" s="396">
        <f t="shared" si="78"/>
        <v>34894.602387697538</v>
      </c>
      <c r="BA36" s="396">
        <f>SUM(AO36:AZ36)</f>
        <v>421180.71594331937</v>
      </c>
      <c r="BB36" s="396">
        <f t="shared" ref="BB36:BM36" si="79">BB9+BB23</f>
        <v>34927.067786744461</v>
      </c>
      <c r="BC36" s="396">
        <f t="shared" si="79"/>
        <v>34265.976580930961</v>
      </c>
      <c r="BD36" s="396">
        <f t="shared" si="79"/>
        <v>34421.463006366779</v>
      </c>
      <c r="BE36" s="396">
        <f t="shared" si="79"/>
        <v>43516.075674212538</v>
      </c>
      <c r="BF36" s="396">
        <f t="shared" si="79"/>
        <v>35534.416062810429</v>
      </c>
      <c r="BG36" s="396">
        <f t="shared" si="79"/>
        <v>34749.158681911693</v>
      </c>
      <c r="BH36" s="396">
        <f t="shared" si="79"/>
        <v>35037.830408925234</v>
      </c>
      <c r="BI36" s="396">
        <f t="shared" si="79"/>
        <v>35139.208782852584</v>
      </c>
      <c r="BJ36" s="396">
        <f t="shared" si="79"/>
        <v>35041.230962934729</v>
      </c>
      <c r="BK36" s="396">
        <f t="shared" si="79"/>
        <v>34770.537889091909</v>
      </c>
      <c r="BL36" s="396">
        <f t="shared" si="79"/>
        <v>34823.962796483771</v>
      </c>
      <c r="BM36" s="396">
        <f t="shared" si="79"/>
        <v>35122.13637348637</v>
      </c>
      <c r="BN36" s="396">
        <f>SUM(BB36:BM36)</f>
        <v>427349.06500675145</v>
      </c>
      <c r="BO36" s="396"/>
    </row>
    <row r="37" spans="1:68" x14ac:dyDescent="0.25">
      <c r="A37" s="315" t="s">
        <v>419</v>
      </c>
      <c r="B37" s="396">
        <f t="shared" ref="B37:M37" si="80">B11+B24</f>
        <v>0</v>
      </c>
      <c r="C37" s="396">
        <f t="shared" si="80"/>
        <v>0</v>
      </c>
      <c r="D37" s="396">
        <f t="shared" si="80"/>
        <v>0</v>
      </c>
      <c r="E37" s="396">
        <f t="shared" si="80"/>
        <v>0</v>
      </c>
      <c r="F37" s="396">
        <f t="shared" si="80"/>
        <v>0</v>
      </c>
      <c r="G37" s="396">
        <f t="shared" si="80"/>
        <v>0</v>
      </c>
      <c r="H37" s="396">
        <f t="shared" si="80"/>
        <v>0</v>
      </c>
      <c r="I37" s="396">
        <f t="shared" si="80"/>
        <v>0</v>
      </c>
      <c r="J37" s="396">
        <f t="shared" si="80"/>
        <v>17564.949999999997</v>
      </c>
      <c r="K37" s="396">
        <f t="shared" si="80"/>
        <v>28244.93</v>
      </c>
      <c r="L37" s="396">
        <f t="shared" si="80"/>
        <v>28227.75</v>
      </c>
      <c r="M37" s="396">
        <f t="shared" si="80"/>
        <v>28256.38</v>
      </c>
      <c r="N37" s="396">
        <f t="shared" ref="N37:N38" si="81">SUM(B37:M37)</f>
        <v>102294.01000000001</v>
      </c>
      <c r="O37" s="396">
        <f t="shared" ref="O37:Z37" si="82">O11+O24</f>
        <v>28256.38</v>
      </c>
      <c r="P37" s="396">
        <f t="shared" si="82"/>
        <v>28256.38</v>
      </c>
      <c r="Q37" s="396">
        <f t="shared" si="82"/>
        <v>28256.38</v>
      </c>
      <c r="R37" s="396">
        <f t="shared" si="82"/>
        <v>28256.38</v>
      </c>
      <c r="S37" s="396">
        <f t="shared" si="82"/>
        <v>28256.38</v>
      </c>
      <c r="T37" s="396">
        <f t="shared" si="82"/>
        <v>28256.38</v>
      </c>
      <c r="U37" s="396">
        <f t="shared" si="82"/>
        <v>28256.38</v>
      </c>
      <c r="V37" s="396">
        <f t="shared" si="82"/>
        <v>28256.38</v>
      </c>
      <c r="W37" s="396">
        <f t="shared" si="82"/>
        <v>28256.38</v>
      </c>
      <c r="X37" s="396">
        <f t="shared" si="82"/>
        <v>28256.38</v>
      </c>
      <c r="Y37" s="396">
        <f t="shared" si="82"/>
        <v>28256.38</v>
      </c>
      <c r="Z37" s="396">
        <f t="shared" si="82"/>
        <v>28256.38</v>
      </c>
      <c r="AA37" s="396">
        <f>SUM(O37:Z37)</f>
        <v>339076.56</v>
      </c>
      <c r="AB37" s="396">
        <f t="shared" ref="AB37:AM37" si="83">AB11+AB24</f>
        <v>28256.38</v>
      </c>
      <c r="AC37" s="396">
        <f t="shared" si="83"/>
        <v>28256.38</v>
      </c>
      <c r="AD37" s="396">
        <f t="shared" si="83"/>
        <v>28256.38</v>
      </c>
      <c r="AE37" s="396">
        <f t="shared" si="83"/>
        <v>28256.38</v>
      </c>
      <c r="AF37" s="396">
        <f t="shared" si="83"/>
        <v>28256.38</v>
      </c>
      <c r="AG37" s="396">
        <f t="shared" si="83"/>
        <v>28256.38</v>
      </c>
      <c r="AH37" s="396">
        <f t="shared" si="83"/>
        <v>28256.38</v>
      </c>
      <c r="AI37" s="396">
        <f t="shared" si="83"/>
        <v>28256.38</v>
      </c>
      <c r="AJ37" s="396">
        <f t="shared" si="83"/>
        <v>31191.49</v>
      </c>
      <c r="AK37" s="396">
        <f t="shared" si="83"/>
        <v>31196.690000000002</v>
      </c>
      <c r="AL37" s="396">
        <f t="shared" si="83"/>
        <v>31219.49</v>
      </c>
      <c r="AM37" s="396">
        <f t="shared" si="83"/>
        <v>49499.08</v>
      </c>
      <c r="AN37" s="396">
        <f>SUM(AB37:AM37)</f>
        <v>369157.79</v>
      </c>
      <c r="AO37" s="396">
        <f t="shared" ref="AO37:AZ37" si="84">AO11+AO24</f>
        <v>34112.22</v>
      </c>
      <c r="AP37" s="396">
        <f t="shared" si="84"/>
        <v>28256.38</v>
      </c>
      <c r="AQ37" s="396">
        <f t="shared" si="84"/>
        <v>31184.300000000003</v>
      </c>
      <c r="AR37" s="396">
        <f t="shared" si="84"/>
        <v>31184.300000000003</v>
      </c>
      <c r="AS37" s="396">
        <f t="shared" si="84"/>
        <v>31193.279999999999</v>
      </c>
      <c r="AT37" s="396">
        <f t="shared" si="84"/>
        <v>34120.54</v>
      </c>
      <c r="AU37" s="396">
        <f t="shared" si="84"/>
        <v>31184.959999999999</v>
      </c>
      <c r="AV37" s="396">
        <f t="shared" si="84"/>
        <v>31184.299999999996</v>
      </c>
      <c r="AW37" s="396">
        <f t="shared" si="84"/>
        <v>31184.299999999996</v>
      </c>
      <c r="AX37" s="396">
        <f t="shared" si="84"/>
        <v>31184.299999999996</v>
      </c>
      <c r="AY37" s="396">
        <f t="shared" si="84"/>
        <v>31184.299999999996</v>
      </c>
      <c r="AZ37" s="396">
        <f t="shared" si="84"/>
        <v>31184.299999999996</v>
      </c>
      <c r="BA37" s="396">
        <f>SUM(AO37:AZ37)</f>
        <v>377157.48</v>
      </c>
      <c r="BB37" s="396">
        <f t="shared" ref="BB37:BM37" si="85">BB11+BB24</f>
        <v>31184.299999999996</v>
      </c>
      <c r="BC37" s="396">
        <f t="shared" si="85"/>
        <v>31184.299999999996</v>
      </c>
      <c r="BD37" s="396">
        <f t="shared" si="85"/>
        <v>31184.299999999996</v>
      </c>
      <c r="BE37" s="396">
        <f t="shared" si="85"/>
        <v>31184.299999999996</v>
      </c>
      <c r="BF37" s="396">
        <f t="shared" si="85"/>
        <v>31184.299999999996</v>
      </c>
      <c r="BG37" s="396">
        <f t="shared" si="85"/>
        <v>31184.299999999996</v>
      </c>
      <c r="BH37" s="396">
        <f t="shared" si="85"/>
        <v>31184.299999999996</v>
      </c>
      <c r="BI37" s="396">
        <f t="shared" si="85"/>
        <v>31184.299999999996</v>
      </c>
      <c r="BJ37" s="396">
        <f t="shared" si="85"/>
        <v>31184.299999999996</v>
      </c>
      <c r="BK37" s="396">
        <f t="shared" si="85"/>
        <v>31184.299999999996</v>
      </c>
      <c r="BL37" s="396">
        <f t="shared" si="85"/>
        <v>31184.299999999996</v>
      </c>
      <c r="BM37" s="396">
        <f t="shared" si="85"/>
        <v>31184.299999999996</v>
      </c>
      <c r="BN37" s="396">
        <f>SUM(BB37:BM37)</f>
        <v>374211.59999999992</v>
      </c>
      <c r="BO37" s="396"/>
    </row>
    <row r="38" spans="1:68" x14ac:dyDescent="0.25">
      <c r="A38" s="315" t="s">
        <v>417</v>
      </c>
      <c r="B38" s="396">
        <f>B36-B37</f>
        <v>20043.585488351684</v>
      </c>
      <c r="C38" s="396">
        <f t="shared" ref="C38:M38" si="86">C36-C37</f>
        <v>20043.585488351684</v>
      </c>
      <c r="D38" s="396">
        <f t="shared" si="86"/>
        <v>20043.585488351684</v>
      </c>
      <c r="E38" s="396">
        <f t="shared" si="86"/>
        <v>20043.585488351684</v>
      </c>
      <c r="F38" s="396">
        <f t="shared" si="86"/>
        <v>20043.585488351684</v>
      </c>
      <c r="G38" s="396">
        <f t="shared" si="86"/>
        <v>20043.585488351684</v>
      </c>
      <c r="H38" s="396">
        <f t="shared" si="86"/>
        <v>20043.585488351684</v>
      </c>
      <c r="I38" s="396">
        <f t="shared" si="86"/>
        <v>28768.402142691069</v>
      </c>
      <c r="J38" s="396">
        <f t="shared" si="86"/>
        <v>12070.935044910286</v>
      </c>
      <c r="K38" s="396">
        <f t="shared" si="86"/>
        <v>2311.2263128982195</v>
      </c>
      <c r="L38" s="396">
        <f t="shared" si="86"/>
        <v>5971.0120883593481</v>
      </c>
      <c r="M38" s="396">
        <f t="shared" si="86"/>
        <v>11990.261706420893</v>
      </c>
      <c r="N38" s="396">
        <f t="shared" si="81"/>
        <v>201416.93571374161</v>
      </c>
      <c r="O38" s="396">
        <f>O36-O37</f>
        <v>5453.4191487946555</v>
      </c>
      <c r="P38" s="396">
        <f t="shared" ref="P38:Z38" si="87">P36-P37</f>
        <v>5211.2363865210609</v>
      </c>
      <c r="Q38" s="396">
        <f t="shared" si="87"/>
        <v>5367.906043471161</v>
      </c>
      <c r="R38" s="396">
        <f t="shared" si="87"/>
        <v>5334.0349985918547</v>
      </c>
      <c r="S38" s="396">
        <f t="shared" si="87"/>
        <v>5087.6018376087704</v>
      </c>
      <c r="T38" s="396">
        <f t="shared" si="87"/>
        <v>4334.4643919409536</v>
      </c>
      <c r="U38" s="396">
        <f t="shared" si="87"/>
        <v>4518.1198898109251</v>
      </c>
      <c r="V38" s="396">
        <f t="shared" si="87"/>
        <v>4391.8509600461875</v>
      </c>
      <c r="W38" s="396">
        <f t="shared" si="87"/>
        <v>4068.1887601019589</v>
      </c>
      <c r="X38" s="396">
        <f t="shared" si="87"/>
        <v>4979.7240945256162</v>
      </c>
      <c r="Y38" s="396">
        <f t="shared" si="87"/>
        <v>5057.4090526073378</v>
      </c>
      <c r="Z38" s="396">
        <f t="shared" si="87"/>
        <v>6077.2441060370002</v>
      </c>
      <c r="AA38" s="396">
        <f>SUM(O38:Z38)</f>
        <v>59881.199670057482</v>
      </c>
      <c r="AB38" s="396">
        <f>AB36-AB37</f>
        <v>7323.5289122587092</v>
      </c>
      <c r="AC38" s="396">
        <f t="shared" ref="AC38:AM38" si="88">AC36-AC37</f>
        <v>6766.7360831497899</v>
      </c>
      <c r="AD38" s="396">
        <f t="shared" si="88"/>
        <v>6991.1143885269084</v>
      </c>
      <c r="AE38" s="396">
        <f t="shared" si="88"/>
        <v>6811.982068021829</v>
      </c>
      <c r="AF38" s="396">
        <f t="shared" si="88"/>
        <v>6768.0735568239943</v>
      </c>
      <c r="AG38" s="396">
        <f t="shared" si="88"/>
        <v>6006.9301992527726</v>
      </c>
      <c r="AH38" s="396">
        <f t="shared" si="88"/>
        <v>6021.4972745588275</v>
      </c>
      <c r="AI38" s="396">
        <f t="shared" si="88"/>
        <v>5995.7198183663022</v>
      </c>
      <c r="AJ38" s="396">
        <f t="shared" si="88"/>
        <v>2836.1036008949704</v>
      </c>
      <c r="AK38" s="396">
        <f t="shared" si="88"/>
        <v>3099.4130659798029</v>
      </c>
      <c r="AL38" s="396">
        <f t="shared" si="88"/>
        <v>3190.5386190716345</v>
      </c>
      <c r="AM38" s="396">
        <f t="shared" si="88"/>
        <v>-14885.103418007682</v>
      </c>
      <c r="AN38" s="396">
        <f>SUM(AB38:AM38)</f>
        <v>46926.534168897866</v>
      </c>
      <c r="AO38" s="396">
        <f>AO36-AO37</f>
        <v>4263.6073700686538</v>
      </c>
      <c r="AP38" s="396">
        <f t="shared" ref="AP38:AZ38" si="89">AP36-AP37</f>
        <v>6490.6305989861612</v>
      </c>
      <c r="AQ38" s="396">
        <f t="shared" si="89"/>
        <v>3921.6108900267864</v>
      </c>
      <c r="AR38" s="396">
        <f t="shared" si="89"/>
        <v>3946.9208082364203</v>
      </c>
      <c r="AS38" s="396">
        <f t="shared" si="89"/>
        <v>3587.638365956991</v>
      </c>
      <c r="AT38" s="396">
        <f t="shared" si="89"/>
        <v>451.33371667800384</v>
      </c>
      <c r="AU38" s="396">
        <f t="shared" si="89"/>
        <v>3687.3071010691128</v>
      </c>
      <c r="AV38" s="396">
        <f t="shared" si="89"/>
        <v>3608.4534060331498</v>
      </c>
      <c r="AW38" s="396">
        <f t="shared" si="89"/>
        <v>3511.5244647106156</v>
      </c>
      <c r="AX38" s="396">
        <f t="shared" si="89"/>
        <v>3605.4786536839456</v>
      </c>
      <c r="AY38" s="396">
        <f t="shared" si="89"/>
        <v>3238.4281801719553</v>
      </c>
      <c r="AZ38" s="396">
        <f t="shared" si="89"/>
        <v>3710.3023876975421</v>
      </c>
      <c r="BA38" s="396">
        <f>SUM(AO38:AZ38)</f>
        <v>44023.235943319341</v>
      </c>
      <c r="BB38" s="396">
        <f>BB36-BB37</f>
        <v>3742.7677867444654</v>
      </c>
      <c r="BC38" s="396">
        <f t="shared" ref="BC38:BM38" si="90">BC36-BC37</f>
        <v>3081.6765809309654</v>
      </c>
      <c r="BD38" s="396">
        <f t="shared" si="90"/>
        <v>3237.1630063667835</v>
      </c>
      <c r="BE38" s="396">
        <f t="shared" si="90"/>
        <v>12331.775674212542</v>
      </c>
      <c r="BF38" s="396">
        <f t="shared" si="90"/>
        <v>4350.1160628104335</v>
      </c>
      <c r="BG38" s="396">
        <f t="shared" si="90"/>
        <v>3564.8586819116972</v>
      </c>
      <c r="BH38" s="396">
        <f t="shared" si="90"/>
        <v>3853.5304089252386</v>
      </c>
      <c r="BI38" s="396">
        <f t="shared" si="90"/>
        <v>3954.908782852588</v>
      </c>
      <c r="BJ38" s="396">
        <f t="shared" si="90"/>
        <v>3856.9309629347335</v>
      </c>
      <c r="BK38" s="396">
        <f t="shared" si="90"/>
        <v>3586.2378890919135</v>
      </c>
      <c r="BL38" s="396">
        <f t="shared" si="90"/>
        <v>3639.6627964837753</v>
      </c>
      <c r="BM38" s="396">
        <f t="shared" si="90"/>
        <v>3937.8363734863742</v>
      </c>
      <c r="BN38" s="396">
        <f>SUM(BB38:BM38)</f>
        <v>53137.46500675151</v>
      </c>
      <c r="BO38" s="396"/>
    </row>
    <row r="39" spans="1:68" x14ac:dyDescent="0.25">
      <c r="B39" s="396"/>
      <c r="C39" s="396"/>
      <c r="D39" s="396"/>
      <c r="E39" s="396"/>
      <c r="F39" s="396"/>
      <c r="G39" s="396"/>
      <c r="H39" s="396"/>
      <c r="I39" s="396"/>
      <c r="J39" s="396"/>
      <c r="K39" s="396"/>
      <c r="L39" s="396"/>
      <c r="M39" s="396"/>
      <c r="N39" s="396"/>
      <c r="O39" s="396"/>
      <c r="P39" s="396"/>
      <c r="Q39" s="396"/>
      <c r="R39" s="396"/>
      <c r="S39" s="396"/>
      <c r="T39" s="396"/>
      <c r="U39" s="396"/>
      <c r="V39" s="396"/>
      <c r="W39" s="396"/>
      <c r="X39" s="396"/>
      <c r="Y39" s="396"/>
      <c r="Z39" s="396"/>
      <c r="AA39" s="396"/>
      <c r="AB39" s="396"/>
      <c r="AC39" s="396"/>
      <c r="AD39" s="396"/>
      <c r="AE39" s="396"/>
      <c r="AF39" s="396"/>
      <c r="AG39" s="396"/>
      <c r="AH39" s="396"/>
      <c r="AI39" s="396"/>
      <c r="AJ39" s="396"/>
      <c r="AK39" s="396"/>
      <c r="AL39" s="396"/>
      <c r="AM39" s="396"/>
      <c r="AN39" s="396"/>
      <c r="AO39" s="396"/>
      <c r="AP39" s="396"/>
      <c r="AQ39" s="396"/>
      <c r="AR39" s="396"/>
      <c r="AS39" s="396"/>
      <c r="AT39" s="396"/>
      <c r="AU39" s="396"/>
      <c r="AV39" s="396"/>
      <c r="AW39" s="396"/>
      <c r="AX39" s="396"/>
      <c r="AY39" s="396"/>
      <c r="AZ39" s="396"/>
      <c r="BA39" s="396"/>
      <c r="BB39" s="396"/>
      <c r="BC39" s="396"/>
      <c r="BD39" s="396"/>
      <c r="BE39" s="396"/>
      <c r="BF39" s="396"/>
      <c r="BG39" s="396"/>
      <c r="BH39" s="396"/>
      <c r="BI39" s="396"/>
      <c r="BJ39" s="396"/>
      <c r="BK39" s="396"/>
      <c r="BL39" s="396"/>
      <c r="BM39" s="396"/>
      <c r="BN39" s="396"/>
      <c r="BO39" s="396"/>
    </row>
    <row r="40" spans="1:68" x14ac:dyDescent="0.25">
      <c r="A40" s="315" t="s">
        <v>433</v>
      </c>
      <c r="B40" s="396">
        <f t="shared" ref="B40:M40" si="91">B16+B29</f>
        <v>0</v>
      </c>
      <c r="C40" s="396">
        <f t="shared" si="91"/>
        <v>62.135115013890221</v>
      </c>
      <c r="D40" s="396">
        <f t="shared" si="91"/>
        <v>124.27023002778044</v>
      </c>
      <c r="E40" s="396">
        <f t="shared" si="91"/>
        <v>186.40534504167067</v>
      </c>
      <c r="F40" s="396">
        <f t="shared" si="91"/>
        <v>248.54046005556089</v>
      </c>
      <c r="G40" s="396">
        <f t="shared" si="91"/>
        <v>310.67557506945116</v>
      </c>
      <c r="H40" s="396">
        <f t="shared" si="91"/>
        <v>372.8106900833414</v>
      </c>
      <c r="I40" s="396">
        <f t="shared" si="91"/>
        <v>434.94580509723164</v>
      </c>
      <c r="J40" s="396">
        <f t="shared" si="91"/>
        <v>524.12785173957388</v>
      </c>
      <c r="K40" s="396">
        <f t="shared" si="91"/>
        <v>561.54775037879574</v>
      </c>
      <c r="L40" s="396">
        <f t="shared" si="91"/>
        <v>568.71255194878029</v>
      </c>
      <c r="M40" s="396">
        <f t="shared" si="91"/>
        <v>587.2226894226942</v>
      </c>
      <c r="N40" s="396">
        <f>SUM(B40:M40)</f>
        <v>3981.3940638787703</v>
      </c>
      <c r="O40" s="396">
        <f t="shared" ref="O40:AT40" si="92">O16+O29</f>
        <v>624.39250071259903</v>
      </c>
      <c r="P40" s="396">
        <f t="shared" si="92"/>
        <v>641.29810007386243</v>
      </c>
      <c r="Q40" s="396">
        <f t="shared" si="92"/>
        <v>657.45293287207767</v>
      </c>
      <c r="R40" s="396">
        <f t="shared" si="92"/>
        <v>674.09344160683838</v>
      </c>
      <c r="S40" s="396">
        <f t="shared" si="92"/>
        <v>690.62895010247314</v>
      </c>
      <c r="T40" s="396">
        <f t="shared" si="92"/>
        <v>706.40051579906037</v>
      </c>
      <c r="U40" s="396">
        <f t="shared" si="92"/>
        <v>719.83735541407725</v>
      </c>
      <c r="V40" s="396">
        <f t="shared" si="92"/>
        <v>733.84352707249116</v>
      </c>
      <c r="W40" s="396">
        <f t="shared" si="92"/>
        <v>747.45826504863442</v>
      </c>
      <c r="X40" s="396">
        <f t="shared" si="92"/>
        <v>760.06965020495045</v>
      </c>
      <c r="Y40" s="396">
        <f t="shared" si="92"/>
        <v>775.50679489797983</v>
      </c>
      <c r="Z40" s="396">
        <f t="shared" si="92"/>
        <v>791.18476296106269</v>
      </c>
      <c r="AA40" s="396">
        <f t="shared" si="92"/>
        <v>8522.1667967661069</v>
      </c>
      <c r="AB40" s="396">
        <f t="shared" si="92"/>
        <v>810.02421968977728</v>
      </c>
      <c r="AC40" s="396">
        <f t="shared" si="92"/>
        <v>832.7271593177793</v>
      </c>
      <c r="AD40" s="396">
        <f t="shared" si="92"/>
        <v>853.70404117554369</v>
      </c>
      <c r="AE40" s="396">
        <f t="shared" si="92"/>
        <v>875.37649577997718</v>
      </c>
      <c r="AF40" s="396">
        <f t="shared" si="92"/>
        <v>896.49364019084476</v>
      </c>
      <c r="AG40" s="396">
        <f t="shared" si="92"/>
        <v>917.47466821699913</v>
      </c>
      <c r="AH40" s="396">
        <f t="shared" si="92"/>
        <v>936.0961518346827</v>
      </c>
      <c r="AI40" s="396">
        <f t="shared" si="92"/>
        <v>954.76279338581503</v>
      </c>
      <c r="AJ40" s="396">
        <f t="shared" si="92"/>
        <v>973.3495248227506</v>
      </c>
      <c r="AK40" s="396">
        <f t="shared" si="92"/>
        <v>982.14144598552502</v>
      </c>
      <c r="AL40" s="396">
        <f t="shared" si="92"/>
        <v>991.74962649006238</v>
      </c>
      <c r="AM40" s="396">
        <f t="shared" si="92"/>
        <v>1001.6402962091845</v>
      </c>
      <c r="AN40" s="396">
        <f t="shared" si="92"/>
        <v>11025.540063098942</v>
      </c>
      <c r="AO40" s="396">
        <f t="shared" si="92"/>
        <v>955.49647561336064</v>
      </c>
      <c r="AP40" s="396">
        <f t="shared" si="92"/>
        <v>968.71365846057347</v>
      </c>
      <c r="AQ40" s="396">
        <f t="shared" si="92"/>
        <v>988.83461331743069</v>
      </c>
      <c r="AR40" s="396">
        <f t="shared" si="92"/>
        <v>1000.9916070765137</v>
      </c>
      <c r="AS40" s="396">
        <f t="shared" si="92"/>
        <v>1013.2270615820466</v>
      </c>
      <c r="AT40" s="396">
        <f t="shared" si="92"/>
        <v>1024.3487405165133</v>
      </c>
      <c r="AU40" s="396">
        <f t="shared" ref="AU40:BO40" si="93">AU16+AU29</f>
        <v>1025.7478750382149</v>
      </c>
      <c r="AV40" s="396">
        <f t="shared" si="93"/>
        <v>1037.1785270515293</v>
      </c>
      <c r="AW40" s="396">
        <f t="shared" si="93"/>
        <v>1048.3647326102321</v>
      </c>
      <c r="AX40" s="396">
        <f t="shared" si="93"/>
        <v>1059.2504584508349</v>
      </c>
      <c r="AY40" s="396">
        <f t="shared" si="93"/>
        <v>1070.4274422772553</v>
      </c>
      <c r="AZ40" s="396">
        <f t="shared" si="93"/>
        <v>1080.4665696357883</v>
      </c>
      <c r="BA40" s="396">
        <f t="shared" si="93"/>
        <v>12273.047761630296</v>
      </c>
      <c r="BB40" s="396">
        <f t="shared" si="93"/>
        <v>1091.9685070376506</v>
      </c>
      <c r="BC40" s="396">
        <f t="shared" si="93"/>
        <v>1103.5710871765584</v>
      </c>
      <c r="BD40" s="396">
        <f t="shared" si="93"/>
        <v>1113.1242845774445</v>
      </c>
      <c r="BE40" s="396">
        <f t="shared" si="93"/>
        <v>1123.1594898971816</v>
      </c>
      <c r="BF40" s="396">
        <f t="shared" si="93"/>
        <v>1161.3879944872403</v>
      </c>
      <c r="BG40" s="396">
        <f t="shared" si="93"/>
        <v>1174.8733542819527</v>
      </c>
      <c r="BH40" s="396">
        <f t="shared" si="93"/>
        <v>1185.9244161958791</v>
      </c>
      <c r="BI40" s="396">
        <f t="shared" si="93"/>
        <v>1197.8703604635473</v>
      </c>
      <c r="BJ40" s="396">
        <f t="shared" si="93"/>
        <v>1210.1305776903903</v>
      </c>
      <c r="BK40" s="396">
        <f t="shared" si="93"/>
        <v>1222.087063675488</v>
      </c>
      <c r="BL40" s="396">
        <f t="shared" si="93"/>
        <v>1233.204401131673</v>
      </c>
      <c r="BM40" s="396">
        <f t="shared" si="93"/>
        <v>1244.4873558007725</v>
      </c>
      <c r="BN40" s="396">
        <f t="shared" si="93"/>
        <v>14061.788892415778</v>
      </c>
      <c r="BO40" s="396">
        <f t="shared" si="93"/>
        <v>15080.335782702965</v>
      </c>
    </row>
    <row r="41" spans="1:68" x14ac:dyDescent="0.25">
      <c r="B41" s="396"/>
      <c r="C41" s="396"/>
      <c r="D41" s="396"/>
      <c r="E41" s="396"/>
      <c r="F41" s="396"/>
      <c r="G41" s="396"/>
      <c r="H41" s="396"/>
      <c r="I41" s="396"/>
      <c r="J41" s="396"/>
      <c r="K41" s="396"/>
      <c r="L41" s="396"/>
      <c r="M41" s="396"/>
      <c r="N41" s="396"/>
      <c r="O41" s="396"/>
      <c r="P41" s="396"/>
      <c r="Q41" s="396"/>
      <c r="R41" s="396"/>
      <c r="S41" s="396"/>
      <c r="T41" s="396"/>
      <c r="U41" s="396"/>
      <c r="V41" s="396"/>
      <c r="W41" s="396"/>
      <c r="X41" s="396"/>
      <c r="Y41" s="396"/>
      <c r="Z41" s="396"/>
      <c r="AA41" s="396"/>
      <c r="AB41" s="396"/>
      <c r="AC41" s="396"/>
      <c r="AD41" s="396"/>
      <c r="AE41" s="396"/>
      <c r="AF41" s="396"/>
      <c r="AG41" s="396"/>
      <c r="AH41" s="396"/>
      <c r="AI41" s="396"/>
      <c r="AJ41" s="396"/>
      <c r="AK41" s="396"/>
      <c r="AL41" s="396"/>
      <c r="AM41" s="396"/>
      <c r="AN41" s="396"/>
      <c r="AO41" s="396"/>
      <c r="AP41" s="396"/>
      <c r="AQ41" s="396"/>
      <c r="AR41" s="396"/>
      <c r="AS41" s="396"/>
      <c r="AT41" s="396"/>
      <c r="AU41" s="396"/>
      <c r="AV41" s="396"/>
      <c r="AW41" s="396"/>
      <c r="AX41" s="396"/>
      <c r="AY41" s="396"/>
      <c r="AZ41" s="396"/>
      <c r="BA41" s="396"/>
      <c r="BB41" s="396"/>
      <c r="BC41" s="396"/>
      <c r="BD41" s="396"/>
      <c r="BE41" s="396"/>
      <c r="BF41" s="396"/>
      <c r="BG41" s="396"/>
      <c r="BH41" s="396"/>
      <c r="BI41" s="396"/>
      <c r="BJ41" s="396"/>
      <c r="BK41" s="396"/>
      <c r="BL41" s="396"/>
      <c r="BM41" s="396"/>
      <c r="BN41" s="396"/>
      <c r="BO41" s="396"/>
    </row>
    <row r="42" spans="1:68" s="315" customFormat="1" x14ac:dyDescent="0.25">
      <c r="A42" s="315" t="s">
        <v>435</v>
      </c>
      <c r="B42" s="400">
        <f>B38+B40</f>
        <v>20043.585488351684</v>
      </c>
      <c r="C42" s="400">
        <f t="shared" ref="C42:M42" si="94">C38+C40</f>
        <v>20105.720603365575</v>
      </c>
      <c r="D42" s="400">
        <f t="shared" si="94"/>
        <v>20167.855718379466</v>
      </c>
      <c r="E42" s="400">
        <f t="shared" si="94"/>
        <v>20229.990833393356</v>
      </c>
      <c r="F42" s="400">
        <f t="shared" si="94"/>
        <v>20292.125948407243</v>
      </c>
      <c r="G42" s="400">
        <f t="shared" si="94"/>
        <v>20354.261063421134</v>
      </c>
      <c r="H42" s="400">
        <f t="shared" si="94"/>
        <v>20416.396178435025</v>
      </c>
      <c r="I42" s="400">
        <f t="shared" si="94"/>
        <v>29203.347947788301</v>
      </c>
      <c r="J42" s="400">
        <f t="shared" si="94"/>
        <v>12595.062896649859</v>
      </c>
      <c r="K42" s="400">
        <f t="shared" si="94"/>
        <v>2872.7740632770151</v>
      </c>
      <c r="L42" s="400">
        <f t="shared" si="94"/>
        <v>6539.7246403081281</v>
      </c>
      <c r="M42" s="400">
        <f t="shared" si="94"/>
        <v>12577.484395843589</v>
      </c>
      <c r="N42" s="400">
        <f>SUM(B42:M42)</f>
        <v>205398.32977762035</v>
      </c>
      <c r="O42" s="400">
        <f>O38+O40</f>
        <v>6077.8116495072545</v>
      </c>
      <c r="P42" s="400">
        <f t="shared" ref="P42:AA42" si="95">P38+P40</f>
        <v>5852.5344865949237</v>
      </c>
      <c r="Q42" s="400">
        <f t="shared" si="95"/>
        <v>6025.3589763432383</v>
      </c>
      <c r="R42" s="400">
        <f t="shared" si="95"/>
        <v>6008.1284401986932</v>
      </c>
      <c r="S42" s="400">
        <f t="shared" si="95"/>
        <v>5778.2307877112435</v>
      </c>
      <c r="T42" s="400">
        <f t="shared" si="95"/>
        <v>5040.8649077400141</v>
      </c>
      <c r="U42" s="400">
        <f t="shared" si="95"/>
        <v>5237.9572452250022</v>
      </c>
      <c r="V42" s="400">
        <f t="shared" si="95"/>
        <v>5125.6944871186788</v>
      </c>
      <c r="W42" s="400">
        <f t="shared" si="95"/>
        <v>4815.6470251505934</v>
      </c>
      <c r="X42" s="400">
        <f t="shared" si="95"/>
        <v>5739.7937447305667</v>
      </c>
      <c r="Y42" s="400">
        <f t="shared" si="95"/>
        <v>5832.9158475053173</v>
      </c>
      <c r="Z42" s="400">
        <f t="shared" si="95"/>
        <v>6868.4288689980631</v>
      </c>
      <c r="AA42" s="400">
        <f t="shared" si="95"/>
        <v>68403.366466823587</v>
      </c>
      <c r="AB42" s="400">
        <f>AB38+AB40</f>
        <v>8133.5531319484862</v>
      </c>
      <c r="AC42" s="400">
        <f t="shared" ref="AC42:AN42" si="96">AC38+AC40</f>
        <v>7599.4632424675692</v>
      </c>
      <c r="AD42" s="400">
        <f t="shared" si="96"/>
        <v>7844.8184297024518</v>
      </c>
      <c r="AE42" s="400">
        <f t="shared" si="96"/>
        <v>7687.3585638018067</v>
      </c>
      <c r="AF42" s="400">
        <f t="shared" si="96"/>
        <v>7664.5671970148387</v>
      </c>
      <c r="AG42" s="400">
        <f t="shared" si="96"/>
        <v>6924.4048674697715</v>
      </c>
      <c r="AH42" s="400">
        <f t="shared" si="96"/>
        <v>6957.5934263935105</v>
      </c>
      <c r="AI42" s="400">
        <f t="shared" si="96"/>
        <v>6950.482611752117</v>
      </c>
      <c r="AJ42" s="400">
        <f t="shared" si="96"/>
        <v>3809.4531257177209</v>
      </c>
      <c r="AK42" s="400">
        <f t="shared" si="96"/>
        <v>4081.5545119653279</v>
      </c>
      <c r="AL42" s="400">
        <f t="shared" si="96"/>
        <v>4182.2882455616964</v>
      </c>
      <c r="AM42" s="400">
        <f t="shared" si="96"/>
        <v>-13883.463121798497</v>
      </c>
      <c r="AN42" s="400">
        <f t="shared" si="96"/>
        <v>57952.074231996812</v>
      </c>
      <c r="AO42" s="400">
        <f>AO38+AO40</f>
        <v>5219.1038456820143</v>
      </c>
      <c r="AP42" s="400">
        <f t="shared" ref="AP42:BA42" si="97">AP38+AP40</f>
        <v>7459.3442574467344</v>
      </c>
      <c r="AQ42" s="400">
        <f t="shared" si="97"/>
        <v>4910.4455033442173</v>
      </c>
      <c r="AR42" s="400">
        <f t="shared" si="97"/>
        <v>4947.9124153129342</v>
      </c>
      <c r="AS42" s="400">
        <f t="shared" si="97"/>
        <v>4600.8654275390381</v>
      </c>
      <c r="AT42" s="400">
        <f t="shared" si="97"/>
        <v>1475.6824571945172</v>
      </c>
      <c r="AU42" s="400">
        <f t="shared" si="97"/>
        <v>4713.054976107328</v>
      </c>
      <c r="AV42" s="400">
        <f t="shared" si="97"/>
        <v>4645.6319330846791</v>
      </c>
      <c r="AW42" s="400">
        <f t="shared" si="97"/>
        <v>4559.8891973208474</v>
      </c>
      <c r="AX42" s="400">
        <f t="shared" si="97"/>
        <v>4664.7291121347807</v>
      </c>
      <c r="AY42" s="400">
        <f t="shared" si="97"/>
        <v>4308.8556224492104</v>
      </c>
      <c r="AZ42" s="400">
        <f t="shared" si="97"/>
        <v>4790.76895733333</v>
      </c>
      <c r="BA42" s="400">
        <f t="shared" si="97"/>
        <v>56296.283704949637</v>
      </c>
      <c r="BB42" s="400">
        <f>BB38+BB40</f>
        <v>4834.7362937821163</v>
      </c>
      <c r="BC42" s="400">
        <f t="shared" ref="BC42:BO42" si="98">BC38+BC40</f>
        <v>4185.2476681075241</v>
      </c>
      <c r="BD42" s="400">
        <f t="shared" si="98"/>
        <v>4350.2872909442285</v>
      </c>
      <c r="BE42" s="400">
        <f t="shared" si="98"/>
        <v>13454.935164109724</v>
      </c>
      <c r="BF42" s="400">
        <f t="shared" si="98"/>
        <v>5511.5040572976741</v>
      </c>
      <c r="BG42" s="400">
        <f t="shared" si="98"/>
        <v>4739.7320361936499</v>
      </c>
      <c r="BH42" s="400">
        <f t="shared" si="98"/>
        <v>5039.4548251211181</v>
      </c>
      <c r="BI42" s="400">
        <f t="shared" si="98"/>
        <v>5152.7791433161356</v>
      </c>
      <c r="BJ42" s="400">
        <f t="shared" si="98"/>
        <v>5067.0615406251236</v>
      </c>
      <c r="BK42" s="400">
        <f t="shared" si="98"/>
        <v>4808.3249527674016</v>
      </c>
      <c r="BL42" s="400">
        <f t="shared" si="98"/>
        <v>4872.8671976154483</v>
      </c>
      <c r="BM42" s="400">
        <f t="shared" si="98"/>
        <v>5182.3237292871472</v>
      </c>
      <c r="BN42" s="400">
        <f t="shared" si="98"/>
        <v>67199.253899167292</v>
      </c>
      <c r="BO42" s="400">
        <f t="shared" si="98"/>
        <v>15080.335782702965</v>
      </c>
    </row>
    <row r="43" spans="1:68" s="315" customFormat="1" x14ac:dyDescent="0.25">
      <c r="A43" s="394" t="s">
        <v>452</v>
      </c>
      <c r="B43" s="409">
        <f>B42</f>
        <v>20043.585488351684</v>
      </c>
      <c r="C43" s="409">
        <f>C42+B43</f>
        <v>40149.306091717255</v>
      </c>
      <c r="D43" s="409">
        <f t="shared" ref="D43:M43" si="99">D42+C43</f>
        <v>60317.161810096717</v>
      </c>
      <c r="E43" s="409">
        <f t="shared" si="99"/>
        <v>80547.152643490073</v>
      </c>
      <c r="F43" s="409">
        <f t="shared" si="99"/>
        <v>100839.27859189731</v>
      </c>
      <c r="G43" s="409">
        <f t="shared" si="99"/>
        <v>121193.53965531844</v>
      </c>
      <c r="H43" s="409">
        <f t="shared" si="99"/>
        <v>141609.93583375346</v>
      </c>
      <c r="I43" s="409">
        <f t="shared" si="99"/>
        <v>170813.28378154177</v>
      </c>
      <c r="J43" s="409">
        <f t="shared" si="99"/>
        <v>183408.34667819162</v>
      </c>
      <c r="K43" s="409">
        <f t="shared" si="99"/>
        <v>186281.12074146865</v>
      </c>
      <c r="L43" s="409">
        <f t="shared" si="99"/>
        <v>192820.84538177677</v>
      </c>
      <c r="M43" s="409">
        <f t="shared" si="99"/>
        <v>205398.32977762035</v>
      </c>
      <c r="N43" s="410">
        <f>M43</f>
        <v>205398.32977762035</v>
      </c>
      <c r="O43" s="409">
        <f>O42+N43</f>
        <v>211476.14142712762</v>
      </c>
      <c r="P43" s="409">
        <f t="shared" ref="P43:Z43" si="100">P42+O43</f>
        <v>217328.67591372255</v>
      </c>
      <c r="Q43" s="409">
        <f t="shared" si="100"/>
        <v>223354.03489006578</v>
      </c>
      <c r="R43" s="409">
        <f t="shared" si="100"/>
        <v>229362.16333026448</v>
      </c>
      <c r="S43" s="409">
        <f t="shared" si="100"/>
        <v>235140.39411797572</v>
      </c>
      <c r="T43" s="409">
        <f t="shared" si="100"/>
        <v>240181.25902571573</v>
      </c>
      <c r="U43" s="409">
        <f t="shared" si="100"/>
        <v>245419.21627094073</v>
      </c>
      <c r="V43" s="409">
        <f t="shared" si="100"/>
        <v>250544.91075805941</v>
      </c>
      <c r="W43" s="409">
        <f t="shared" si="100"/>
        <v>255360.55778321001</v>
      </c>
      <c r="X43" s="409">
        <f t="shared" si="100"/>
        <v>261100.35152794057</v>
      </c>
      <c r="Y43" s="409">
        <f t="shared" si="100"/>
        <v>266933.26737544587</v>
      </c>
      <c r="Z43" s="409">
        <f t="shared" si="100"/>
        <v>273801.69624444394</v>
      </c>
      <c r="AA43" s="410">
        <f>Z43</f>
        <v>273801.69624444394</v>
      </c>
      <c r="AB43" s="409">
        <f>AB42+AA43</f>
        <v>281935.2493763924</v>
      </c>
      <c r="AC43" s="409">
        <f t="shared" ref="AC43:AM43" si="101">AC42+AB43</f>
        <v>289534.71261885995</v>
      </c>
      <c r="AD43" s="409">
        <f t="shared" si="101"/>
        <v>297379.53104856238</v>
      </c>
      <c r="AE43" s="409">
        <f t="shared" si="101"/>
        <v>305066.88961236418</v>
      </c>
      <c r="AF43" s="409">
        <f t="shared" si="101"/>
        <v>312731.45680937899</v>
      </c>
      <c r="AG43" s="409">
        <f t="shared" si="101"/>
        <v>319655.86167684878</v>
      </c>
      <c r="AH43" s="409">
        <f t="shared" si="101"/>
        <v>326613.4551032423</v>
      </c>
      <c r="AI43" s="409">
        <f t="shared" si="101"/>
        <v>333563.93771499442</v>
      </c>
      <c r="AJ43" s="409">
        <f t="shared" si="101"/>
        <v>337373.39084071212</v>
      </c>
      <c r="AK43" s="409">
        <f t="shared" si="101"/>
        <v>341454.94535267743</v>
      </c>
      <c r="AL43" s="409">
        <f t="shared" si="101"/>
        <v>345637.23359823914</v>
      </c>
      <c r="AM43" s="409">
        <f t="shared" si="101"/>
        <v>331753.77047644067</v>
      </c>
      <c r="AN43" s="410">
        <f>AM43</f>
        <v>331753.77047644067</v>
      </c>
      <c r="AO43" s="409">
        <f>AO42+AN43</f>
        <v>336972.87432212266</v>
      </c>
      <c r="AP43" s="409">
        <f t="shared" ref="AP43:AZ43" si="102">AP42+AO43</f>
        <v>344432.21857956942</v>
      </c>
      <c r="AQ43" s="409">
        <f t="shared" si="102"/>
        <v>349342.66408291366</v>
      </c>
      <c r="AR43" s="409">
        <f t="shared" si="102"/>
        <v>354290.57649822661</v>
      </c>
      <c r="AS43" s="409">
        <f t="shared" si="102"/>
        <v>358891.44192576566</v>
      </c>
      <c r="AT43" s="409">
        <f t="shared" si="102"/>
        <v>360367.12438296014</v>
      </c>
      <c r="AU43" s="409">
        <f t="shared" si="102"/>
        <v>365080.17935906746</v>
      </c>
      <c r="AV43" s="409">
        <f t="shared" si="102"/>
        <v>369725.81129215215</v>
      </c>
      <c r="AW43" s="409">
        <f t="shared" si="102"/>
        <v>374285.70048947301</v>
      </c>
      <c r="AX43" s="409">
        <f t="shared" si="102"/>
        <v>378950.42960160779</v>
      </c>
      <c r="AY43" s="409">
        <f t="shared" si="102"/>
        <v>383259.28522405698</v>
      </c>
      <c r="AZ43" s="409">
        <f t="shared" si="102"/>
        <v>388050.05418139033</v>
      </c>
      <c r="BA43" s="410">
        <f>AZ43</f>
        <v>388050.05418139033</v>
      </c>
      <c r="BB43" s="409">
        <f>BB42+BA43</f>
        <v>392884.79047517246</v>
      </c>
      <c r="BC43" s="409">
        <f t="shared" ref="BC43:BM43" si="103">BC42+BB43</f>
        <v>397070.03814327996</v>
      </c>
      <c r="BD43" s="409">
        <f t="shared" si="103"/>
        <v>401420.32543422421</v>
      </c>
      <c r="BE43" s="409">
        <f t="shared" si="103"/>
        <v>414875.26059833396</v>
      </c>
      <c r="BF43" s="409">
        <f t="shared" si="103"/>
        <v>420386.76465563162</v>
      </c>
      <c r="BG43" s="409">
        <f t="shared" si="103"/>
        <v>425126.49669182528</v>
      </c>
      <c r="BH43" s="409">
        <f t="shared" si="103"/>
        <v>430165.95151694637</v>
      </c>
      <c r="BI43" s="409">
        <f t="shared" si="103"/>
        <v>435318.73066026252</v>
      </c>
      <c r="BJ43" s="409">
        <f t="shared" si="103"/>
        <v>440385.79220088763</v>
      </c>
      <c r="BK43" s="409">
        <f t="shared" si="103"/>
        <v>445194.11715365504</v>
      </c>
      <c r="BL43" s="409">
        <f t="shared" si="103"/>
        <v>450066.98435127048</v>
      </c>
      <c r="BM43" s="409">
        <f t="shared" si="103"/>
        <v>455249.30808055762</v>
      </c>
      <c r="BN43" s="410">
        <f>BM43</f>
        <v>455249.30808055762</v>
      </c>
      <c r="BO43" s="409">
        <f t="shared" ref="BO43" si="104">BO42+BN43</f>
        <v>470329.64386326057</v>
      </c>
      <c r="BP43" s="411"/>
    </row>
    <row r="46" spans="1:68" x14ac:dyDescent="0.25">
      <c r="N46" s="393"/>
      <c r="AA46" s="393"/>
      <c r="AN46" s="393"/>
      <c r="BA46" s="393"/>
      <c r="BN46" s="393"/>
      <c r="BO46" s="393"/>
    </row>
    <row r="47" spans="1:68" x14ac:dyDescent="0.25">
      <c r="BN47" s="393"/>
    </row>
  </sheetData>
  <mergeCells count="1">
    <mergeCell ref="A1:A2"/>
  </mergeCell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P25"/>
  <sheetViews>
    <sheetView showGridLines="0" workbookViewId="0">
      <pane xSplit="2" ySplit="1" topLeftCell="O2" activePane="bottomRight" state="frozen"/>
      <selection pane="topRight" activeCell="C1" sqref="C1"/>
      <selection pane="bottomLeft" activeCell="A2" sqref="A2"/>
      <selection pane="bottomRight" activeCell="BS21" sqref="BS21"/>
    </sheetView>
  </sheetViews>
  <sheetFormatPr defaultColWidth="9.140625" defaultRowHeight="15.75" outlineLevelCol="1" x14ac:dyDescent="0.25"/>
  <cols>
    <col min="1" max="1" width="26.28515625" style="317" bestFit="1" customWidth="1"/>
    <col min="2" max="2" width="22.42578125" bestFit="1" customWidth="1"/>
    <col min="3" max="9" width="12.28515625" hidden="1" customWidth="1" outlineLevel="1"/>
    <col min="10" max="14" width="13.85546875" hidden="1" customWidth="1" outlineLevel="1"/>
    <col min="15" max="15" width="13.85546875" bestFit="1" customWidth="1" collapsed="1"/>
    <col min="16" max="27" width="13.85546875" hidden="1" customWidth="1" outlineLevel="1"/>
    <col min="28" max="28" width="13.85546875" bestFit="1" customWidth="1" collapsed="1"/>
    <col min="29" max="40" width="13.85546875" hidden="1" customWidth="1" outlineLevel="1"/>
    <col min="41" max="41" width="13.85546875" bestFit="1" customWidth="1" collapsed="1"/>
    <col min="42" max="53" width="13.85546875" hidden="1" customWidth="1" outlineLevel="1"/>
    <col min="54" max="54" width="13.85546875" bestFit="1" customWidth="1" collapsed="1"/>
    <col min="55" max="66" width="13.85546875" hidden="1" customWidth="1" outlineLevel="1"/>
    <col min="67" max="67" width="13.85546875" bestFit="1" customWidth="1" collapsed="1"/>
    <col min="68" max="68" width="13.85546875" hidden="1" customWidth="1"/>
  </cols>
  <sheetData>
    <row r="1" spans="1:68" x14ac:dyDescent="0.25">
      <c r="A1" s="319"/>
      <c r="B1" s="320" t="s">
        <v>193</v>
      </c>
      <c r="C1" s="321">
        <v>43861</v>
      </c>
      <c r="D1" s="321">
        <v>43890</v>
      </c>
      <c r="E1" s="321">
        <v>43921</v>
      </c>
      <c r="F1" s="321">
        <v>43951</v>
      </c>
      <c r="G1" s="321">
        <v>43982</v>
      </c>
      <c r="H1" s="321">
        <v>44012</v>
      </c>
      <c r="I1" s="321">
        <v>44043</v>
      </c>
      <c r="J1" s="321">
        <v>44074</v>
      </c>
      <c r="K1" s="321">
        <v>44104</v>
      </c>
      <c r="L1" s="321">
        <v>44135</v>
      </c>
      <c r="M1" s="321">
        <v>44165</v>
      </c>
      <c r="N1" s="321">
        <v>44196</v>
      </c>
      <c r="O1" s="322" t="s">
        <v>337</v>
      </c>
      <c r="P1" s="321">
        <v>44227</v>
      </c>
      <c r="Q1" s="321">
        <v>44255</v>
      </c>
      <c r="R1" s="321">
        <v>44256</v>
      </c>
      <c r="S1" s="321">
        <v>44287</v>
      </c>
      <c r="T1" s="321">
        <v>44317</v>
      </c>
      <c r="U1" s="321">
        <v>44348</v>
      </c>
      <c r="V1" s="321">
        <v>44378</v>
      </c>
      <c r="W1" s="321">
        <v>44409</v>
      </c>
      <c r="X1" s="321">
        <v>44440</v>
      </c>
      <c r="Y1" s="321">
        <v>44470</v>
      </c>
      <c r="Z1" s="321">
        <v>44501</v>
      </c>
      <c r="AA1" s="321">
        <v>44531</v>
      </c>
      <c r="AB1" s="322" t="s">
        <v>338</v>
      </c>
      <c r="AC1" s="321">
        <v>44562</v>
      </c>
      <c r="AD1" s="321">
        <v>44593</v>
      </c>
      <c r="AE1" s="321">
        <v>44621</v>
      </c>
      <c r="AF1" s="321">
        <v>44652</v>
      </c>
      <c r="AG1" s="321">
        <v>44682</v>
      </c>
      <c r="AH1" s="321">
        <v>44713</v>
      </c>
      <c r="AI1" s="321">
        <v>44743</v>
      </c>
      <c r="AJ1" s="321">
        <v>44774</v>
      </c>
      <c r="AK1" s="321">
        <v>44805</v>
      </c>
      <c r="AL1" s="321">
        <v>44835</v>
      </c>
      <c r="AM1" s="321">
        <v>44866</v>
      </c>
      <c r="AN1" s="321">
        <v>44896</v>
      </c>
      <c r="AO1" s="322" t="s">
        <v>339</v>
      </c>
      <c r="AP1" s="321">
        <v>44927</v>
      </c>
      <c r="AQ1" s="321">
        <v>44958</v>
      </c>
      <c r="AR1" s="321">
        <v>44986</v>
      </c>
      <c r="AS1" s="321">
        <v>45017</v>
      </c>
      <c r="AT1" s="321">
        <v>45047</v>
      </c>
      <c r="AU1" s="321">
        <v>45078</v>
      </c>
      <c r="AV1" s="321">
        <v>45108</v>
      </c>
      <c r="AW1" s="321">
        <v>45139</v>
      </c>
      <c r="AX1" s="321">
        <v>45170</v>
      </c>
      <c r="AY1" s="321">
        <v>45200</v>
      </c>
      <c r="AZ1" s="321">
        <v>45231</v>
      </c>
      <c r="BA1" s="321">
        <v>45261</v>
      </c>
      <c r="BB1" s="322" t="s">
        <v>340</v>
      </c>
      <c r="BC1" s="321">
        <v>45292</v>
      </c>
      <c r="BD1" s="321">
        <v>45323</v>
      </c>
      <c r="BE1" s="321">
        <v>45352</v>
      </c>
      <c r="BF1" s="321">
        <v>45383</v>
      </c>
      <c r="BG1" s="321">
        <v>45413</v>
      </c>
      <c r="BH1" s="321">
        <v>45444</v>
      </c>
      <c r="BI1" s="321">
        <v>45474</v>
      </c>
      <c r="BJ1" s="321">
        <v>45505</v>
      </c>
      <c r="BK1" s="321">
        <v>45536</v>
      </c>
      <c r="BL1" s="321">
        <v>45566</v>
      </c>
      <c r="BM1" s="321">
        <v>45597</v>
      </c>
      <c r="BN1" s="321">
        <v>45627</v>
      </c>
      <c r="BO1" s="322" t="s">
        <v>341</v>
      </c>
      <c r="BP1" s="167">
        <v>45658</v>
      </c>
    </row>
    <row r="2" spans="1:68" ht="15" x14ac:dyDescent="0.25">
      <c r="A2" s="535" t="s">
        <v>215</v>
      </c>
      <c r="B2" s="320" t="s">
        <v>217</v>
      </c>
      <c r="C2" s="338"/>
      <c r="D2" s="338"/>
      <c r="E2" s="338"/>
      <c r="F2" s="338"/>
      <c r="G2" s="339" t="s">
        <v>253</v>
      </c>
      <c r="H2" s="339" t="s">
        <v>254</v>
      </c>
      <c r="I2" s="339" t="s">
        <v>255</v>
      </c>
      <c r="J2" s="339" t="s">
        <v>256</v>
      </c>
      <c r="K2" s="339" t="s">
        <v>258</v>
      </c>
      <c r="L2" s="339" t="s">
        <v>260</v>
      </c>
      <c r="M2" s="339" t="s">
        <v>262</v>
      </c>
      <c r="N2" s="339" t="s">
        <v>264</v>
      </c>
      <c r="O2" s="339"/>
      <c r="P2" s="339" t="s">
        <v>266</v>
      </c>
      <c r="Q2" s="339" t="s">
        <v>268</v>
      </c>
      <c r="R2" s="339" t="s">
        <v>270</v>
      </c>
      <c r="S2" s="339" t="s">
        <v>272</v>
      </c>
      <c r="T2" s="339" t="s">
        <v>274</v>
      </c>
      <c r="U2" s="339" t="s">
        <v>276</v>
      </c>
      <c r="V2" s="339" t="s">
        <v>278</v>
      </c>
      <c r="W2" s="339" t="s">
        <v>280</v>
      </c>
      <c r="X2" s="339" t="s">
        <v>282</v>
      </c>
      <c r="Y2" s="339" t="s">
        <v>284</v>
      </c>
      <c r="Z2" s="339" t="s">
        <v>286</v>
      </c>
      <c r="AA2" s="339" t="s">
        <v>288</v>
      </c>
      <c r="AB2" s="339"/>
      <c r="AC2" s="339" t="s">
        <v>290</v>
      </c>
      <c r="AD2" s="339" t="s">
        <v>292</v>
      </c>
      <c r="AE2" s="339" t="s">
        <v>294</v>
      </c>
      <c r="AF2" s="339" t="s">
        <v>296</v>
      </c>
      <c r="AG2" s="339" t="s">
        <v>298</v>
      </c>
      <c r="AH2" s="339" t="s">
        <v>300</v>
      </c>
      <c r="AI2" s="339" t="s">
        <v>302</v>
      </c>
      <c r="AJ2" s="339" t="s">
        <v>304</v>
      </c>
      <c r="AK2" s="339" t="s">
        <v>306</v>
      </c>
      <c r="AL2" s="339" t="s">
        <v>308</v>
      </c>
      <c r="AM2" s="339" t="s">
        <v>310</v>
      </c>
      <c r="AN2" s="339">
        <v>1006658</v>
      </c>
      <c r="AO2" s="339"/>
      <c r="AP2" s="339">
        <v>1015034</v>
      </c>
      <c r="AQ2" s="339">
        <v>1020933</v>
      </c>
      <c r="AR2" s="339">
        <v>1027086</v>
      </c>
      <c r="AS2" s="339">
        <v>1033347</v>
      </c>
      <c r="AT2" s="339">
        <v>1041148</v>
      </c>
      <c r="AU2" s="339">
        <v>1047495</v>
      </c>
      <c r="AV2" s="339">
        <v>1053241</v>
      </c>
      <c r="AW2" s="339">
        <v>1060241</v>
      </c>
      <c r="AX2" s="339">
        <v>1066303</v>
      </c>
      <c r="AY2" s="339">
        <v>1072257</v>
      </c>
      <c r="AZ2" s="339">
        <v>1080182</v>
      </c>
      <c r="BA2" s="339">
        <v>1085627</v>
      </c>
      <c r="BB2" s="339"/>
      <c r="BC2" s="339">
        <v>1091701</v>
      </c>
      <c r="BD2" s="339">
        <v>1095016</v>
      </c>
      <c r="BE2" s="339">
        <v>1098683</v>
      </c>
      <c r="BF2" s="339">
        <v>1104722</v>
      </c>
      <c r="BG2" s="339">
        <v>1110809</v>
      </c>
      <c r="BH2" s="339">
        <v>1114293</v>
      </c>
      <c r="BI2" s="339">
        <v>1117934</v>
      </c>
      <c r="BJ2" s="339">
        <v>1122672</v>
      </c>
      <c r="BK2" s="339">
        <v>1126549</v>
      </c>
      <c r="BL2" s="339">
        <v>1131648</v>
      </c>
      <c r="BM2" s="339">
        <v>1136316</v>
      </c>
      <c r="BN2" s="339">
        <v>1140946</v>
      </c>
      <c r="BO2" s="339"/>
      <c r="BP2" s="311">
        <v>1145727</v>
      </c>
    </row>
    <row r="3" spans="1:68" ht="15" x14ac:dyDescent="0.25">
      <c r="A3" s="536"/>
      <c r="B3" s="123" t="s">
        <v>250</v>
      </c>
      <c r="C3" s="325"/>
      <c r="D3" s="325"/>
      <c r="E3" s="325"/>
      <c r="F3" s="325"/>
      <c r="G3" s="325">
        <v>3613.2860000000001</v>
      </c>
      <c r="H3" s="325">
        <v>22217.118999999999</v>
      </c>
      <c r="I3" s="325">
        <v>23888.15</v>
      </c>
      <c r="J3" s="325">
        <v>16982.028781150184</v>
      </c>
      <c r="K3" s="325">
        <v>16196.092512541849</v>
      </c>
      <c r="L3" s="325">
        <v>16106.092512541849</v>
      </c>
      <c r="M3" s="325">
        <v>22303.229513615075</v>
      </c>
      <c r="N3" s="325">
        <v>31243.071434640005</v>
      </c>
      <c r="O3" s="325">
        <f>SUM(C3:N3)</f>
        <v>152549.06975448894</v>
      </c>
      <c r="P3" s="325">
        <v>31685.322879083</v>
      </c>
      <c r="Q3" s="325">
        <v>31961.337948699169</v>
      </c>
      <c r="R3" s="325">
        <v>31861.399702547926</v>
      </c>
      <c r="S3" s="325">
        <v>31636.35439416</v>
      </c>
      <c r="T3" s="325">
        <v>31717.264394159996</v>
      </c>
      <c r="U3" s="325">
        <v>31722.574394159998</v>
      </c>
      <c r="V3" s="325">
        <v>31636.35439416</v>
      </c>
      <c r="W3" s="325">
        <v>31660.906717535727</v>
      </c>
      <c r="X3" s="325">
        <v>31721.427008930459</v>
      </c>
      <c r="Y3" s="325">
        <v>31833.212683889993</v>
      </c>
      <c r="Z3" s="325">
        <v>32124.110518794943</v>
      </c>
      <c r="AA3" s="325">
        <v>31426.511831539719</v>
      </c>
      <c r="AB3" s="325">
        <f>SUM(P3:AA3)</f>
        <v>380986.77686766098</v>
      </c>
      <c r="AC3" s="325">
        <v>31081.718090006652</v>
      </c>
      <c r="AD3" s="325">
        <f>31031.9094846684</f>
        <v>31031.909484668398</v>
      </c>
      <c r="AE3" s="325">
        <v>30947.402037409098</v>
      </c>
      <c r="AF3" s="325">
        <f>30783.3149636798+97</f>
        <v>30880.314963679801</v>
      </c>
      <c r="AG3" s="325">
        <f>30760.7306785283+86</f>
        <v>30846.7306785283</v>
      </c>
      <c r="AH3" s="325">
        <f>30632.9990402787-10</f>
        <v>30622.999040278701</v>
      </c>
      <c r="AI3" s="325">
        <v>30568.043294892643</v>
      </c>
      <c r="AJ3" s="325">
        <v>30697.953661638763</v>
      </c>
      <c r="AK3" s="325">
        <v>30682.364737254095</v>
      </c>
      <c r="AL3" s="325">
        <v>31147.502116982065</v>
      </c>
      <c r="AM3" s="325">
        <v>31347.993480543031</v>
      </c>
      <c r="AN3" s="325">
        <v>31440.609900163152</v>
      </c>
      <c r="AO3" s="325">
        <f>SUM(AC3:AN3)</f>
        <v>371295.54148604471</v>
      </c>
      <c r="AP3" s="325">
        <v>42388.392566040762</v>
      </c>
      <c r="AQ3" s="325">
        <v>32381.663579510456</v>
      </c>
      <c r="AR3" s="325">
        <v>32293.611541461822</v>
      </c>
      <c r="AS3" s="325">
        <v>31891.090323923388</v>
      </c>
      <c r="AT3" s="325">
        <v>31806.590617895628</v>
      </c>
      <c r="AU3" s="325">
        <v>31575.954064138612</v>
      </c>
      <c r="AV3" s="325">
        <v>31479.139207381108</v>
      </c>
      <c r="AW3" s="325">
        <v>31700.18895346667</v>
      </c>
      <c r="AX3" s="325">
        <v>31603.383475210805</v>
      </c>
      <c r="AY3" s="325">
        <v>31971.909704317473</v>
      </c>
      <c r="AZ3" s="325">
        <v>32919.97387057187</v>
      </c>
      <c r="BA3" s="325">
        <v>32496.613670943076</v>
      </c>
      <c r="BB3" s="325">
        <f>SUM(AP3:BA3)</f>
        <v>394508.51157486165</v>
      </c>
      <c r="BC3" s="325">
        <v>32558.205802214903</v>
      </c>
      <c r="BD3" s="325">
        <f>32516.3748959956+28.9</f>
        <v>32545.274895995601</v>
      </c>
      <c r="BE3" s="325">
        <f>32413.9200632156+5145.74</f>
        <v>37559.660063215597</v>
      </c>
      <c r="BF3" s="325">
        <v>32131.674136253041</v>
      </c>
      <c r="BG3" s="325">
        <v>32407.52231865533</v>
      </c>
      <c r="BH3" s="325">
        <v>32194.397655228466</v>
      </c>
      <c r="BI3" s="325">
        <v>32299.924213617312</v>
      </c>
      <c r="BJ3" s="325">
        <v>32295.441332909169</v>
      </c>
      <c r="BK3" s="325">
        <v>32305.686407315017</v>
      </c>
      <c r="BL3" s="325">
        <v>33141.898804305834</v>
      </c>
      <c r="BM3" s="325">
        <v>33055.611657333182</v>
      </c>
      <c r="BN3" s="325">
        <v>33383.267798967376</v>
      </c>
      <c r="BO3" s="325">
        <f>SUM(BC3:BN3)</f>
        <v>395878.56508601079</v>
      </c>
      <c r="BP3" s="313">
        <v>35508.474177880045</v>
      </c>
    </row>
    <row r="4" spans="1:68" ht="15" x14ac:dyDescent="0.25">
      <c r="A4" s="536"/>
      <c r="B4" s="324" t="s">
        <v>251</v>
      </c>
      <c r="C4" s="325"/>
      <c r="D4" s="325"/>
      <c r="E4" s="325"/>
      <c r="F4" s="325"/>
      <c r="G4" s="325"/>
      <c r="H4" s="325"/>
      <c r="I4" s="325"/>
      <c r="J4" s="325">
        <v>7355.2852188498155</v>
      </c>
      <c r="K4" s="325">
        <v>7736.269487458153</v>
      </c>
      <c r="L4" s="325">
        <v>7777.6154874581525</v>
      </c>
      <c r="M4" s="325">
        <v>11442.731486384928</v>
      </c>
      <c r="N4" s="325">
        <v>17257.701565359999</v>
      </c>
      <c r="O4" s="325">
        <f t="shared" ref="O4:O5" si="0">SUM(C4:N4)</f>
        <v>51569.60324551104</v>
      </c>
      <c r="P4" s="325">
        <v>17528.807120917405</v>
      </c>
      <c r="Q4" s="325">
        <v>17421.018051300834</v>
      </c>
      <c r="R4" s="325">
        <v>17400.528297452078</v>
      </c>
      <c r="S4" s="325">
        <v>17629.355605839999</v>
      </c>
      <c r="T4" s="325">
        <v>17615.855605839999</v>
      </c>
      <c r="U4" s="325">
        <v>17557.892605839999</v>
      </c>
      <c r="V4" s="325">
        <v>17573.585605839999</v>
      </c>
      <c r="W4" s="325">
        <v>17546.948282464276</v>
      </c>
      <c r="X4" s="325">
        <v>17484.540991069542</v>
      </c>
      <c r="Y4" s="325">
        <v>17441.257316110008</v>
      </c>
      <c r="Z4" s="325">
        <v>17254.033481205057</v>
      </c>
      <c r="AA4" s="325">
        <v>18010.297168460282</v>
      </c>
      <c r="AB4" s="325">
        <f t="shared" ref="AB4:AB5" si="1">SUM(P4:AA4)</f>
        <v>210464.12013233948</v>
      </c>
      <c r="AC4" s="325">
        <v>19058.544909993343</v>
      </c>
      <c r="AD4" s="325">
        <v>19030.452515331581</v>
      </c>
      <c r="AE4" s="325">
        <v>19097.112962590902</v>
      </c>
      <c r="AF4" s="325">
        <v>19220.426036320205</v>
      </c>
      <c r="AG4" s="325">
        <v>19322.396321471726</v>
      </c>
      <c r="AH4" s="325">
        <v>19331.843959721304</v>
      </c>
      <c r="AI4" s="325">
        <v>19364.045705107357</v>
      </c>
      <c r="AJ4" s="325">
        <v>19249.301338361238</v>
      </c>
      <c r="AK4" s="325">
        <v>19241.040262745904</v>
      </c>
      <c r="AL4" s="325">
        <v>18851.996883017935</v>
      </c>
      <c r="AM4" s="325">
        <v>18754.835519456967</v>
      </c>
      <c r="AN4" s="325">
        <v>18773.443099836848</v>
      </c>
      <c r="AO4" s="325">
        <f t="shared" ref="AO4:AO5" si="2">SUM(AC4:AN4)</f>
        <v>229295.43951395529</v>
      </c>
      <c r="AP4" s="325">
        <v>22765.84943395924</v>
      </c>
      <c r="AQ4" s="325">
        <v>19365.798420489547</v>
      </c>
      <c r="AR4" s="325">
        <v>19450.920458538178</v>
      </c>
      <c r="AS4" s="325">
        <v>19702.565676076611</v>
      </c>
      <c r="AT4" s="325">
        <v>19771.445382104375</v>
      </c>
      <c r="AU4" s="325">
        <v>19920.179935861393</v>
      </c>
      <c r="AV4" s="325">
        <v>20004.360792618896</v>
      </c>
      <c r="AW4" s="325">
        <v>19835.325046533333</v>
      </c>
      <c r="AX4" s="325">
        <v>19887.9085247892</v>
      </c>
      <c r="AY4" s="325">
        <v>19566.918295682532</v>
      </c>
      <c r="AZ4" s="325">
        <v>18977.740129428137</v>
      </c>
      <c r="BA4" s="325">
        <v>19257.636329056924</v>
      </c>
      <c r="BB4" s="325">
        <f t="shared" ref="BB4:BB5" si="3">SUM(AP4:BA4)</f>
        <v>238506.64842513838</v>
      </c>
      <c r="BC4" s="325">
        <v>19285.872197785102</v>
      </c>
      <c r="BD4" s="325">
        <v>19224.199104004409</v>
      </c>
      <c r="BE4" s="325">
        <v>19313.135936784409</v>
      </c>
      <c r="BF4" s="325">
        <v>19507.508863746963</v>
      </c>
      <c r="BG4" s="325">
        <v>20404.087681344678</v>
      </c>
      <c r="BH4" s="325">
        <v>20428.104344771542</v>
      </c>
      <c r="BI4" s="325">
        <v>20363.481786382683</v>
      </c>
      <c r="BJ4" s="325">
        <v>20401.952667090827</v>
      </c>
      <c r="BK4" s="325">
        <v>20384.591592684978</v>
      </c>
      <c r="BL4" s="325">
        <v>19697.819195694159</v>
      </c>
      <c r="BM4" s="325">
        <v>19776.442342666811</v>
      </c>
      <c r="BN4" s="325">
        <v>19673.206201032615</v>
      </c>
      <c r="BO4" s="325">
        <f t="shared" ref="BO4:BO5" si="4">SUM(BC4:BN4)</f>
        <v>238460.40191398919</v>
      </c>
      <c r="BP4" s="313">
        <v>21049.935822119955</v>
      </c>
    </row>
    <row r="5" spans="1:68" ht="15" x14ac:dyDescent="0.25">
      <c r="A5" s="537"/>
      <c r="B5" s="327" t="s">
        <v>252</v>
      </c>
      <c r="C5" s="328"/>
      <c r="D5" s="328"/>
      <c r="E5" s="328"/>
      <c r="F5" s="328"/>
      <c r="G5" s="328">
        <f t="shared" ref="G5:N5" si="5">G3+G4</f>
        <v>3613.2860000000001</v>
      </c>
      <c r="H5" s="328">
        <f t="shared" si="5"/>
        <v>22217.118999999999</v>
      </c>
      <c r="I5" s="328">
        <f>I3+I4</f>
        <v>23888.15</v>
      </c>
      <c r="J5" s="328">
        <f t="shared" si="5"/>
        <v>24337.313999999998</v>
      </c>
      <c r="K5" s="328">
        <f t="shared" si="5"/>
        <v>23932.362000000001</v>
      </c>
      <c r="L5" s="328">
        <f t="shared" si="5"/>
        <v>23883.708000000002</v>
      </c>
      <c r="M5" s="328">
        <f t="shared" si="5"/>
        <v>33745.961000000003</v>
      </c>
      <c r="N5" s="328">
        <f t="shared" si="5"/>
        <v>48500.773000000001</v>
      </c>
      <c r="O5" s="328">
        <f t="shared" si="0"/>
        <v>204118.67300000001</v>
      </c>
      <c r="P5" s="328">
        <f>P3+P4</f>
        <v>49214.130000000405</v>
      </c>
      <c r="Q5" s="328">
        <v>49335.106</v>
      </c>
      <c r="R5" s="328">
        <v>49261.928</v>
      </c>
      <c r="S5" s="328">
        <v>49265.71</v>
      </c>
      <c r="T5" s="328">
        <v>49333.119999999995</v>
      </c>
      <c r="U5" s="328">
        <v>49280.466999999997</v>
      </c>
      <c r="V5" s="328">
        <v>49209.94</v>
      </c>
      <c r="W5" s="328">
        <v>49207.855000000003</v>
      </c>
      <c r="X5" s="328">
        <v>49205.968000000001</v>
      </c>
      <c r="Y5" s="328">
        <v>49274.47</v>
      </c>
      <c r="Z5" s="328">
        <v>49378.144</v>
      </c>
      <c r="AA5" s="328">
        <v>49436.809000000001</v>
      </c>
      <c r="AB5" s="328">
        <f t="shared" si="1"/>
        <v>591403.64700000035</v>
      </c>
      <c r="AC5" s="328">
        <v>50140.262999999992</v>
      </c>
      <c r="AD5" s="328">
        <v>50062.361999999994</v>
      </c>
      <c r="AE5" s="328">
        <v>50044.514999999999</v>
      </c>
      <c r="AF5" s="328">
        <v>50003.740999999995</v>
      </c>
      <c r="AG5" s="328">
        <v>50083.126999999993</v>
      </c>
      <c r="AH5" s="328">
        <v>49964.842999999993</v>
      </c>
      <c r="AI5" s="328">
        <v>49932.089</v>
      </c>
      <c r="AJ5" s="328">
        <v>49947.255000000005</v>
      </c>
      <c r="AK5" s="328">
        <v>49923.404999999999</v>
      </c>
      <c r="AL5" s="328">
        <v>49999.498999999996</v>
      </c>
      <c r="AM5" s="328">
        <v>50102.828999999998</v>
      </c>
      <c r="AN5" s="328">
        <v>50214.053</v>
      </c>
      <c r="AO5" s="328">
        <f t="shared" si="2"/>
        <v>600417.98099999991</v>
      </c>
      <c r="AP5" s="328">
        <v>65154.241999999998</v>
      </c>
      <c r="AQ5" s="328">
        <v>51747.462</v>
      </c>
      <c r="AR5" s="328">
        <v>51744.531999999999</v>
      </c>
      <c r="AS5" s="328">
        <v>51593.656000000003</v>
      </c>
      <c r="AT5" s="328">
        <v>51578.036000000007</v>
      </c>
      <c r="AU5" s="328">
        <v>51496.134000000005</v>
      </c>
      <c r="AV5" s="328">
        <v>51483.5</v>
      </c>
      <c r="AW5" s="328">
        <v>51535.514000000003</v>
      </c>
      <c r="AX5" s="328">
        <v>51491.292000000001</v>
      </c>
      <c r="AY5" s="328">
        <v>51538.828000000009</v>
      </c>
      <c r="AZ5" s="328">
        <v>51897.714000000007</v>
      </c>
      <c r="BA5" s="328">
        <v>51754.25</v>
      </c>
      <c r="BB5" s="328">
        <f t="shared" si="3"/>
        <v>633015.16000000015</v>
      </c>
      <c r="BC5" s="328">
        <v>51844.078000000009</v>
      </c>
      <c r="BD5" s="328">
        <v>51740.574000000001</v>
      </c>
      <c r="BE5" s="328">
        <v>51727.056000000004</v>
      </c>
      <c r="BF5" s="328">
        <v>51639.183000000005</v>
      </c>
      <c r="BG5" s="328">
        <v>52811.610000000008</v>
      </c>
      <c r="BH5" s="328">
        <v>52622.502000000008</v>
      </c>
      <c r="BI5" s="328">
        <v>52663.405999999995</v>
      </c>
      <c r="BJ5" s="328">
        <v>52697.394</v>
      </c>
      <c r="BK5" s="328">
        <v>52690.277999999991</v>
      </c>
      <c r="BL5" s="328">
        <v>52839.717999999993</v>
      </c>
      <c r="BM5" s="328">
        <v>52832.053999999989</v>
      </c>
      <c r="BN5" s="328">
        <v>53056.473999999987</v>
      </c>
      <c r="BO5" s="328">
        <f t="shared" si="4"/>
        <v>629164.32700000005</v>
      </c>
      <c r="BP5" s="312">
        <v>56558.41</v>
      </c>
    </row>
    <row r="6" spans="1:68" x14ac:dyDescent="0.25">
      <c r="A6" s="314"/>
    </row>
    <row r="7" spans="1:68" ht="15" x14ac:dyDescent="0.25">
      <c r="A7" s="535" t="s">
        <v>37</v>
      </c>
      <c r="B7" s="320" t="s">
        <v>217</v>
      </c>
      <c r="C7" s="340"/>
      <c r="D7" s="340"/>
      <c r="E7" s="340"/>
      <c r="F7" s="340"/>
      <c r="G7" s="340"/>
      <c r="H7" s="340"/>
      <c r="I7" s="340"/>
      <c r="J7" s="341" t="s">
        <v>257</v>
      </c>
      <c r="K7" s="341" t="s">
        <v>259</v>
      </c>
      <c r="L7" s="341" t="s">
        <v>261</v>
      </c>
      <c r="M7" s="341" t="s">
        <v>263</v>
      </c>
      <c r="N7" s="341" t="s">
        <v>265</v>
      </c>
      <c r="O7" s="339"/>
      <c r="P7" s="341" t="s">
        <v>267</v>
      </c>
      <c r="Q7" s="341" t="s">
        <v>269</v>
      </c>
      <c r="R7" s="341" t="s">
        <v>271</v>
      </c>
      <c r="S7" s="341" t="s">
        <v>273</v>
      </c>
      <c r="T7" s="341" t="s">
        <v>275</v>
      </c>
      <c r="U7" s="341" t="s">
        <v>277</v>
      </c>
      <c r="V7" s="341" t="s">
        <v>279</v>
      </c>
      <c r="W7" s="341" t="s">
        <v>281</v>
      </c>
      <c r="X7" s="341" t="s">
        <v>283</v>
      </c>
      <c r="Y7" s="341" t="s">
        <v>285</v>
      </c>
      <c r="Z7" s="341" t="s">
        <v>287</v>
      </c>
      <c r="AA7" s="341" t="s">
        <v>289</v>
      </c>
      <c r="AB7" s="339"/>
      <c r="AC7" s="341" t="s">
        <v>291</v>
      </c>
      <c r="AD7" s="341" t="s">
        <v>293</v>
      </c>
      <c r="AE7" s="341" t="s">
        <v>295</v>
      </c>
      <c r="AF7" s="341" t="s">
        <v>297</v>
      </c>
      <c r="AG7" s="341" t="s">
        <v>299</v>
      </c>
      <c r="AH7" s="341" t="s">
        <v>301</v>
      </c>
      <c r="AI7" s="341" t="s">
        <v>303</v>
      </c>
      <c r="AJ7" s="341" t="s">
        <v>305</v>
      </c>
      <c r="AK7" s="341" t="s">
        <v>307</v>
      </c>
      <c r="AL7" s="341" t="s">
        <v>309</v>
      </c>
      <c r="AM7" s="341" t="s">
        <v>311</v>
      </c>
      <c r="AN7" s="341" t="s">
        <v>312</v>
      </c>
      <c r="AO7" s="339"/>
      <c r="AP7" s="341" t="s">
        <v>313</v>
      </c>
      <c r="AQ7" s="341" t="s">
        <v>314</v>
      </c>
      <c r="AR7" s="341" t="s">
        <v>315</v>
      </c>
      <c r="AS7" s="341" t="s">
        <v>316</v>
      </c>
      <c r="AT7" s="342" t="s">
        <v>317</v>
      </c>
      <c r="AU7" s="342" t="s">
        <v>318</v>
      </c>
      <c r="AV7" s="342" t="s">
        <v>319</v>
      </c>
      <c r="AW7" s="342" t="s">
        <v>320</v>
      </c>
      <c r="AX7" s="342" t="s">
        <v>321</v>
      </c>
      <c r="AY7" s="342" t="s">
        <v>322</v>
      </c>
      <c r="AZ7" s="342" t="s">
        <v>323</v>
      </c>
      <c r="BA7" s="342" t="s">
        <v>324</v>
      </c>
      <c r="BB7" s="339"/>
      <c r="BC7" s="342" t="s">
        <v>325</v>
      </c>
      <c r="BD7" s="342" t="s">
        <v>326</v>
      </c>
      <c r="BE7" s="342" t="s">
        <v>327</v>
      </c>
      <c r="BF7" s="342" t="s">
        <v>328</v>
      </c>
      <c r="BG7" s="342" t="s">
        <v>329</v>
      </c>
      <c r="BH7" s="342" t="s">
        <v>330</v>
      </c>
      <c r="BI7" s="342" t="s">
        <v>330</v>
      </c>
      <c r="BJ7" s="342" t="s">
        <v>331</v>
      </c>
      <c r="BK7" s="342" t="s">
        <v>332</v>
      </c>
      <c r="BL7" s="342" t="s">
        <v>333</v>
      </c>
      <c r="BM7" s="342" t="s">
        <v>334</v>
      </c>
      <c r="BN7" s="342" t="s">
        <v>335</v>
      </c>
      <c r="BO7" s="339"/>
      <c r="BP7" s="315" t="s">
        <v>336</v>
      </c>
    </row>
    <row r="8" spans="1:68" ht="15" x14ac:dyDescent="0.25">
      <c r="A8" s="536"/>
      <c r="B8" s="123" t="s">
        <v>250</v>
      </c>
      <c r="C8" s="323"/>
      <c r="D8" s="323"/>
      <c r="E8" s="323"/>
      <c r="F8" s="323"/>
      <c r="G8" s="323"/>
      <c r="H8" s="323"/>
      <c r="I8" s="323"/>
      <c r="J8" s="326">
        <v>3313.0285645104318</v>
      </c>
      <c r="K8" s="326">
        <v>3060.2099308995516</v>
      </c>
      <c r="L8" s="326">
        <v>3148.6046629116158</v>
      </c>
      <c r="M8" s="326">
        <v>3142.8748863772607</v>
      </c>
      <c r="N8" s="326">
        <v>3075.8053472907895</v>
      </c>
      <c r="O8" s="325">
        <f>SUM(C8:N8)</f>
        <v>15740.523391989649</v>
      </c>
      <c r="P8" s="326">
        <v>3132.6637593642749</v>
      </c>
      <c r="Q8" s="326">
        <v>3235.8174520212997</v>
      </c>
      <c r="R8" s="326">
        <v>3209.2180412224388</v>
      </c>
      <c r="S8" s="326">
        <v>3150.4363944896709</v>
      </c>
      <c r="T8" s="326">
        <v>3116.6895554727516</v>
      </c>
      <c r="U8" s="326">
        <v>3057.4640011405659</v>
      </c>
      <c r="V8" s="326">
        <v>3077.1415032705945</v>
      </c>
      <c r="W8" s="326">
        <v>3096.3331096596125</v>
      </c>
      <c r="X8" s="326">
        <v>3133.3880182091038</v>
      </c>
      <c r="Y8" s="326">
        <v>3308.6490088259134</v>
      </c>
      <c r="Z8" s="326">
        <v>3723.2602158392456</v>
      </c>
      <c r="AA8" s="326">
        <v>3800.4888496648064</v>
      </c>
      <c r="AB8" s="325">
        <f>SUM(P8:AA8)</f>
        <v>39041.549909180278</v>
      </c>
      <c r="AC8" s="326">
        <v>4210.4621806965024</v>
      </c>
      <c r="AD8" s="326">
        <v>4025.9626151436601</v>
      </c>
      <c r="AE8" s="326">
        <v>3917.6847570258587</v>
      </c>
      <c r="AF8" s="326">
        <v>3592.0901512602427</v>
      </c>
      <c r="AG8" s="326">
        <v>3248.0489476095995</v>
      </c>
      <c r="AH8" s="326">
        <v>3159.3599434304001</v>
      </c>
      <c r="AI8" s="326">
        <v>3201.5546135103996</v>
      </c>
      <c r="AJ8" s="326">
        <v>3310.4977029567999</v>
      </c>
      <c r="AK8" s="326">
        <v>3336.1828448128003</v>
      </c>
      <c r="AL8" s="326">
        <v>4261.71</v>
      </c>
      <c r="AM8" s="326">
        <v>4560.8230833472007</v>
      </c>
      <c r="AN8" s="326">
        <v>4754.9627008063999</v>
      </c>
      <c r="AO8" s="325">
        <f>SUM(AC8:AN8)</f>
        <v>45579.339540599874</v>
      </c>
      <c r="AP8" s="326">
        <v>4824.8486425728006</v>
      </c>
      <c r="AQ8" s="326">
        <v>4799.6544001855991</v>
      </c>
      <c r="AR8" s="326">
        <v>4751.0761471936003</v>
      </c>
      <c r="AS8" s="326">
        <v>4017.3714465224002</v>
      </c>
      <c r="AT8" s="326">
        <v>3705.6735948295996</v>
      </c>
      <c r="AU8" s="326">
        <v>3364.9727978655997</v>
      </c>
      <c r="AV8" s="326">
        <v>3355.5202702319998</v>
      </c>
      <c r="AW8" s="326">
        <v>3729.6482191823993</v>
      </c>
      <c r="AX8" s="326">
        <v>3598.6806387607994</v>
      </c>
      <c r="AY8" s="326">
        <v>4427.8562206808001</v>
      </c>
      <c r="AZ8" s="326">
        <v>6998.1685279384001</v>
      </c>
      <c r="BA8" s="326">
        <v>5714.9905200415997</v>
      </c>
      <c r="BB8" s="325">
        <f>SUM(AP8:BA8)</f>
        <v>53288.461426005597</v>
      </c>
      <c r="BC8" s="326">
        <v>5927.4113854431998</v>
      </c>
      <c r="BD8" s="326">
        <v>5485.949497476</v>
      </c>
      <c r="BE8" s="326">
        <v>5216.9199048201863</v>
      </c>
      <c r="BF8" s="326">
        <v>4471.4782019863997</v>
      </c>
      <c r="BG8" s="326">
        <v>3830.4385929367991</v>
      </c>
      <c r="BH8" s="326">
        <v>3622.6326372623998</v>
      </c>
      <c r="BI8" s="326">
        <v>3698.6183518600001</v>
      </c>
      <c r="BJ8" s="326">
        <v>3775.5308586407996</v>
      </c>
      <c r="BK8" s="326">
        <v>3798.8676041527997</v>
      </c>
      <c r="BL8" s="326">
        <v>5603.2282810048</v>
      </c>
      <c r="BM8" s="326">
        <v>5335.6665205855998</v>
      </c>
      <c r="BN8" s="326">
        <v>6189.4968019488006</v>
      </c>
      <c r="BO8" s="325">
        <f>SUM(BC8:BN8)</f>
        <v>56956.238638117786</v>
      </c>
      <c r="BP8" s="316">
        <v>6993.5980302464013</v>
      </c>
    </row>
    <row r="9" spans="1:68" ht="15" x14ac:dyDescent="0.25">
      <c r="A9" s="536"/>
      <c r="B9" s="324" t="s">
        <v>251</v>
      </c>
      <c r="C9" s="323"/>
      <c r="D9" s="323"/>
      <c r="E9" s="323"/>
      <c r="F9" s="323"/>
      <c r="G9" s="323"/>
      <c r="H9" s="323"/>
      <c r="I9" s="323"/>
      <c r="J9" s="326">
        <v>1369.5314354895681</v>
      </c>
      <c r="K9" s="326">
        <v>1856.0300691004481</v>
      </c>
      <c r="L9" s="326">
        <v>2734.9553370883841</v>
      </c>
      <c r="M9" s="326">
        <v>2712.4451136227394</v>
      </c>
      <c r="N9" s="326">
        <v>2945.3546527092103</v>
      </c>
      <c r="O9" s="325">
        <f t="shared" ref="O9:O10" si="6">SUM(C9:N9)</f>
        <v>11618.316608010351</v>
      </c>
      <c r="P9" s="326">
        <v>3076.936240635725</v>
      </c>
      <c r="Q9" s="326">
        <v>2942.5425479787</v>
      </c>
      <c r="R9" s="326">
        <v>3119.7019587775617</v>
      </c>
      <c r="S9" s="326">
        <v>2857.0036055103296</v>
      </c>
      <c r="T9" s="326">
        <v>2624.0704445272481</v>
      </c>
      <c r="U9" s="326">
        <v>1928.895998859434</v>
      </c>
      <c r="V9" s="326">
        <v>2096.8584967294055</v>
      </c>
      <c r="W9" s="326">
        <v>1997.2268903403876</v>
      </c>
      <c r="X9" s="326">
        <v>1735.9719817908961</v>
      </c>
      <c r="Y9" s="326">
        <v>2690.7909911740867</v>
      </c>
      <c r="Z9" s="326">
        <v>2955.6997841607549</v>
      </c>
      <c r="AA9" s="326">
        <v>3219.2711503351939</v>
      </c>
      <c r="AB9" s="325">
        <f t="shared" ref="AB9:AB10" si="7">SUM(P9:AA9)</f>
        <v>31244.970090819723</v>
      </c>
      <c r="AC9" s="326">
        <v>3638.7378193034979</v>
      </c>
      <c r="AD9" s="326">
        <v>3110.0373848563399</v>
      </c>
      <c r="AE9" s="326">
        <v>3267.7552429741413</v>
      </c>
      <c r="AF9" s="326">
        <v>2965.3098487397574</v>
      </c>
      <c r="AG9" s="326">
        <v>2819.4310523904005</v>
      </c>
      <c r="AH9" s="326">
        <v>2048.8400565695997</v>
      </c>
      <c r="AI9" s="326">
        <v>2031.2053864896002</v>
      </c>
      <c r="AJ9" s="326">
        <v>2120.1722970432002</v>
      </c>
      <c r="AK9" s="326">
        <v>1903.9271551871998</v>
      </c>
      <c r="AL9" s="326">
        <v>2561.48</v>
      </c>
      <c r="AM9" s="326">
        <v>2772.5669166527996</v>
      </c>
      <c r="AN9" s="326">
        <v>2957.9072991936009</v>
      </c>
      <c r="AO9" s="325">
        <f t="shared" ref="AO9:AO10" si="8">SUM(AC9:AN9)</f>
        <v>32197.370459400136</v>
      </c>
      <c r="AP9" s="326">
        <v>2948.7813574272</v>
      </c>
      <c r="AQ9" s="326">
        <v>2720.015599814401</v>
      </c>
      <c r="AR9" s="326">
        <v>2993.7938528064005</v>
      </c>
      <c r="AS9" s="326">
        <v>2767.4585534775997</v>
      </c>
      <c r="AT9" s="326">
        <v>2348.2764051704007</v>
      </c>
      <c r="AU9" s="326">
        <v>1990.4972021344001</v>
      </c>
      <c r="AV9" s="326">
        <v>2206.7097297680007</v>
      </c>
      <c r="AW9" s="326">
        <v>2296.2317808176008</v>
      </c>
      <c r="AX9" s="326">
        <v>2146.7193612392007</v>
      </c>
      <c r="AY9" s="326">
        <v>2561.6637793192003</v>
      </c>
      <c r="AZ9" s="326">
        <v>2783.7914720616</v>
      </c>
      <c r="BA9" s="326">
        <v>2975.7694799584001</v>
      </c>
      <c r="BB9" s="325">
        <f t="shared" ref="BB9:BB10" si="9">SUM(AP9:BA9)</f>
        <v>30739.708573994405</v>
      </c>
      <c r="BC9" s="326">
        <v>3201.4286145567999</v>
      </c>
      <c r="BD9" s="326">
        <v>2602.010502524</v>
      </c>
      <c r="BE9" s="326">
        <v>2668.5600951798133</v>
      </c>
      <c r="BF9" s="326">
        <v>2490.6817980136007</v>
      </c>
      <c r="BG9" s="326">
        <v>2690.5614070632005</v>
      </c>
      <c r="BH9" s="326">
        <v>1881.2873627376005</v>
      </c>
      <c r="BI9" s="326">
        <v>2234.5816481400002</v>
      </c>
      <c r="BJ9" s="326">
        <v>2297.4891413592004</v>
      </c>
      <c r="BK9" s="326">
        <v>2216.8723958472001</v>
      </c>
      <c r="BL9" s="326">
        <v>2632.9517189951998</v>
      </c>
      <c r="BM9" s="326">
        <v>2607.7534794144003</v>
      </c>
      <c r="BN9" s="326">
        <v>3009.1631980511993</v>
      </c>
      <c r="BO9" s="325">
        <f t="shared" ref="BO9:BO10" si="10">SUM(BC9:BN9)</f>
        <v>30533.341361882216</v>
      </c>
      <c r="BP9" s="316">
        <v>3223.2601287551997</v>
      </c>
    </row>
    <row r="10" spans="1:68" ht="15" x14ac:dyDescent="0.25">
      <c r="A10" s="537"/>
      <c r="B10" s="327" t="s">
        <v>252</v>
      </c>
      <c r="C10" s="328"/>
      <c r="D10" s="328"/>
      <c r="E10" s="328"/>
      <c r="F10" s="328"/>
      <c r="G10" s="328"/>
      <c r="H10" s="328"/>
      <c r="I10" s="328"/>
      <c r="J10" s="328">
        <v>4682.5599999999995</v>
      </c>
      <c r="K10" s="328">
        <v>4916.24</v>
      </c>
      <c r="L10" s="328">
        <v>5883.5599999999995</v>
      </c>
      <c r="M10" s="328">
        <v>5855.32</v>
      </c>
      <c r="N10" s="328">
        <v>6021.16</v>
      </c>
      <c r="O10" s="328">
        <f t="shared" si="6"/>
        <v>27358.84</v>
      </c>
      <c r="P10" s="328">
        <v>6209.6</v>
      </c>
      <c r="Q10" s="328">
        <v>6178.36</v>
      </c>
      <c r="R10" s="328">
        <v>6328.92</v>
      </c>
      <c r="S10" s="328">
        <v>6007.4400000000005</v>
      </c>
      <c r="T10" s="328">
        <v>5740.76</v>
      </c>
      <c r="U10" s="328">
        <v>4986.3599999999997</v>
      </c>
      <c r="V10" s="328">
        <v>5174</v>
      </c>
      <c r="W10" s="328">
        <v>5093.5600000000004</v>
      </c>
      <c r="X10" s="328">
        <v>4869.3599999999997</v>
      </c>
      <c r="Y10" s="328">
        <v>5999.4400000000005</v>
      </c>
      <c r="Z10" s="328">
        <v>6678.9600000000009</v>
      </c>
      <c r="AA10" s="328">
        <v>7019.76</v>
      </c>
      <c r="AB10" s="328">
        <f t="shared" si="7"/>
        <v>70286.52</v>
      </c>
      <c r="AC10" s="328">
        <v>7849.2000000000007</v>
      </c>
      <c r="AD10" s="328">
        <v>7136</v>
      </c>
      <c r="AE10" s="328">
        <v>7185.4400000000005</v>
      </c>
      <c r="AF10" s="328">
        <v>6557.4</v>
      </c>
      <c r="AG10" s="328">
        <v>6067.48</v>
      </c>
      <c r="AH10" s="328">
        <v>5208.2</v>
      </c>
      <c r="AI10" s="328">
        <v>5232.76</v>
      </c>
      <c r="AJ10" s="328">
        <v>5430.67</v>
      </c>
      <c r="AK10" s="328">
        <v>5240.1100000000006</v>
      </c>
      <c r="AL10" s="328">
        <v>6823.1900000000005</v>
      </c>
      <c r="AM10" s="328">
        <v>7333.39</v>
      </c>
      <c r="AN10" s="328">
        <v>7712.8700000000008</v>
      </c>
      <c r="AO10" s="328">
        <f t="shared" si="8"/>
        <v>77776.710000000006</v>
      </c>
      <c r="AP10" s="328">
        <v>7773.630000000001</v>
      </c>
      <c r="AQ10" s="328">
        <v>7519.67</v>
      </c>
      <c r="AR10" s="328">
        <v>7744.8700000000008</v>
      </c>
      <c r="AS10" s="328">
        <v>6784.83</v>
      </c>
      <c r="AT10" s="328">
        <v>6053.9500000000007</v>
      </c>
      <c r="AU10" s="328">
        <v>5355.4699999999993</v>
      </c>
      <c r="AV10" s="328">
        <v>5562.2300000000005</v>
      </c>
      <c r="AW10" s="328">
        <v>6025.88</v>
      </c>
      <c r="AX10" s="328">
        <v>5745.4</v>
      </c>
      <c r="AY10" s="328">
        <v>6989.52</v>
      </c>
      <c r="AZ10" s="328">
        <v>9781.9599999999991</v>
      </c>
      <c r="BA10" s="328">
        <v>8690.76</v>
      </c>
      <c r="BB10" s="328">
        <f t="shared" si="9"/>
        <v>84028.17</v>
      </c>
      <c r="BC10" s="328">
        <v>9128.84</v>
      </c>
      <c r="BD10" s="328">
        <v>8087.96</v>
      </c>
      <c r="BE10" s="328">
        <v>7885.48</v>
      </c>
      <c r="BF10" s="328">
        <v>6962.16</v>
      </c>
      <c r="BG10" s="328">
        <v>6521</v>
      </c>
      <c r="BH10" s="328">
        <v>5503.92</v>
      </c>
      <c r="BI10" s="328">
        <v>5933.2000000000007</v>
      </c>
      <c r="BJ10" s="328">
        <v>6073.02</v>
      </c>
      <c r="BK10" s="328">
        <v>6015.74</v>
      </c>
      <c r="BL10" s="328">
        <v>8236.18</v>
      </c>
      <c r="BM10" s="328">
        <v>7943.42</v>
      </c>
      <c r="BN10" s="328">
        <v>9198.66</v>
      </c>
      <c r="BO10" s="328">
        <f t="shared" si="10"/>
        <v>87489.58</v>
      </c>
      <c r="BP10" s="312">
        <v>10216.8581590016</v>
      </c>
    </row>
    <row r="13" spans="1:68" x14ac:dyDescent="0.25">
      <c r="B13" s="320" t="s">
        <v>193</v>
      </c>
      <c r="C13" s="321">
        <v>43861</v>
      </c>
      <c r="D13" s="321">
        <v>43890</v>
      </c>
      <c r="E13" s="321">
        <v>43921</v>
      </c>
      <c r="F13" s="321">
        <v>43951</v>
      </c>
      <c r="G13" s="321">
        <v>43982</v>
      </c>
      <c r="H13" s="321">
        <v>44012</v>
      </c>
      <c r="I13" s="321">
        <v>44043</v>
      </c>
      <c r="J13" s="321">
        <v>44074</v>
      </c>
      <c r="K13" s="321">
        <v>44104</v>
      </c>
      <c r="L13" s="321">
        <v>44135</v>
      </c>
      <c r="M13" s="321">
        <v>44165</v>
      </c>
      <c r="N13" s="321">
        <v>44196</v>
      </c>
      <c r="O13" s="322" t="s">
        <v>337</v>
      </c>
      <c r="P13" s="321">
        <v>44227</v>
      </c>
      <c r="Q13" s="321">
        <v>44255</v>
      </c>
      <c r="R13" s="321">
        <v>44256</v>
      </c>
      <c r="S13" s="321">
        <v>44287</v>
      </c>
      <c r="T13" s="321">
        <v>44317</v>
      </c>
      <c r="U13" s="321">
        <v>44348</v>
      </c>
      <c r="V13" s="321">
        <v>44378</v>
      </c>
      <c r="W13" s="321">
        <v>44409</v>
      </c>
      <c r="X13" s="321">
        <v>44440</v>
      </c>
      <c r="Y13" s="321">
        <v>44470</v>
      </c>
      <c r="Z13" s="321">
        <v>44501</v>
      </c>
      <c r="AA13" s="321">
        <v>44531</v>
      </c>
      <c r="AB13" s="322" t="s">
        <v>338</v>
      </c>
      <c r="AC13" s="321">
        <v>44562</v>
      </c>
      <c r="AD13" s="321">
        <v>44593</v>
      </c>
      <c r="AE13" s="321">
        <v>44621</v>
      </c>
      <c r="AF13" s="321">
        <v>44652</v>
      </c>
      <c r="AG13" s="321">
        <v>44682</v>
      </c>
      <c r="AH13" s="321">
        <v>44713</v>
      </c>
      <c r="AI13" s="321">
        <v>44743</v>
      </c>
      <c r="AJ13" s="321">
        <v>44774</v>
      </c>
      <c r="AK13" s="321">
        <v>44805</v>
      </c>
      <c r="AL13" s="321">
        <v>44835</v>
      </c>
      <c r="AM13" s="321">
        <v>44866</v>
      </c>
      <c r="AN13" s="321">
        <v>44896</v>
      </c>
      <c r="AO13" s="322" t="s">
        <v>339</v>
      </c>
      <c r="AP13" s="321">
        <v>44927</v>
      </c>
      <c r="AQ13" s="321">
        <v>44958</v>
      </c>
      <c r="AR13" s="321">
        <v>44986</v>
      </c>
      <c r="AS13" s="321">
        <v>45017</v>
      </c>
      <c r="AT13" s="321">
        <v>45047</v>
      </c>
      <c r="AU13" s="321">
        <v>45078</v>
      </c>
      <c r="AV13" s="321">
        <v>45108</v>
      </c>
      <c r="AW13" s="321">
        <v>45139</v>
      </c>
      <c r="AX13" s="321">
        <v>45170</v>
      </c>
      <c r="AY13" s="321">
        <v>45200</v>
      </c>
      <c r="AZ13" s="321">
        <v>45231</v>
      </c>
      <c r="BA13" s="321">
        <v>45261</v>
      </c>
      <c r="BB13" s="322" t="s">
        <v>340</v>
      </c>
      <c r="BC13" s="321">
        <v>45292</v>
      </c>
      <c r="BD13" s="321">
        <v>45323</v>
      </c>
      <c r="BE13" s="321">
        <v>45352</v>
      </c>
      <c r="BF13" s="321">
        <v>45383</v>
      </c>
      <c r="BG13" s="321">
        <v>45413</v>
      </c>
      <c r="BH13" s="321">
        <v>45444</v>
      </c>
      <c r="BI13" s="321">
        <v>45474</v>
      </c>
      <c r="BJ13" s="321">
        <v>45505</v>
      </c>
      <c r="BK13" s="321">
        <v>45536</v>
      </c>
      <c r="BL13" s="321">
        <v>45566</v>
      </c>
      <c r="BM13" s="321">
        <v>45597</v>
      </c>
      <c r="BN13" s="321">
        <v>45627</v>
      </c>
      <c r="BO13" s="322" t="s">
        <v>341</v>
      </c>
    </row>
    <row r="14" spans="1:68" ht="15" customHeight="1" x14ac:dyDescent="0.25">
      <c r="A14" s="535" t="s">
        <v>215</v>
      </c>
      <c r="B14" s="334" t="s">
        <v>342</v>
      </c>
      <c r="C14" s="334"/>
      <c r="D14" s="334"/>
      <c r="E14" s="334"/>
      <c r="F14" s="334"/>
      <c r="G14" s="334"/>
      <c r="H14" s="334"/>
      <c r="I14" s="334"/>
      <c r="J14" s="334"/>
      <c r="K14" s="334"/>
      <c r="L14" s="334"/>
      <c r="M14" s="334"/>
      <c r="N14" s="334"/>
      <c r="O14" s="329">
        <f>O3/O5</f>
        <v>0.74735479861996224</v>
      </c>
      <c r="P14" s="334"/>
      <c r="Q14" s="334"/>
      <c r="R14" s="334"/>
      <c r="S14" s="334"/>
      <c r="T14" s="334"/>
      <c r="U14" s="334"/>
      <c r="V14" s="334"/>
      <c r="W14" s="334"/>
      <c r="X14" s="334"/>
      <c r="Y14" s="334"/>
      <c r="Z14" s="334"/>
      <c r="AA14" s="334"/>
      <c r="AB14" s="329">
        <f>AB3/AB5</f>
        <v>0.64420768928342564</v>
      </c>
      <c r="AC14" s="334"/>
      <c r="AD14" s="334"/>
      <c r="AE14" s="334"/>
      <c r="AF14" s="334"/>
      <c r="AG14" s="334"/>
      <c r="AH14" s="334"/>
      <c r="AI14" s="334"/>
      <c r="AJ14" s="334"/>
      <c r="AK14" s="334"/>
      <c r="AL14" s="334"/>
      <c r="AM14" s="334"/>
      <c r="AN14" s="334"/>
      <c r="AO14" s="329">
        <f>AO3/AO5</f>
        <v>0.61839510680151455</v>
      </c>
      <c r="AP14" s="334"/>
      <c r="AQ14" s="334"/>
      <c r="AR14" s="334"/>
      <c r="AS14" s="334"/>
      <c r="AT14" s="334"/>
      <c r="AU14" s="334"/>
      <c r="AV14" s="334"/>
      <c r="AW14" s="334"/>
      <c r="AX14" s="334"/>
      <c r="AY14" s="334"/>
      <c r="AZ14" s="334"/>
      <c r="BA14" s="334"/>
      <c r="BB14" s="329">
        <f>BB3/BB5</f>
        <v>0.62322126941614098</v>
      </c>
      <c r="BC14" s="334"/>
      <c r="BD14" s="334"/>
      <c r="BE14" s="334"/>
      <c r="BF14" s="334"/>
      <c r="BG14" s="334"/>
      <c r="BH14" s="334"/>
      <c r="BI14" s="334"/>
      <c r="BJ14" s="334"/>
      <c r="BK14" s="334"/>
      <c r="BL14" s="334"/>
      <c r="BM14" s="334"/>
      <c r="BN14" s="334"/>
      <c r="BO14" s="330">
        <f>BO3/BO5</f>
        <v>0.62921330421521304</v>
      </c>
    </row>
    <row r="15" spans="1:68" ht="15" customHeight="1" x14ac:dyDescent="0.25">
      <c r="A15" s="536"/>
      <c r="B15" t="s">
        <v>154</v>
      </c>
      <c r="O15" s="318">
        <f>1-O14</f>
        <v>0.25264520138003776</v>
      </c>
      <c r="AB15" s="318">
        <f>1-AB14</f>
        <v>0.35579231071657436</v>
      </c>
      <c r="AO15" s="318">
        <f>1-AO14</f>
        <v>0.38160489319848545</v>
      </c>
      <c r="BB15" s="318">
        <f>1-BB14</f>
        <v>0.37677873058385902</v>
      </c>
      <c r="BO15" s="331">
        <f>1-BO14</f>
        <v>0.37078669578478696</v>
      </c>
    </row>
    <row r="16" spans="1:68" ht="15" customHeight="1" x14ac:dyDescent="0.25">
      <c r="A16" s="537"/>
      <c r="B16" s="236" t="s">
        <v>343</v>
      </c>
      <c r="C16" s="335"/>
      <c r="D16" s="335"/>
      <c r="E16" s="335"/>
      <c r="F16" s="335"/>
      <c r="G16" s="335"/>
      <c r="H16" s="335"/>
      <c r="I16" s="335"/>
      <c r="J16" s="335"/>
      <c r="K16" s="335"/>
      <c r="L16" s="335"/>
      <c r="M16" s="335"/>
      <c r="N16" s="335"/>
      <c r="O16" s="336">
        <f>SUM(O14:O15)</f>
        <v>1</v>
      </c>
      <c r="P16" s="335"/>
      <c r="Q16" s="335"/>
      <c r="R16" s="335"/>
      <c r="S16" s="335"/>
      <c r="T16" s="335"/>
      <c r="U16" s="335"/>
      <c r="V16" s="335"/>
      <c r="W16" s="335"/>
      <c r="X16" s="335"/>
      <c r="Y16" s="335"/>
      <c r="Z16" s="335"/>
      <c r="AA16" s="335"/>
      <c r="AB16" s="336">
        <f>SUM(AB14:AB15)</f>
        <v>1</v>
      </c>
      <c r="AC16" s="335"/>
      <c r="AD16" s="335"/>
      <c r="AE16" s="335"/>
      <c r="AF16" s="335"/>
      <c r="AG16" s="335"/>
      <c r="AH16" s="335"/>
      <c r="AI16" s="335"/>
      <c r="AJ16" s="335"/>
      <c r="AK16" s="335"/>
      <c r="AL16" s="335"/>
      <c r="AM16" s="335"/>
      <c r="AN16" s="335"/>
      <c r="AO16" s="336">
        <f>SUM(AO14:AO15)</f>
        <v>1</v>
      </c>
      <c r="AP16" s="335"/>
      <c r="AQ16" s="335"/>
      <c r="AR16" s="335"/>
      <c r="AS16" s="335"/>
      <c r="AT16" s="335"/>
      <c r="AU16" s="335"/>
      <c r="AV16" s="335"/>
      <c r="AW16" s="335"/>
      <c r="AX16" s="335"/>
      <c r="AY16" s="335"/>
      <c r="AZ16" s="335"/>
      <c r="BA16" s="335"/>
      <c r="BB16" s="336">
        <f>SUM(BB14:BB15)</f>
        <v>1</v>
      </c>
      <c r="BC16" s="335"/>
      <c r="BD16" s="335"/>
      <c r="BE16" s="335"/>
      <c r="BF16" s="335"/>
      <c r="BG16" s="335"/>
      <c r="BH16" s="335"/>
      <c r="BI16" s="335"/>
      <c r="BJ16" s="335"/>
      <c r="BK16" s="335"/>
      <c r="BL16" s="335"/>
      <c r="BM16" s="335"/>
      <c r="BN16" s="335"/>
      <c r="BO16" s="337">
        <f>SUM(BO14:BO15)</f>
        <v>1</v>
      </c>
    </row>
    <row r="17" spans="1:67" x14ac:dyDescent="0.25">
      <c r="A17" s="314"/>
    </row>
    <row r="18" spans="1:67" ht="15" customHeight="1" x14ac:dyDescent="0.25">
      <c r="A18" s="535" t="s">
        <v>37</v>
      </c>
      <c r="B18" s="334" t="s">
        <v>342</v>
      </c>
      <c r="C18" s="334"/>
      <c r="D18" s="334"/>
      <c r="E18" s="334"/>
      <c r="F18" s="334"/>
      <c r="G18" s="334"/>
      <c r="H18" s="334"/>
      <c r="I18" s="334"/>
      <c r="J18" s="334"/>
      <c r="K18" s="334"/>
      <c r="L18" s="334"/>
      <c r="M18" s="334"/>
      <c r="N18" s="334"/>
      <c r="O18" s="329">
        <f>O8/O10</f>
        <v>0.57533592038221093</v>
      </c>
      <c r="P18" s="334"/>
      <c r="Q18" s="334"/>
      <c r="R18" s="334"/>
      <c r="S18" s="334"/>
      <c r="T18" s="334"/>
      <c r="U18" s="334"/>
      <c r="V18" s="334"/>
      <c r="W18" s="334"/>
      <c r="X18" s="334"/>
      <c r="Y18" s="334"/>
      <c r="Z18" s="334"/>
      <c r="AA18" s="334"/>
      <c r="AB18" s="329">
        <f>AB8/AB10</f>
        <v>0.55546283852409073</v>
      </c>
      <c r="AC18" s="334"/>
      <c r="AD18" s="334"/>
      <c r="AE18" s="334"/>
      <c r="AF18" s="334"/>
      <c r="AG18" s="334"/>
      <c r="AH18" s="334"/>
      <c r="AI18" s="334"/>
      <c r="AJ18" s="334"/>
      <c r="AK18" s="334"/>
      <c r="AL18" s="334"/>
      <c r="AM18" s="334"/>
      <c r="AN18" s="334"/>
      <c r="AO18" s="329">
        <f>AO8/AO10</f>
        <v>0.58602812513668767</v>
      </c>
      <c r="AP18" s="334"/>
      <c r="AQ18" s="334"/>
      <c r="AR18" s="334"/>
      <c r="AS18" s="334"/>
      <c r="AT18" s="334"/>
      <c r="AU18" s="334"/>
      <c r="AV18" s="334"/>
      <c r="AW18" s="334"/>
      <c r="AX18" s="334"/>
      <c r="AY18" s="334"/>
      <c r="AZ18" s="334"/>
      <c r="BA18" s="334"/>
      <c r="BB18" s="329">
        <f>BB8/BB10</f>
        <v>0.63417377084382054</v>
      </c>
      <c r="BC18" s="334"/>
      <c r="BD18" s="334"/>
      <c r="BE18" s="334"/>
      <c r="BF18" s="334"/>
      <c r="BG18" s="334"/>
      <c r="BH18" s="334"/>
      <c r="BI18" s="334"/>
      <c r="BJ18" s="334"/>
      <c r="BK18" s="334"/>
      <c r="BL18" s="334"/>
      <c r="BM18" s="334"/>
      <c r="BN18" s="334"/>
      <c r="BO18" s="330">
        <f>BO8/BO10</f>
        <v>0.65100596708908398</v>
      </c>
    </row>
    <row r="19" spans="1:67" ht="15" customHeight="1" x14ac:dyDescent="0.25">
      <c r="A19" s="536"/>
      <c r="B19" t="s">
        <v>154</v>
      </c>
      <c r="O19" s="318">
        <f>1-O18</f>
        <v>0.42466407961778907</v>
      </c>
      <c r="AB19" s="318">
        <f>1-AB18</f>
        <v>0.44453716147590927</v>
      </c>
      <c r="AO19" s="318">
        <f>1-AO18</f>
        <v>0.41397187486331233</v>
      </c>
      <c r="BB19" s="318">
        <f>1-BB18</f>
        <v>0.36582622915617946</v>
      </c>
      <c r="BO19" s="331">
        <f>1-BO18</f>
        <v>0.34899403291091602</v>
      </c>
    </row>
    <row r="20" spans="1:67" ht="15" customHeight="1" x14ac:dyDescent="0.25">
      <c r="A20" s="537"/>
      <c r="B20" s="236" t="s">
        <v>343</v>
      </c>
      <c r="C20" s="335"/>
      <c r="D20" s="335"/>
      <c r="E20" s="335"/>
      <c r="F20" s="335"/>
      <c r="G20" s="335"/>
      <c r="H20" s="335"/>
      <c r="I20" s="335"/>
      <c r="J20" s="335"/>
      <c r="K20" s="335"/>
      <c r="L20" s="335"/>
      <c r="M20" s="335"/>
      <c r="N20" s="335"/>
      <c r="O20" s="336">
        <f>SUM(O18:O19)</f>
        <v>1</v>
      </c>
      <c r="P20" s="335"/>
      <c r="Q20" s="335"/>
      <c r="R20" s="335"/>
      <c r="S20" s="335"/>
      <c r="T20" s="335"/>
      <c r="U20" s="335"/>
      <c r="V20" s="335"/>
      <c r="W20" s="335"/>
      <c r="X20" s="335"/>
      <c r="Y20" s="335"/>
      <c r="Z20" s="335"/>
      <c r="AA20" s="335"/>
      <c r="AB20" s="336">
        <f>SUM(AB18:AB19)</f>
        <v>1</v>
      </c>
      <c r="AC20" s="335"/>
      <c r="AD20" s="335"/>
      <c r="AE20" s="335"/>
      <c r="AF20" s="335"/>
      <c r="AG20" s="335"/>
      <c r="AH20" s="335"/>
      <c r="AI20" s="335"/>
      <c r="AJ20" s="335"/>
      <c r="AK20" s="335"/>
      <c r="AL20" s="335"/>
      <c r="AM20" s="335"/>
      <c r="AN20" s="335"/>
      <c r="AO20" s="336">
        <f>SUM(AO18:AO19)</f>
        <v>1</v>
      </c>
      <c r="AP20" s="335"/>
      <c r="AQ20" s="335"/>
      <c r="AR20" s="335"/>
      <c r="AS20" s="335"/>
      <c r="AT20" s="335"/>
      <c r="AU20" s="335"/>
      <c r="AV20" s="335"/>
      <c r="AW20" s="335"/>
      <c r="AX20" s="335"/>
      <c r="AY20" s="335"/>
      <c r="AZ20" s="335"/>
      <c r="BA20" s="335"/>
      <c r="BB20" s="336">
        <f>SUM(BB18:BB19)</f>
        <v>1</v>
      </c>
      <c r="BC20" s="335"/>
      <c r="BD20" s="335"/>
      <c r="BE20" s="335"/>
      <c r="BF20" s="335"/>
      <c r="BG20" s="335"/>
      <c r="BH20" s="335"/>
      <c r="BI20" s="335"/>
      <c r="BJ20" s="335"/>
      <c r="BK20" s="335"/>
      <c r="BL20" s="335"/>
      <c r="BM20" s="335"/>
      <c r="BN20" s="335"/>
      <c r="BO20" s="337">
        <f>SUM(BO18:BO19)</f>
        <v>1</v>
      </c>
    </row>
    <row r="21" spans="1:67" ht="15" customHeight="1" x14ac:dyDescent="0.25">
      <c r="A21" s="332"/>
    </row>
    <row r="22" spans="1:67" ht="15" x14ac:dyDescent="0.25">
      <c r="A22" s="345"/>
    </row>
    <row r="23" spans="1:67" x14ac:dyDescent="0.25">
      <c r="A23" s="343"/>
    </row>
    <row r="25" spans="1:67" x14ac:dyDescent="0.25">
      <c r="G25" s="333"/>
      <c r="H25" s="333"/>
      <c r="I25" s="333"/>
      <c r="J25" s="333"/>
      <c r="K25" s="333"/>
      <c r="L25" s="333"/>
      <c r="M25" s="333"/>
      <c r="N25" s="333"/>
    </row>
  </sheetData>
  <mergeCells count="4">
    <mergeCell ref="A2:A5"/>
    <mergeCell ref="A7:A10"/>
    <mergeCell ref="A14:A16"/>
    <mergeCell ref="A18:A20"/>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showGridLines="0" zoomScale="90" zoomScaleNormal="90" workbookViewId="0">
      <selection activeCell="B47" sqref="B47"/>
    </sheetView>
  </sheetViews>
  <sheetFormatPr defaultRowHeight="15" x14ac:dyDescent="0.25"/>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D2:AG7"/>
  <sheetViews>
    <sheetView topLeftCell="Q1" zoomScale="150" zoomScaleNormal="150" workbookViewId="0">
      <selection activeCell="AF9" sqref="AF9"/>
    </sheetView>
  </sheetViews>
  <sheetFormatPr defaultRowHeight="15" x14ac:dyDescent="0.25"/>
  <cols>
    <col min="30" max="30" width="16.140625" customWidth="1"/>
    <col min="31" max="33" width="11.5703125" bestFit="1" customWidth="1"/>
  </cols>
  <sheetData>
    <row r="2" spans="30:33" x14ac:dyDescent="0.25">
      <c r="AD2" t="s">
        <v>345</v>
      </c>
      <c r="AE2">
        <v>44178</v>
      </c>
      <c r="AF2">
        <v>44895</v>
      </c>
      <c r="AG2">
        <v>45353</v>
      </c>
    </row>
    <row r="3" spans="30:33" x14ac:dyDescent="0.25">
      <c r="AD3" t="s">
        <v>343</v>
      </c>
      <c r="AE3" s="346">
        <v>13603.79</v>
      </c>
      <c r="AF3" s="346">
        <v>80933.259999999995</v>
      </c>
      <c r="AG3" s="346">
        <v>36326.49</v>
      </c>
    </row>
    <row r="4" spans="30:33" ht="17.25" x14ac:dyDescent="0.4">
      <c r="AD4" t="s">
        <v>348</v>
      </c>
      <c r="AE4" s="348">
        <v>0</v>
      </c>
      <c r="AF4" s="348">
        <v>3509.1203155999997</v>
      </c>
      <c r="AG4" s="348">
        <v>21.241311999999997</v>
      </c>
    </row>
    <row r="5" spans="30:33" x14ac:dyDescent="0.25">
      <c r="AD5" t="s">
        <v>354</v>
      </c>
      <c r="AE5" s="347">
        <f>AE3-AE4</f>
        <v>13603.79</v>
      </c>
      <c r="AF5" s="347">
        <f>AF3-AF4</f>
        <v>77424.139684399997</v>
      </c>
      <c r="AG5" s="347">
        <f>AG3-AG4</f>
        <v>36305.248688</v>
      </c>
    </row>
    <row r="7" spans="30:33" x14ac:dyDescent="0.25">
      <c r="AD7" s="349" t="s">
        <v>347</v>
      </c>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146"/>
  <sheetViews>
    <sheetView showGridLines="0" zoomScaleNormal="100" workbookViewId="0">
      <selection activeCell="R18" sqref="R18"/>
    </sheetView>
  </sheetViews>
  <sheetFormatPr defaultRowHeight="15" x14ac:dyDescent="0.25"/>
  <cols>
    <col min="1" max="2" width="9.140625" customWidth="1"/>
    <col min="3" max="3" width="35.28515625" customWidth="1"/>
    <col min="4" max="4" width="10.7109375" customWidth="1"/>
    <col min="5" max="5" width="9.5703125" bestFit="1" customWidth="1"/>
    <col min="6" max="15" width="9.140625" customWidth="1"/>
    <col min="16" max="16" width="11.85546875" customWidth="1"/>
  </cols>
  <sheetData>
    <row r="1" spans="1:15" ht="18.75" x14ac:dyDescent="0.3">
      <c r="A1" s="354" t="s">
        <v>355</v>
      </c>
      <c r="B1" s="354"/>
      <c r="C1" s="354"/>
      <c r="D1" s="354"/>
      <c r="E1" s="354"/>
      <c r="F1" s="354"/>
      <c r="G1" s="354"/>
      <c r="H1" s="354"/>
      <c r="I1" s="354"/>
      <c r="J1" s="354"/>
      <c r="K1" s="354"/>
      <c r="L1" s="354"/>
      <c r="M1" s="354"/>
      <c r="N1" s="354"/>
      <c r="O1" s="354"/>
    </row>
    <row r="3" spans="1:15" ht="15.75" x14ac:dyDescent="0.25">
      <c r="C3" s="76" t="s">
        <v>356</v>
      </c>
      <c r="D3" s="76"/>
    </row>
    <row r="6" spans="1:15" x14ac:dyDescent="0.25">
      <c r="B6" s="355"/>
      <c r="C6" s="356" t="s">
        <v>357</v>
      </c>
      <c r="D6" s="356"/>
      <c r="E6" s="357"/>
      <c r="F6" s="357"/>
      <c r="G6" s="357"/>
      <c r="H6" s="357"/>
      <c r="I6" s="356"/>
      <c r="J6" s="358"/>
      <c r="K6" s="358"/>
      <c r="L6" s="358"/>
      <c r="M6" s="357"/>
      <c r="N6" s="357"/>
    </row>
    <row r="7" spans="1:15" x14ac:dyDescent="0.25">
      <c r="B7" s="355"/>
      <c r="C7" s="359" t="s">
        <v>358</v>
      </c>
      <c r="D7" s="359"/>
      <c r="E7" s="357"/>
      <c r="F7" s="357"/>
      <c r="G7" s="357"/>
      <c r="H7" s="357"/>
      <c r="I7" s="356"/>
      <c r="J7" s="358"/>
      <c r="K7" s="358"/>
      <c r="L7" s="358"/>
      <c r="M7" s="357"/>
      <c r="N7" s="357"/>
    </row>
    <row r="8" spans="1:15" x14ac:dyDescent="0.25">
      <c r="B8" s="355"/>
      <c r="C8" s="355"/>
      <c r="D8" s="355"/>
      <c r="E8" s="355"/>
      <c r="F8" s="355"/>
      <c r="G8" s="355"/>
      <c r="H8" s="355"/>
      <c r="I8" s="355"/>
      <c r="J8" s="355"/>
      <c r="K8" s="355"/>
      <c r="L8" s="355"/>
      <c r="M8" s="355"/>
      <c r="N8" s="355"/>
    </row>
    <row r="9" spans="1:15" x14ac:dyDescent="0.25">
      <c r="B9" s="355"/>
      <c r="C9" s="355"/>
      <c r="D9" s="355"/>
      <c r="E9" s="360" t="s">
        <v>359</v>
      </c>
      <c r="F9" s="360" t="s">
        <v>360</v>
      </c>
      <c r="G9" s="360" t="s">
        <v>361</v>
      </c>
      <c r="H9" s="360" t="s">
        <v>362</v>
      </c>
      <c r="I9" s="360" t="s">
        <v>363</v>
      </c>
      <c r="J9" s="360" t="s">
        <v>364</v>
      </c>
      <c r="K9" s="360" t="s">
        <v>365</v>
      </c>
      <c r="L9" s="360" t="s">
        <v>366</v>
      </c>
      <c r="M9" s="360" t="s">
        <v>367</v>
      </c>
      <c r="N9" s="360" t="s">
        <v>368</v>
      </c>
    </row>
    <row r="10" spans="1:15" x14ac:dyDescent="0.25">
      <c r="B10" s="355"/>
      <c r="C10" s="355"/>
      <c r="D10" s="355"/>
      <c r="E10" s="360"/>
      <c r="F10" s="360"/>
      <c r="G10" s="360"/>
      <c r="H10" s="360"/>
      <c r="I10" s="360"/>
      <c r="J10" s="360"/>
      <c r="K10" s="360"/>
      <c r="L10" s="360"/>
      <c r="M10" s="360"/>
      <c r="N10" s="360"/>
    </row>
    <row r="11" spans="1:15" x14ac:dyDescent="0.25">
      <c r="B11" s="355"/>
      <c r="C11" s="361" t="s">
        <v>369</v>
      </c>
      <c r="D11" s="361"/>
      <c r="E11" s="362">
        <v>2019</v>
      </c>
      <c r="F11" s="362">
        <v>2020</v>
      </c>
      <c r="G11" s="362">
        <v>2021</v>
      </c>
      <c r="H11" s="362">
        <v>2022</v>
      </c>
      <c r="I11" s="362">
        <v>2023</v>
      </c>
      <c r="J11" s="362">
        <v>2024</v>
      </c>
      <c r="K11" s="362">
        <v>2025</v>
      </c>
      <c r="L11" s="362">
        <v>2026</v>
      </c>
      <c r="M11" s="362">
        <v>2027</v>
      </c>
      <c r="N11" s="362">
        <v>2028</v>
      </c>
    </row>
    <row r="12" spans="1:15" x14ac:dyDescent="0.25">
      <c r="B12" s="355" t="s">
        <v>370</v>
      </c>
      <c r="C12" s="363"/>
      <c r="D12" s="363"/>
      <c r="E12" s="364"/>
      <c r="F12" s="364"/>
      <c r="G12" s="364"/>
      <c r="H12" s="364"/>
      <c r="I12" s="364"/>
      <c r="J12" s="364"/>
      <c r="K12" s="364"/>
      <c r="L12" s="364"/>
      <c r="M12" s="364"/>
      <c r="N12" s="364"/>
    </row>
    <row r="13" spans="1:15" x14ac:dyDescent="0.25">
      <c r="B13" s="355" t="s">
        <v>371</v>
      </c>
      <c r="C13" s="365" t="s">
        <v>372</v>
      </c>
      <c r="D13" s="365"/>
      <c r="E13" s="364"/>
      <c r="F13" s="364"/>
      <c r="G13" s="364"/>
      <c r="H13" s="364"/>
      <c r="I13" s="364"/>
      <c r="J13" s="364"/>
      <c r="K13" s="364"/>
      <c r="L13" s="364"/>
      <c r="M13" s="364"/>
      <c r="N13" s="364"/>
    </row>
    <row r="14" spans="1:15" x14ac:dyDescent="0.25">
      <c r="B14" s="355" t="s">
        <v>373</v>
      </c>
      <c r="C14" s="363" t="s">
        <v>102</v>
      </c>
      <c r="D14" s="363"/>
      <c r="E14" s="364">
        <v>0</v>
      </c>
      <c r="F14" s="364">
        <v>2363.1339494987365</v>
      </c>
      <c r="G14" s="364">
        <v>2363.1339494987365</v>
      </c>
      <c r="H14" s="364">
        <v>2363.1339494987365</v>
      </c>
      <c r="I14" s="364">
        <v>2363.1339494987365</v>
      </c>
      <c r="J14" s="364">
        <v>2363.1339494987365</v>
      </c>
      <c r="K14" s="364">
        <v>2363.1339494987365</v>
      </c>
      <c r="L14" s="364">
        <v>2363.1339494987365</v>
      </c>
      <c r="M14" s="364">
        <v>2363.1339494987365</v>
      </c>
      <c r="N14" s="364">
        <v>2363.1339494987365</v>
      </c>
    </row>
    <row r="15" spans="1:15" x14ac:dyDescent="0.25">
      <c r="B15" s="355" t="s">
        <v>374</v>
      </c>
      <c r="C15" s="363" t="s">
        <v>375</v>
      </c>
      <c r="D15" s="363"/>
      <c r="E15" s="364">
        <v>2363.1339494987365</v>
      </c>
      <c r="F15" s="364">
        <v>0</v>
      </c>
      <c r="G15" s="364">
        <v>0</v>
      </c>
      <c r="H15" s="364">
        <v>0</v>
      </c>
      <c r="I15" s="364">
        <v>0</v>
      </c>
      <c r="J15" s="364">
        <v>0</v>
      </c>
      <c r="K15" s="364">
        <v>0</v>
      </c>
      <c r="L15" s="364">
        <v>0</v>
      </c>
      <c r="M15" s="364">
        <v>0</v>
      </c>
      <c r="N15" s="364">
        <v>0</v>
      </c>
    </row>
    <row r="16" spans="1:15" x14ac:dyDescent="0.25">
      <c r="B16" s="355" t="s">
        <v>376</v>
      </c>
      <c r="C16" s="363" t="s">
        <v>377</v>
      </c>
      <c r="D16" s="363"/>
      <c r="E16" s="364">
        <v>0</v>
      </c>
      <c r="F16" s="364">
        <v>0</v>
      </c>
      <c r="G16" s="364">
        <v>0</v>
      </c>
      <c r="H16" s="364">
        <v>0</v>
      </c>
      <c r="I16" s="364">
        <v>0</v>
      </c>
      <c r="J16" s="364">
        <v>0</v>
      </c>
      <c r="K16" s="364">
        <v>0</v>
      </c>
      <c r="L16" s="364">
        <v>0</v>
      </c>
      <c r="M16" s="364">
        <v>0</v>
      </c>
      <c r="N16" s="364">
        <v>0</v>
      </c>
    </row>
    <row r="17" spans="2:14" x14ac:dyDescent="0.25">
      <c r="B17" s="355" t="s">
        <v>378</v>
      </c>
      <c r="C17" s="363" t="s">
        <v>379</v>
      </c>
      <c r="D17" s="363"/>
      <c r="E17" s="364">
        <v>0</v>
      </c>
      <c r="F17" s="364">
        <v>0</v>
      </c>
      <c r="G17" s="364">
        <v>0</v>
      </c>
      <c r="H17" s="364">
        <v>0</v>
      </c>
      <c r="I17" s="364">
        <v>0</v>
      </c>
      <c r="J17" s="364">
        <v>0</v>
      </c>
      <c r="K17" s="364">
        <v>0</v>
      </c>
      <c r="L17" s="364">
        <v>0</v>
      </c>
      <c r="M17" s="364">
        <v>0</v>
      </c>
      <c r="N17" s="364">
        <v>0</v>
      </c>
    </row>
    <row r="18" spans="2:14" x14ac:dyDescent="0.25">
      <c r="B18" s="355" t="s">
        <v>380</v>
      </c>
      <c r="C18" s="363" t="s">
        <v>381</v>
      </c>
      <c r="D18" s="363"/>
      <c r="E18" s="364">
        <v>0</v>
      </c>
      <c r="F18" s="364">
        <v>0</v>
      </c>
      <c r="G18" s="364">
        <v>0</v>
      </c>
      <c r="H18" s="364">
        <v>0</v>
      </c>
      <c r="I18" s="364">
        <v>0</v>
      </c>
      <c r="J18" s="364">
        <v>0</v>
      </c>
      <c r="K18" s="364">
        <v>0</v>
      </c>
      <c r="L18" s="364">
        <v>0</v>
      </c>
      <c r="M18" s="364">
        <v>0</v>
      </c>
      <c r="N18" s="364">
        <v>0</v>
      </c>
    </row>
    <row r="19" spans="2:14" x14ac:dyDescent="0.25">
      <c r="B19" s="355" t="s">
        <v>382</v>
      </c>
      <c r="C19" s="363" t="s">
        <v>383</v>
      </c>
      <c r="D19" s="363"/>
      <c r="E19" s="364">
        <v>0</v>
      </c>
      <c r="F19" s="364">
        <v>0</v>
      </c>
      <c r="G19" s="364">
        <v>0</v>
      </c>
      <c r="H19" s="364">
        <v>0</v>
      </c>
      <c r="I19" s="364">
        <v>0</v>
      </c>
      <c r="J19" s="364">
        <v>0</v>
      </c>
      <c r="K19" s="364">
        <v>0</v>
      </c>
      <c r="L19" s="364">
        <v>0</v>
      </c>
      <c r="M19" s="364">
        <v>0</v>
      </c>
      <c r="N19" s="364">
        <v>0</v>
      </c>
    </row>
    <row r="20" spans="2:14" x14ac:dyDescent="0.25">
      <c r="B20" s="355" t="s">
        <v>384</v>
      </c>
      <c r="C20" s="363" t="s">
        <v>106</v>
      </c>
      <c r="D20" s="363"/>
      <c r="E20" s="366">
        <v>2363.1339494987365</v>
      </c>
      <c r="F20" s="366">
        <v>2363.1339494987365</v>
      </c>
      <c r="G20" s="366">
        <v>2363.1339494987365</v>
      </c>
      <c r="H20" s="366">
        <v>2363.1339494987365</v>
      </c>
      <c r="I20" s="366">
        <v>2363.1339494987365</v>
      </c>
      <c r="J20" s="366">
        <v>2363.1339494987365</v>
      </c>
      <c r="K20" s="366">
        <v>2363.1339494987365</v>
      </c>
      <c r="L20" s="366">
        <v>2363.1339494987365</v>
      </c>
      <c r="M20" s="366">
        <v>2363.1339494987365</v>
      </c>
      <c r="N20" s="366">
        <v>2363.1339494987365</v>
      </c>
    </row>
    <row r="21" spans="2:14" x14ac:dyDescent="0.25">
      <c r="B21" s="355" t="s">
        <v>385</v>
      </c>
      <c r="C21" s="363"/>
      <c r="D21" s="363"/>
      <c r="E21" s="364"/>
      <c r="F21" s="364"/>
      <c r="G21" s="364"/>
      <c r="H21" s="364"/>
      <c r="I21" s="364"/>
      <c r="J21" s="364"/>
      <c r="K21" s="364"/>
      <c r="L21" s="364"/>
      <c r="M21" s="364"/>
      <c r="N21" s="364"/>
    </row>
    <row r="22" spans="2:14" x14ac:dyDescent="0.25">
      <c r="B22" s="355" t="s">
        <v>386</v>
      </c>
      <c r="C22" s="365" t="s">
        <v>387</v>
      </c>
      <c r="D22" s="365"/>
      <c r="E22" s="364"/>
      <c r="F22" s="364"/>
      <c r="G22" s="364"/>
      <c r="H22" s="364"/>
      <c r="I22" s="364"/>
      <c r="J22" s="364"/>
      <c r="K22" s="364"/>
      <c r="L22" s="364"/>
      <c r="M22" s="364"/>
      <c r="N22" s="364"/>
    </row>
    <row r="23" spans="2:14" x14ac:dyDescent="0.25">
      <c r="B23" s="355" t="s">
        <v>388</v>
      </c>
      <c r="C23" s="363" t="s">
        <v>102</v>
      </c>
      <c r="D23" s="363"/>
      <c r="E23" s="364">
        <v>0</v>
      </c>
      <c r="F23" s="364">
        <v>-23.167979897046436</v>
      </c>
      <c r="G23" s="364">
        <v>-69.503939691139308</v>
      </c>
      <c r="H23" s="364">
        <v>-115.83989948523218</v>
      </c>
      <c r="I23" s="364">
        <v>-162.17585927932504</v>
      </c>
      <c r="J23" s="364">
        <v>-208.51181907341791</v>
      </c>
      <c r="K23" s="364">
        <v>-254.84777886751078</v>
      </c>
      <c r="L23" s="364">
        <v>-301.18373866160368</v>
      </c>
      <c r="M23" s="364">
        <v>-347.51969845569658</v>
      </c>
      <c r="N23" s="364">
        <v>-393.85565824978949</v>
      </c>
    </row>
    <row r="24" spans="2:14" x14ac:dyDescent="0.25">
      <c r="B24" s="355" t="s">
        <v>389</v>
      </c>
      <c r="C24" s="363" t="s">
        <v>390</v>
      </c>
      <c r="D24" s="363"/>
      <c r="E24" s="364">
        <v>-23.167979897046436</v>
      </c>
      <c r="F24" s="364">
        <v>-46.335959794092872</v>
      </c>
      <c r="G24" s="364">
        <v>-46.335959794092872</v>
      </c>
      <c r="H24" s="364">
        <v>-46.335959794092872</v>
      </c>
      <c r="I24" s="364">
        <v>-46.335959794092872</v>
      </c>
      <c r="J24" s="364">
        <v>-46.335959794092872</v>
      </c>
      <c r="K24" s="364">
        <v>-46.335959794092872</v>
      </c>
      <c r="L24" s="364">
        <v>-46.335959794092872</v>
      </c>
      <c r="M24" s="364">
        <v>-46.335959794092872</v>
      </c>
      <c r="N24" s="364">
        <v>-46.335959794092872</v>
      </c>
    </row>
    <row r="25" spans="2:14" x14ac:dyDescent="0.25">
      <c r="B25" s="355" t="s">
        <v>391</v>
      </c>
      <c r="C25" s="363" t="s">
        <v>383</v>
      </c>
      <c r="D25" s="363"/>
      <c r="E25" s="364">
        <v>0</v>
      </c>
      <c r="F25" s="364">
        <v>0</v>
      </c>
      <c r="G25" s="364">
        <v>0</v>
      </c>
      <c r="H25" s="364">
        <v>0</v>
      </c>
      <c r="I25" s="364">
        <v>0</v>
      </c>
      <c r="J25" s="364">
        <v>0</v>
      </c>
      <c r="K25" s="364">
        <v>0</v>
      </c>
      <c r="L25" s="364">
        <v>0</v>
      </c>
      <c r="M25" s="364">
        <v>0</v>
      </c>
      <c r="N25" s="364">
        <v>0</v>
      </c>
    </row>
    <row r="26" spans="2:14" x14ac:dyDescent="0.25">
      <c r="B26" s="355" t="s">
        <v>392</v>
      </c>
      <c r="C26" s="363" t="s">
        <v>106</v>
      </c>
      <c r="D26" s="363"/>
      <c r="E26" s="366">
        <v>-23.167979897046436</v>
      </c>
      <c r="F26" s="366">
        <v>-69.503939691139308</v>
      </c>
      <c r="G26" s="366">
        <v>-115.83989948523218</v>
      </c>
      <c r="H26" s="366">
        <v>-162.17585927932504</v>
      </c>
      <c r="I26" s="366">
        <v>-208.51181907341791</v>
      </c>
      <c r="J26" s="366">
        <v>-254.84777886751078</v>
      </c>
      <c r="K26" s="366">
        <v>-301.18373866160368</v>
      </c>
      <c r="L26" s="366">
        <v>-347.51969845569658</v>
      </c>
      <c r="M26" s="366">
        <v>-393.85565824978949</v>
      </c>
      <c r="N26" s="366">
        <v>-440.19161804388239</v>
      </c>
    </row>
    <row r="27" spans="2:14" x14ac:dyDescent="0.25">
      <c r="B27" s="355" t="s">
        <v>393</v>
      </c>
      <c r="C27" s="355"/>
      <c r="D27" s="355"/>
      <c r="E27" s="355"/>
      <c r="F27" s="355"/>
      <c r="G27" s="355"/>
      <c r="H27" s="355"/>
      <c r="I27" s="355"/>
      <c r="J27" s="355"/>
      <c r="K27" s="355"/>
      <c r="L27" s="355"/>
      <c r="M27" s="355"/>
      <c r="N27" s="355"/>
    </row>
    <row r="28" spans="2:14" ht="15.75" thickBot="1" x14ac:dyDescent="0.3">
      <c r="B28" s="355" t="s">
        <v>394</v>
      </c>
      <c r="C28" s="355" t="s">
        <v>395</v>
      </c>
      <c r="D28" s="355"/>
      <c r="E28" s="367">
        <v>2339.9659696016902</v>
      </c>
      <c r="F28" s="367">
        <v>2293.6300098075972</v>
      </c>
      <c r="G28" s="367">
        <v>2247.2940500135041</v>
      </c>
      <c r="H28" s="367">
        <v>2200.9580902194116</v>
      </c>
      <c r="I28" s="367">
        <v>2154.6221304253186</v>
      </c>
      <c r="J28" s="367">
        <v>2108.2861706312256</v>
      </c>
      <c r="K28" s="367">
        <v>2061.9502108371325</v>
      </c>
      <c r="L28" s="367">
        <v>2015.61425104304</v>
      </c>
      <c r="M28" s="367">
        <v>1969.278291248947</v>
      </c>
      <c r="N28" s="367">
        <v>1922.942331454854</v>
      </c>
    </row>
    <row r="29" spans="2:14" ht="15.75" thickTop="1" x14ac:dyDescent="0.25">
      <c r="B29" s="355"/>
      <c r="C29" s="355"/>
      <c r="D29" s="355"/>
      <c r="E29" s="355"/>
      <c r="F29" s="355"/>
      <c r="G29" s="355"/>
      <c r="H29" s="355"/>
      <c r="I29" s="355"/>
      <c r="J29" s="355"/>
      <c r="K29" s="355"/>
      <c r="L29" s="355"/>
      <c r="M29" s="355"/>
      <c r="N29" s="355"/>
    </row>
    <row r="30" spans="2:14" x14ac:dyDescent="0.25">
      <c r="B30" s="355"/>
      <c r="C30" s="355"/>
      <c r="D30" s="355"/>
      <c r="E30" s="355"/>
      <c r="F30" s="355"/>
      <c r="G30" s="355"/>
      <c r="H30" s="355"/>
      <c r="I30" s="355"/>
      <c r="J30" s="355"/>
      <c r="K30" s="355"/>
      <c r="L30" s="355"/>
      <c r="M30" s="355"/>
      <c r="N30" s="355"/>
    </row>
    <row r="31" spans="2:14" x14ac:dyDescent="0.25">
      <c r="B31" s="355"/>
      <c r="C31" s="355"/>
      <c r="D31" s="355"/>
      <c r="E31" s="355"/>
      <c r="F31" s="355"/>
      <c r="G31" s="355"/>
      <c r="H31" s="355"/>
      <c r="I31" s="355"/>
      <c r="J31" s="355"/>
      <c r="K31" s="355"/>
      <c r="L31" s="355"/>
      <c r="M31" s="355"/>
      <c r="N31" s="355"/>
    </row>
    <row r="32" spans="2:14" x14ac:dyDescent="0.25">
      <c r="B32" s="355"/>
      <c r="C32" s="356" t="s">
        <v>396</v>
      </c>
      <c r="D32" s="356"/>
      <c r="E32" s="357"/>
      <c r="F32" s="357"/>
      <c r="G32" s="357"/>
      <c r="H32" s="357"/>
      <c r="I32" s="356"/>
      <c r="J32" s="358"/>
      <c r="K32" s="358"/>
      <c r="L32" s="358"/>
      <c r="M32" s="357"/>
      <c r="N32" s="357"/>
    </row>
    <row r="33" spans="2:14" x14ac:dyDescent="0.25">
      <c r="B33" s="355"/>
      <c r="C33" s="359" t="s">
        <v>358</v>
      </c>
      <c r="D33" s="359"/>
      <c r="E33" s="357"/>
      <c r="F33" s="357"/>
      <c r="G33" s="357"/>
      <c r="H33" s="357"/>
      <c r="I33" s="356"/>
      <c r="J33" s="358"/>
      <c r="K33" s="358"/>
      <c r="L33" s="358"/>
      <c r="M33" s="357"/>
      <c r="N33" s="357"/>
    </row>
    <row r="34" spans="2:14" x14ac:dyDescent="0.25">
      <c r="B34" s="355"/>
      <c r="C34" s="355"/>
      <c r="D34" s="355"/>
      <c r="E34" s="355"/>
      <c r="F34" s="355"/>
      <c r="G34" s="355"/>
      <c r="H34" s="355"/>
      <c r="I34" s="355"/>
      <c r="J34" s="355"/>
      <c r="K34" s="355"/>
      <c r="L34" s="355"/>
      <c r="M34" s="355"/>
      <c r="N34" s="355"/>
    </row>
    <row r="35" spans="2:14" x14ac:dyDescent="0.25">
      <c r="B35" s="355"/>
      <c r="C35" s="355"/>
      <c r="D35" s="355"/>
      <c r="E35" s="360" t="s">
        <v>359</v>
      </c>
      <c r="F35" s="360" t="s">
        <v>360</v>
      </c>
      <c r="G35" s="360" t="s">
        <v>361</v>
      </c>
      <c r="H35" s="360" t="s">
        <v>362</v>
      </c>
      <c r="I35" s="360" t="s">
        <v>363</v>
      </c>
      <c r="J35" s="360" t="s">
        <v>364</v>
      </c>
      <c r="K35" s="360" t="s">
        <v>365</v>
      </c>
      <c r="L35" s="360" t="s">
        <v>366</v>
      </c>
      <c r="M35" s="360" t="s">
        <v>367</v>
      </c>
      <c r="N35" s="360" t="s">
        <v>368</v>
      </c>
    </row>
    <row r="36" spans="2:14" x14ac:dyDescent="0.25">
      <c r="B36" s="355"/>
      <c r="C36" s="355"/>
      <c r="D36" s="355"/>
      <c r="E36" s="360"/>
      <c r="F36" s="360"/>
      <c r="G36" s="360"/>
      <c r="H36" s="360"/>
      <c r="I36" s="360"/>
      <c r="J36" s="360"/>
      <c r="K36" s="360"/>
      <c r="L36" s="360"/>
      <c r="M36" s="360"/>
      <c r="N36" s="360"/>
    </row>
    <row r="37" spans="2:14" x14ac:dyDescent="0.25">
      <c r="B37" s="355"/>
      <c r="C37" s="361" t="s">
        <v>369</v>
      </c>
      <c r="D37" s="361"/>
      <c r="E37" s="362">
        <v>2019</v>
      </c>
      <c r="F37" s="362">
        <v>2020</v>
      </c>
      <c r="G37" s="362">
        <v>2021</v>
      </c>
      <c r="H37" s="362">
        <v>2022</v>
      </c>
      <c r="I37" s="362">
        <v>2023</v>
      </c>
      <c r="J37" s="362">
        <v>2024</v>
      </c>
      <c r="K37" s="362">
        <v>2025</v>
      </c>
      <c r="L37" s="362">
        <v>2026</v>
      </c>
      <c r="M37" s="362">
        <v>2027</v>
      </c>
      <c r="N37" s="362">
        <v>2028</v>
      </c>
    </row>
    <row r="38" spans="2:14" x14ac:dyDescent="0.25">
      <c r="B38" s="355" t="s">
        <v>370</v>
      </c>
      <c r="C38" s="363"/>
      <c r="D38" s="363"/>
      <c r="E38" s="364"/>
      <c r="F38" s="364"/>
      <c r="G38" s="364"/>
      <c r="H38" s="364"/>
      <c r="I38" s="364"/>
      <c r="J38" s="364"/>
      <c r="K38" s="364"/>
      <c r="L38" s="364"/>
      <c r="M38" s="364"/>
      <c r="N38" s="364"/>
    </row>
    <row r="39" spans="2:14" x14ac:dyDescent="0.25">
      <c r="B39" s="355" t="s">
        <v>371</v>
      </c>
      <c r="C39" s="365" t="s">
        <v>372</v>
      </c>
      <c r="D39" s="365"/>
      <c r="E39" s="364"/>
      <c r="F39" s="364"/>
      <c r="G39" s="364"/>
      <c r="H39" s="364"/>
      <c r="I39" s="364"/>
      <c r="J39" s="364"/>
      <c r="K39" s="364"/>
      <c r="L39" s="364"/>
      <c r="M39" s="364"/>
      <c r="N39" s="364"/>
    </row>
    <row r="40" spans="2:14" x14ac:dyDescent="0.25">
      <c r="B40" s="355" t="s">
        <v>373</v>
      </c>
      <c r="C40" s="363" t="s">
        <v>102</v>
      </c>
      <c r="D40" s="363"/>
      <c r="E40" s="364">
        <v>0</v>
      </c>
      <c r="F40" s="364">
        <v>2934.5720549261687</v>
      </c>
      <c r="G40" s="364">
        <v>2934.5720549261687</v>
      </c>
      <c r="H40" s="364">
        <v>2934.5720549261687</v>
      </c>
      <c r="I40" s="364">
        <v>2934.5720549261687</v>
      </c>
      <c r="J40" s="364">
        <v>2934.5720549261687</v>
      </c>
      <c r="K40" s="364">
        <v>2934.5720549261687</v>
      </c>
      <c r="L40" s="364">
        <v>2934.5720549261687</v>
      </c>
      <c r="M40" s="364">
        <v>2934.5720549261687</v>
      </c>
      <c r="N40" s="364">
        <v>2934.5720549261687</v>
      </c>
    </row>
    <row r="41" spans="2:14" x14ac:dyDescent="0.25">
      <c r="B41" s="355" t="s">
        <v>374</v>
      </c>
      <c r="C41" s="363" t="s">
        <v>375</v>
      </c>
      <c r="D41" s="363"/>
      <c r="E41" s="364">
        <v>2934.5720549261687</v>
      </c>
      <c r="F41" s="364">
        <v>0</v>
      </c>
      <c r="G41" s="364">
        <v>0</v>
      </c>
      <c r="H41" s="364">
        <v>0</v>
      </c>
      <c r="I41" s="364">
        <v>0</v>
      </c>
      <c r="J41" s="364">
        <v>0</v>
      </c>
      <c r="K41" s="364">
        <v>0</v>
      </c>
      <c r="L41" s="364">
        <v>0</v>
      </c>
      <c r="M41" s="364">
        <v>0</v>
      </c>
      <c r="N41" s="364">
        <v>0</v>
      </c>
    </row>
    <row r="42" spans="2:14" x14ac:dyDescent="0.25">
      <c r="B42" s="355" t="s">
        <v>376</v>
      </c>
      <c r="C42" s="363" t="s">
        <v>377</v>
      </c>
      <c r="D42" s="363"/>
      <c r="E42" s="364">
        <v>0</v>
      </c>
      <c r="F42" s="364">
        <v>0</v>
      </c>
      <c r="G42" s="364">
        <v>0</v>
      </c>
      <c r="H42" s="364">
        <v>0</v>
      </c>
      <c r="I42" s="364">
        <v>0</v>
      </c>
      <c r="J42" s="364">
        <v>0</v>
      </c>
      <c r="K42" s="364">
        <v>0</v>
      </c>
      <c r="L42" s="364">
        <v>0</v>
      </c>
      <c r="M42" s="364">
        <v>0</v>
      </c>
      <c r="N42" s="364">
        <v>0</v>
      </c>
    </row>
    <row r="43" spans="2:14" x14ac:dyDescent="0.25">
      <c r="B43" s="355" t="s">
        <v>378</v>
      </c>
      <c r="C43" s="363" t="s">
        <v>379</v>
      </c>
      <c r="D43" s="363"/>
      <c r="E43" s="364">
        <v>0</v>
      </c>
      <c r="F43" s="364">
        <v>0</v>
      </c>
      <c r="G43" s="364">
        <v>0</v>
      </c>
      <c r="H43" s="364">
        <v>0</v>
      </c>
      <c r="I43" s="364">
        <v>0</v>
      </c>
      <c r="J43" s="364">
        <v>0</v>
      </c>
      <c r="K43" s="364">
        <v>0</v>
      </c>
      <c r="L43" s="364">
        <v>0</v>
      </c>
      <c r="M43" s="364">
        <v>0</v>
      </c>
      <c r="N43" s="364">
        <v>0</v>
      </c>
    </row>
    <row r="44" spans="2:14" x14ac:dyDescent="0.25">
      <c r="B44" s="355" t="s">
        <v>380</v>
      </c>
      <c r="C44" s="363" t="s">
        <v>381</v>
      </c>
      <c r="D44" s="363"/>
      <c r="E44" s="364">
        <v>0</v>
      </c>
      <c r="F44" s="364">
        <v>0</v>
      </c>
      <c r="G44" s="364">
        <v>0</v>
      </c>
      <c r="H44" s="364">
        <v>0</v>
      </c>
      <c r="I44" s="364">
        <v>0</v>
      </c>
      <c r="J44" s="364">
        <v>0</v>
      </c>
      <c r="K44" s="364">
        <v>0</v>
      </c>
      <c r="L44" s="364">
        <v>0</v>
      </c>
      <c r="M44" s="364">
        <v>0</v>
      </c>
      <c r="N44" s="364">
        <v>0</v>
      </c>
    </row>
    <row r="45" spans="2:14" x14ac:dyDescent="0.25">
      <c r="B45" s="355" t="s">
        <v>382</v>
      </c>
      <c r="C45" s="363" t="s">
        <v>383</v>
      </c>
      <c r="D45" s="363"/>
      <c r="E45" s="364">
        <v>0</v>
      </c>
      <c r="F45" s="364">
        <v>0</v>
      </c>
      <c r="G45" s="364">
        <v>0</v>
      </c>
      <c r="H45" s="364">
        <v>0</v>
      </c>
      <c r="I45" s="364">
        <v>0</v>
      </c>
      <c r="J45" s="364">
        <v>0</v>
      </c>
      <c r="K45" s="364">
        <v>0</v>
      </c>
      <c r="L45" s="364">
        <v>0</v>
      </c>
      <c r="M45" s="364">
        <v>0</v>
      </c>
      <c r="N45" s="364">
        <v>0</v>
      </c>
    </row>
    <row r="46" spans="2:14" x14ac:dyDescent="0.25">
      <c r="B46" s="355" t="s">
        <v>384</v>
      </c>
      <c r="C46" s="363" t="s">
        <v>106</v>
      </c>
      <c r="D46" s="363"/>
      <c r="E46" s="366">
        <v>2934.5720549261687</v>
      </c>
      <c r="F46" s="366">
        <v>2934.5720549261687</v>
      </c>
      <c r="G46" s="366">
        <v>2934.5720549261687</v>
      </c>
      <c r="H46" s="366">
        <v>2934.5720549261687</v>
      </c>
      <c r="I46" s="366">
        <v>2934.5720549261687</v>
      </c>
      <c r="J46" s="366">
        <v>2934.5720549261687</v>
      </c>
      <c r="K46" s="366">
        <v>2934.5720549261687</v>
      </c>
      <c r="L46" s="366">
        <v>2934.5720549261687</v>
      </c>
      <c r="M46" s="366">
        <v>2934.5720549261687</v>
      </c>
      <c r="N46" s="366">
        <v>2934.5720549261687</v>
      </c>
    </row>
    <row r="47" spans="2:14" x14ac:dyDescent="0.25">
      <c r="B47" s="355" t="s">
        <v>385</v>
      </c>
      <c r="C47" s="363"/>
      <c r="D47" s="363"/>
      <c r="E47" s="364"/>
      <c r="F47" s="364"/>
      <c r="G47" s="364"/>
      <c r="H47" s="364"/>
      <c r="I47" s="364"/>
      <c r="J47" s="364"/>
      <c r="K47" s="364"/>
      <c r="L47" s="364"/>
      <c r="M47" s="364"/>
      <c r="N47" s="364"/>
    </row>
    <row r="48" spans="2:14" x14ac:dyDescent="0.25">
      <c r="B48" s="355" t="s">
        <v>386</v>
      </c>
      <c r="C48" s="365" t="s">
        <v>387</v>
      </c>
      <c r="D48" s="365"/>
      <c r="E48" s="364"/>
      <c r="F48" s="364"/>
      <c r="G48" s="364"/>
      <c r="H48" s="364"/>
      <c r="I48" s="364"/>
      <c r="J48" s="364"/>
      <c r="K48" s="364"/>
      <c r="L48" s="364"/>
      <c r="M48" s="364"/>
      <c r="N48" s="364"/>
    </row>
    <row r="49" spans="2:14" x14ac:dyDescent="0.25">
      <c r="B49" s="355" t="s">
        <v>388</v>
      </c>
      <c r="C49" s="363" t="s">
        <v>102</v>
      </c>
      <c r="D49" s="363"/>
      <c r="E49" s="364">
        <v>0</v>
      </c>
      <c r="F49" s="364">
        <v>-38.612790196396958</v>
      </c>
      <c r="G49" s="364">
        <v>-115.83837058919087</v>
      </c>
      <c r="H49" s="364">
        <v>-193.06395098198479</v>
      </c>
      <c r="I49" s="364">
        <v>-270.28953137477868</v>
      </c>
      <c r="J49" s="364">
        <v>-347.51511176757259</v>
      </c>
      <c r="K49" s="364">
        <v>-424.74069216036651</v>
      </c>
      <c r="L49" s="364">
        <v>-501.96627255316042</v>
      </c>
      <c r="M49" s="364">
        <v>-579.19185294595434</v>
      </c>
      <c r="N49" s="364">
        <v>-656.4174333387482</v>
      </c>
    </row>
    <row r="50" spans="2:14" x14ac:dyDescent="0.25">
      <c r="B50" s="355" t="s">
        <v>389</v>
      </c>
      <c r="C50" s="363" t="s">
        <v>390</v>
      </c>
      <c r="D50" s="363"/>
      <c r="E50" s="364">
        <v>-38.612790196396958</v>
      </c>
      <c r="F50" s="364">
        <v>-77.225580392793916</v>
      </c>
      <c r="G50" s="364">
        <v>-77.225580392793916</v>
      </c>
      <c r="H50" s="364">
        <v>-77.225580392793916</v>
      </c>
      <c r="I50" s="364">
        <v>-77.225580392793916</v>
      </c>
      <c r="J50" s="364">
        <v>-77.225580392793916</v>
      </c>
      <c r="K50" s="364">
        <v>-77.225580392793916</v>
      </c>
      <c r="L50" s="364">
        <v>-77.225580392793916</v>
      </c>
      <c r="M50" s="364">
        <v>-77.225580392793916</v>
      </c>
      <c r="N50" s="364">
        <v>-77.225580392793916</v>
      </c>
    </row>
    <row r="51" spans="2:14" x14ac:dyDescent="0.25">
      <c r="B51" s="355" t="s">
        <v>391</v>
      </c>
      <c r="C51" s="363" t="s">
        <v>383</v>
      </c>
      <c r="D51" s="363"/>
      <c r="E51" s="364">
        <v>0</v>
      </c>
      <c r="F51" s="364">
        <v>0</v>
      </c>
      <c r="G51" s="364">
        <v>0</v>
      </c>
      <c r="H51" s="364">
        <v>0</v>
      </c>
      <c r="I51" s="364">
        <v>0</v>
      </c>
      <c r="J51" s="364">
        <v>0</v>
      </c>
      <c r="K51" s="364">
        <v>0</v>
      </c>
      <c r="L51" s="364">
        <v>0</v>
      </c>
      <c r="M51" s="364">
        <v>0</v>
      </c>
      <c r="N51" s="364">
        <v>0</v>
      </c>
    </row>
    <row r="52" spans="2:14" x14ac:dyDescent="0.25">
      <c r="B52" s="355" t="s">
        <v>392</v>
      </c>
      <c r="C52" s="363" t="s">
        <v>106</v>
      </c>
      <c r="D52" s="363"/>
      <c r="E52" s="366">
        <v>-38.612790196396958</v>
      </c>
      <c r="F52" s="366">
        <v>-115.83837058919087</v>
      </c>
      <c r="G52" s="366">
        <v>-193.06395098198479</v>
      </c>
      <c r="H52" s="366">
        <v>-270.28953137477868</v>
      </c>
      <c r="I52" s="366">
        <v>-347.51511176757259</v>
      </c>
      <c r="J52" s="366">
        <v>-424.74069216036651</v>
      </c>
      <c r="K52" s="366">
        <v>-501.96627255316042</v>
      </c>
      <c r="L52" s="366">
        <v>-579.19185294595434</v>
      </c>
      <c r="M52" s="366">
        <v>-656.4174333387482</v>
      </c>
      <c r="N52" s="366">
        <v>-733.64301373154217</v>
      </c>
    </row>
    <row r="53" spans="2:14" x14ac:dyDescent="0.25">
      <c r="B53" s="355" t="s">
        <v>393</v>
      </c>
      <c r="C53" s="355"/>
      <c r="D53" s="355"/>
      <c r="E53" s="355"/>
      <c r="F53" s="355"/>
      <c r="G53" s="355"/>
      <c r="H53" s="355"/>
      <c r="I53" s="355"/>
      <c r="J53" s="355"/>
      <c r="K53" s="355"/>
      <c r="L53" s="355"/>
      <c r="M53" s="355"/>
      <c r="N53" s="355"/>
    </row>
    <row r="54" spans="2:14" ht="15.75" thickBot="1" x14ac:dyDescent="0.3">
      <c r="B54" s="355" t="s">
        <v>394</v>
      </c>
      <c r="C54" s="355" t="s">
        <v>395</v>
      </c>
      <c r="D54" s="355"/>
      <c r="E54" s="367">
        <v>2895.9592647297718</v>
      </c>
      <c r="F54" s="367">
        <v>2818.7336843369776</v>
      </c>
      <c r="G54" s="367">
        <v>2741.5081039441839</v>
      </c>
      <c r="H54" s="367">
        <v>2664.2825235513901</v>
      </c>
      <c r="I54" s="367">
        <v>2587.0569431585959</v>
      </c>
      <c r="J54" s="367">
        <v>2509.8313627658022</v>
      </c>
      <c r="K54" s="367">
        <v>2432.6057823730084</v>
      </c>
      <c r="L54" s="367">
        <v>2355.3802019802142</v>
      </c>
      <c r="M54" s="367">
        <v>2278.1546215874205</v>
      </c>
      <c r="N54" s="367">
        <v>2200.9290411946267</v>
      </c>
    </row>
    <row r="55" spans="2:14" ht="15.75" thickTop="1" x14ac:dyDescent="0.25"/>
    <row r="56" spans="2:14" ht="15.75" x14ac:dyDescent="0.25">
      <c r="C56" s="76" t="s">
        <v>397</v>
      </c>
      <c r="D56" s="76"/>
    </row>
    <row r="58" spans="2:14" x14ac:dyDescent="0.25">
      <c r="B58" s="368"/>
      <c r="C58" s="369" t="s">
        <v>357</v>
      </c>
      <c r="D58" s="369"/>
      <c r="E58" s="370"/>
      <c r="F58" s="370"/>
      <c r="G58" s="370"/>
      <c r="H58" s="370"/>
      <c r="I58" s="369"/>
      <c r="J58" s="371"/>
      <c r="K58" s="371"/>
      <c r="L58" s="371"/>
      <c r="M58" s="370"/>
      <c r="N58" s="370"/>
    </row>
    <row r="59" spans="2:14" x14ac:dyDescent="0.25">
      <c r="B59" s="368"/>
      <c r="C59" s="372" t="s">
        <v>358</v>
      </c>
      <c r="D59" s="372"/>
      <c r="E59" s="370"/>
      <c r="F59" s="370"/>
      <c r="G59" s="370"/>
      <c r="H59" s="370"/>
      <c r="I59" s="369"/>
      <c r="J59" s="371"/>
      <c r="K59" s="371"/>
      <c r="L59" s="371"/>
      <c r="M59" s="370"/>
      <c r="N59" s="370"/>
    </row>
    <row r="60" spans="2:14" x14ac:dyDescent="0.25">
      <c r="B60" s="368"/>
      <c r="C60" s="368"/>
      <c r="D60" s="368"/>
      <c r="E60" s="368"/>
      <c r="F60" s="368"/>
      <c r="G60" s="368"/>
      <c r="H60" s="368"/>
      <c r="I60" s="368"/>
      <c r="J60" s="368"/>
      <c r="K60" s="368"/>
      <c r="L60" s="368"/>
      <c r="M60" s="368"/>
      <c r="N60" s="368"/>
    </row>
    <row r="61" spans="2:14" x14ac:dyDescent="0.25">
      <c r="C61" t="s">
        <v>398</v>
      </c>
      <c r="D61" s="373" t="s">
        <v>399</v>
      </c>
      <c r="E61" s="374">
        <v>-5191</v>
      </c>
    </row>
    <row r="62" spans="2:14" x14ac:dyDescent="0.25">
      <c r="C62" t="s">
        <v>400</v>
      </c>
      <c r="D62" s="373"/>
      <c r="E62" s="375">
        <v>2020</v>
      </c>
    </row>
    <row r="63" spans="2:14" x14ac:dyDescent="0.25">
      <c r="C63" t="s">
        <v>401</v>
      </c>
      <c r="D63" s="373" t="s">
        <v>402</v>
      </c>
      <c r="E63" s="375">
        <v>51</v>
      </c>
    </row>
    <row r="65" spans="2:14" x14ac:dyDescent="0.25">
      <c r="B65" s="368"/>
      <c r="C65" s="368"/>
      <c r="D65" s="368"/>
      <c r="E65" s="376" t="s">
        <v>359</v>
      </c>
      <c r="F65" s="376" t="s">
        <v>360</v>
      </c>
      <c r="G65" s="376" t="s">
        <v>361</v>
      </c>
      <c r="H65" s="376" t="s">
        <v>362</v>
      </c>
      <c r="I65" s="376" t="s">
        <v>363</v>
      </c>
      <c r="J65" s="376" t="s">
        <v>364</v>
      </c>
      <c r="K65" s="376" t="s">
        <v>365</v>
      </c>
      <c r="L65" s="376" t="s">
        <v>366</v>
      </c>
      <c r="M65" s="376" t="s">
        <v>367</v>
      </c>
      <c r="N65" s="376" t="s">
        <v>368</v>
      </c>
    </row>
    <row r="66" spans="2:14" x14ac:dyDescent="0.25">
      <c r="B66" s="368"/>
      <c r="C66" s="368"/>
      <c r="D66" s="368"/>
      <c r="E66" s="376"/>
      <c r="F66" s="376"/>
      <c r="G66" s="376"/>
      <c r="H66" s="376"/>
      <c r="I66" s="376"/>
      <c r="J66" s="376"/>
      <c r="K66" s="376"/>
      <c r="L66" s="376"/>
      <c r="M66" s="376"/>
      <c r="N66" s="376"/>
    </row>
    <row r="67" spans="2:14" x14ac:dyDescent="0.25">
      <c r="B67" s="368"/>
      <c r="C67" s="377" t="s">
        <v>369</v>
      </c>
      <c r="D67" s="377"/>
      <c r="E67" s="378">
        <v>2019</v>
      </c>
      <c r="F67" s="378">
        <v>2020</v>
      </c>
      <c r="G67" s="378">
        <v>2021</v>
      </c>
      <c r="H67" s="378">
        <v>2022</v>
      </c>
      <c r="I67" s="378">
        <v>2023</v>
      </c>
      <c r="J67" s="378">
        <v>2024</v>
      </c>
      <c r="K67" s="378">
        <v>2025</v>
      </c>
      <c r="L67" s="378">
        <v>2026</v>
      </c>
      <c r="M67" s="378">
        <v>2027</v>
      </c>
      <c r="N67" s="378">
        <v>2028</v>
      </c>
    </row>
    <row r="68" spans="2:14" x14ac:dyDescent="0.25">
      <c r="B68" s="368" t="s">
        <v>370</v>
      </c>
      <c r="C68" s="379"/>
      <c r="D68" s="379"/>
      <c r="E68" s="380"/>
      <c r="F68" s="380"/>
      <c r="G68" s="380"/>
      <c r="H68" s="380"/>
      <c r="I68" s="380"/>
      <c r="J68" s="380"/>
      <c r="K68" s="380"/>
      <c r="L68" s="380"/>
      <c r="M68" s="380"/>
      <c r="N68" s="380"/>
    </row>
    <row r="69" spans="2:14" x14ac:dyDescent="0.25">
      <c r="B69" s="368" t="s">
        <v>371</v>
      </c>
      <c r="C69" s="381" t="s">
        <v>372</v>
      </c>
      <c r="D69" s="381"/>
      <c r="E69" s="380"/>
      <c r="F69" s="380"/>
      <c r="G69" s="380"/>
      <c r="H69" s="380"/>
      <c r="I69" s="380"/>
      <c r="J69" s="380"/>
      <c r="K69" s="380"/>
      <c r="L69" s="380"/>
      <c r="M69" s="380"/>
      <c r="N69" s="380"/>
    </row>
    <row r="70" spans="2:14" x14ac:dyDescent="0.25">
      <c r="B70" s="368" t="s">
        <v>373</v>
      </c>
      <c r="C70" s="379" t="s">
        <v>102</v>
      </c>
      <c r="D70" s="379"/>
      <c r="E70" s="382">
        <v>0</v>
      </c>
      <c r="F70" s="380">
        <f t="shared" ref="F70:N70" si="0">E76</f>
        <v>0</v>
      </c>
      <c r="G70" s="380">
        <f t="shared" si="0"/>
        <v>5191</v>
      </c>
      <c r="H70" s="380">
        <f t="shared" si="0"/>
        <v>5191</v>
      </c>
      <c r="I70" s="380">
        <f t="shared" si="0"/>
        <v>5191</v>
      </c>
      <c r="J70" s="380">
        <f t="shared" si="0"/>
        <v>5191</v>
      </c>
      <c r="K70" s="380">
        <f t="shared" si="0"/>
        <v>5191</v>
      </c>
      <c r="L70" s="380">
        <f t="shared" si="0"/>
        <v>5191</v>
      </c>
      <c r="M70" s="380">
        <f t="shared" si="0"/>
        <v>5191</v>
      </c>
      <c r="N70" s="380">
        <f t="shared" si="0"/>
        <v>5191</v>
      </c>
    </row>
    <row r="71" spans="2:14" x14ac:dyDescent="0.25">
      <c r="B71" s="368" t="s">
        <v>374</v>
      </c>
      <c r="C71" s="379" t="s">
        <v>375</v>
      </c>
      <c r="D71" s="379"/>
      <c r="E71" s="380">
        <f t="shared" ref="E71:N71" si="1">IF(E67=$E62,-$E61,0)</f>
        <v>0</v>
      </c>
      <c r="F71" s="380">
        <f t="shared" si="1"/>
        <v>5191</v>
      </c>
      <c r="G71" s="380">
        <f t="shared" si="1"/>
        <v>0</v>
      </c>
      <c r="H71" s="380">
        <f t="shared" si="1"/>
        <v>0</v>
      </c>
      <c r="I71" s="380">
        <f t="shared" si="1"/>
        <v>0</v>
      </c>
      <c r="J71" s="380">
        <f t="shared" si="1"/>
        <v>0</v>
      </c>
      <c r="K71" s="380">
        <f t="shared" si="1"/>
        <v>0</v>
      </c>
      <c r="L71" s="380">
        <f t="shared" si="1"/>
        <v>0</v>
      </c>
      <c r="M71" s="380">
        <f t="shared" si="1"/>
        <v>0</v>
      </c>
      <c r="N71" s="380">
        <f t="shared" si="1"/>
        <v>0</v>
      </c>
    </row>
    <row r="72" spans="2:14" x14ac:dyDescent="0.25">
      <c r="B72" s="368" t="s">
        <v>376</v>
      </c>
      <c r="C72" s="379" t="s">
        <v>377</v>
      </c>
      <c r="D72" s="379"/>
      <c r="E72" s="383"/>
      <c r="F72" s="383"/>
      <c r="G72" s="383"/>
      <c r="H72" s="383"/>
      <c r="I72" s="383"/>
      <c r="J72" s="383"/>
      <c r="K72" s="383"/>
      <c r="L72" s="383"/>
      <c r="M72" s="383"/>
      <c r="N72" s="383"/>
    </row>
    <row r="73" spans="2:14" x14ac:dyDescent="0.25">
      <c r="B73" s="368" t="s">
        <v>378</v>
      </c>
      <c r="C73" s="379" t="s">
        <v>379</v>
      </c>
      <c r="D73" s="379"/>
      <c r="E73" s="383"/>
      <c r="F73" s="383"/>
      <c r="G73" s="383"/>
      <c r="H73" s="383"/>
      <c r="I73" s="383"/>
      <c r="J73" s="383"/>
      <c r="K73" s="383"/>
      <c r="L73" s="383"/>
      <c r="M73" s="383"/>
      <c r="N73" s="383"/>
    </row>
    <row r="74" spans="2:14" x14ac:dyDescent="0.25">
      <c r="B74" s="368" t="s">
        <v>380</v>
      </c>
      <c r="C74" s="379" t="s">
        <v>381</v>
      </c>
      <c r="D74" s="379"/>
      <c r="E74" s="383"/>
      <c r="F74" s="383"/>
      <c r="G74" s="383"/>
      <c r="H74" s="383"/>
      <c r="I74" s="383"/>
      <c r="J74" s="383"/>
      <c r="K74" s="383"/>
      <c r="L74" s="383"/>
      <c r="M74" s="383"/>
      <c r="N74" s="383"/>
    </row>
    <row r="75" spans="2:14" x14ac:dyDescent="0.25">
      <c r="B75" s="368" t="s">
        <v>382</v>
      </c>
      <c r="C75" s="379" t="s">
        <v>383</v>
      </c>
      <c r="D75" s="379"/>
      <c r="E75" s="383"/>
      <c r="F75" s="383"/>
      <c r="G75" s="383"/>
      <c r="H75" s="383"/>
      <c r="I75" s="383"/>
      <c r="J75" s="383"/>
      <c r="K75" s="383"/>
      <c r="L75" s="383"/>
      <c r="M75" s="383"/>
      <c r="N75" s="383"/>
    </row>
    <row r="76" spans="2:14" x14ac:dyDescent="0.25">
      <c r="B76" s="368" t="s">
        <v>384</v>
      </c>
      <c r="C76" s="379" t="s">
        <v>106</v>
      </c>
      <c r="D76" s="379"/>
      <c r="E76" s="384">
        <f t="shared" ref="E76:N76" si="2">SUM(E70:E75)</f>
        <v>0</v>
      </c>
      <c r="F76" s="384">
        <f t="shared" si="2"/>
        <v>5191</v>
      </c>
      <c r="G76" s="384">
        <f t="shared" si="2"/>
        <v>5191</v>
      </c>
      <c r="H76" s="384">
        <f t="shared" si="2"/>
        <v>5191</v>
      </c>
      <c r="I76" s="384">
        <f t="shared" si="2"/>
        <v>5191</v>
      </c>
      <c r="J76" s="384">
        <f t="shared" si="2"/>
        <v>5191</v>
      </c>
      <c r="K76" s="384">
        <f t="shared" si="2"/>
        <v>5191</v>
      </c>
      <c r="L76" s="384">
        <f t="shared" si="2"/>
        <v>5191</v>
      </c>
      <c r="M76" s="384">
        <f t="shared" si="2"/>
        <v>5191</v>
      </c>
      <c r="N76" s="384">
        <f t="shared" si="2"/>
        <v>5191</v>
      </c>
    </row>
    <row r="77" spans="2:14" x14ac:dyDescent="0.25">
      <c r="B77" s="368" t="s">
        <v>385</v>
      </c>
      <c r="C77" s="379"/>
      <c r="D77" s="379"/>
      <c r="E77" s="380"/>
      <c r="F77" s="380"/>
      <c r="G77" s="380"/>
      <c r="H77" s="380"/>
      <c r="I77" s="380"/>
      <c r="J77" s="380"/>
      <c r="K77" s="380"/>
      <c r="L77" s="380"/>
      <c r="M77" s="380"/>
      <c r="N77" s="380"/>
    </row>
    <row r="78" spans="2:14" x14ac:dyDescent="0.25">
      <c r="B78" s="368" t="s">
        <v>386</v>
      </c>
      <c r="C78" s="381" t="s">
        <v>387</v>
      </c>
      <c r="D78" s="381"/>
      <c r="E78" s="380"/>
      <c r="F78" s="380"/>
      <c r="G78" s="380"/>
      <c r="H78" s="380"/>
      <c r="I78" s="380"/>
      <c r="J78" s="380"/>
      <c r="K78" s="380"/>
      <c r="L78" s="380"/>
      <c r="M78" s="380"/>
      <c r="N78" s="380"/>
    </row>
    <row r="79" spans="2:14" x14ac:dyDescent="0.25">
      <c r="B79" s="368" t="s">
        <v>388</v>
      </c>
      <c r="C79" s="379" t="s">
        <v>102</v>
      </c>
      <c r="D79" s="379"/>
      <c r="E79" s="380">
        <v>0</v>
      </c>
      <c r="F79" s="380">
        <f t="shared" ref="F79:N79" si="3">E82</f>
        <v>0</v>
      </c>
      <c r="G79" s="380">
        <f t="shared" si="3"/>
        <v>-50.892156862745097</v>
      </c>
      <c r="H79" s="380">
        <f t="shared" si="3"/>
        <v>-152.6764705882353</v>
      </c>
      <c r="I79" s="380">
        <f t="shared" si="3"/>
        <v>-254.4607843137255</v>
      </c>
      <c r="J79" s="380">
        <f t="shared" si="3"/>
        <v>-356.24509803921569</v>
      </c>
      <c r="K79" s="380">
        <f t="shared" si="3"/>
        <v>-458.02941176470586</v>
      </c>
      <c r="L79" s="380">
        <f t="shared" si="3"/>
        <v>-559.81372549019602</v>
      </c>
      <c r="M79" s="380">
        <f t="shared" si="3"/>
        <v>-661.59803921568619</v>
      </c>
      <c r="N79" s="380">
        <f t="shared" si="3"/>
        <v>-763.38235294117635</v>
      </c>
    </row>
    <row r="80" spans="2:14" x14ac:dyDescent="0.25">
      <c r="B80" s="368" t="s">
        <v>389</v>
      </c>
      <c r="C80" s="379" t="s">
        <v>390</v>
      </c>
      <c r="D80" s="379"/>
      <c r="E80" s="380">
        <f t="shared" ref="E80:N80" si="4">-(E70+0.5*E71)/$E63</f>
        <v>0</v>
      </c>
      <c r="F80" s="380">
        <f t="shared" si="4"/>
        <v>-50.892156862745097</v>
      </c>
      <c r="G80" s="380">
        <f t="shared" si="4"/>
        <v>-101.78431372549019</v>
      </c>
      <c r="H80" s="380">
        <f t="shared" si="4"/>
        <v>-101.78431372549019</v>
      </c>
      <c r="I80" s="380">
        <f t="shared" si="4"/>
        <v>-101.78431372549019</v>
      </c>
      <c r="J80" s="380">
        <f t="shared" si="4"/>
        <v>-101.78431372549019</v>
      </c>
      <c r="K80" s="380">
        <f t="shared" si="4"/>
        <v>-101.78431372549019</v>
      </c>
      <c r="L80" s="380">
        <f t="shared" si="4"/>
        <v>-101.78431372549019</v>
      </c>
      <c r="M80" s="380">
        <f t="shared" si="4"/>
        <v>-101.78431372549019</v>
      </c>
      <c r="N80" s="380">
        <f t="shared" si="4"/>
        <v>-101.78431372549019</v>
      </c>
    </row>
    <row r="81" spans="2:14" x14ac:dyDescent="0.25">
      <c r="B81" s="368" t="s">
        <v>391</v>
      </c>
      <c r="C81" s="379" t="s">
        <v>383</v>
      </c>
      <c r="D81" s="379"/>
      <c r="E81" s="383"/>
      <c r="F81" s="383"/>
      <c r="G81" s="383"/>
      <c r="H81" s="383"/>
      <c r="I81" s="383"/>
      <c r="J81" s="383"/>
      <c r="K81" s="383"/>
      <c r="L81" s="383"/>
      <c r="M81" s="383"/>
      <c r="N81" s="383"/>
    </row>
    <row r="82" spans="2:14" x14ac:dyDescent="0.25">
      <c r="B82" s="368" t="s">
        <v>392</v>
      </c>
      <c r="C82" s="379" t="s">
        <v>106</v>
      </c>
      <c r="D82" s="379"/>
      <c r="E82" s="384">
        <f t="shared" ref="E82:N82" si="5">SUM(E79:E81)</f>
        <v>0</v>
      </c>
      <c r="F82" s="384">
        <f t="shared" si="5"/>
        <v>-50.892156862745097</v>
      </c>
      <c r="G82" s="384">
        <f t="shared" si="5"/>
        <v>-152.6764705882353</v>
      </c>
      <c r="H82" s="384">
        <f t="shared" si="5"/>
        <v>-254.4607843137255</v>
      </c>
      <c r="I82" s="384">
        <f t="shared" si="5"/>
        <v>-356.24509803921569</v>
      </c>
      <c r="J82" s="384">
        <f t="shared" si="5"/>
        <v>-458.02941176470586</v>
      </c>
      <c r="K82" s="384">
        <f t="shared" si="5"/>
        <v>-559.81372549019602</v>
      </c>
      <c r="L82" s="384">
        <f t="shared" si="5"/>
        <v>-661.59803921568619</v>
      </c>
      <c r="M82" s="384">
        <f t="shared" si="5"/>
        <v>-763.38235294117635</v>
      </c>
      <c r="N82" s="384">
        <f t="shared" si="5"/>
        <v>-865.16666666666652</v>
      </c>
    </row>
    <row r="83" spans="2:14" x14ac:dyDescent="0.25">
      <c r="B83" s="368" t="s">
        <v>393</v>
      </c>
      <c r="C83" s="368"/>
      <c r="D83" s="368"/>
      <c r="E83" s="368"/>
      <c r="F83" s="368"/>
      <c r="G83" s="368"/>
      <c r="H83" s="368"/>
      <c r="I83" s="368"/>
      <c r="J83" s="368"/>
      <c r="K83" s="368"/>
      <c r="L83" s="368"/>
      <c r="M83" s="368"/>
      <c r="N83" s="368"/>
    </row>
    <row r="84" spans="2:14" ht="15.75" thickBot="1" x14ac:dyDescent="0.3">
      <c r="B84" s="368" t="s">
        <v>394</v>
      </c>
      <c r="C84" s="368" t="s">
        <v>395</v>
      </c>
      <c r="D84" s="368"/>
      <c r="E84" s="385">
        <f t="shared" ref="E84:N84" si="6">E76+E82</f>
        <v>0</v>
      </c>
      <c r="F84" s="385">
        <f t="shared" si="6"/>
        <v>5140.1078431372553</v>
      </c>
      <c r="G84" s="385">
        <f t="shared" si="6"/>
        <v>5038.3235294117649</v>
      </c>
      <c r="H84" s="385">
        <f t="shared" si="6"/>
        <v>4936.5392156862745</v>
      </c>
      <c r="I84" s="385">
        <f t="shared" si="6"/>
        <v>4834.7549019607841</v>
      </c>
      <c r="J84" s="385">
        <f t="shared" si="6"/>
        <v>4732.9705882352937</v>
      </c>
      <c r="K84" s="385">
        <f t="shared" si="6"/>
        <v>4631.1862745098042</v>
      </c>
      <c r="L84" s="385">
        <f t="shared" si="6"/>
        <v>4529.4019607843138</v>
      </c>
      <c r="M84" s="385">
        <f t="shared" si="6"/>
        <v>4427.6176470588234</v>
      </c>
      <c r="N84" s="385">
        <f t="shared" si="6"/>
        <v>4325.8333333333339</v>
      </c>
    </row>
    <row r="85" spans="2:14" ht="15.75" thickTop="1" x14ac:dyDescent="0.25">
      <c r="B85" s="368"/>
      <c r="C85" s="368"/>
      <c r="D85" s="368"/>
      <c r="E85" s="368"/>
      <c r="F85" s="368"/>
      <c r="G85" s="368"/>
      <c r="H85" s="368"/>
      <c r="I85" s="368"/>
      <c r="J85" s="368"/>
      <c r="K85" s="368"/>
      <c r="L85" s="368"/>
      <c r="M85" s="368"/>
      <c r="N85" s="368"/>
    </row>
    <row r="86" spans="2:14" x14ac:dyDescent="0.25">
      <c r="B86" s="368"/>
      <c r="C86" s="368"/>
      <c r="D86" s="368"/>
      <c r="E86" s="368"/>
      <c r="F86" s="368"/>
      <c r="G86" s="368"/>
      <c r="H86" s="368"/>
      <c r="I86" s="368"/>
      <c r="J86" s="368"/>
      <c r="K86" s="368"/>
      <c r="L86" s="368"/>
      <c r="M86" s="368"/>
      <c r="N86" s="368"/>
    </row>
    <row r="87" spans="2:14" x14ac:dyDescent="0.25">
      <c r="B87" s="368"/>
      <c r="C87" s="368"/>
      <c r="D87" s="368"/>
      <c r="E87" s="368"/>
      <c r="F87" s="368"/>
      <c r="G87" s="368"/>
      <c r="H87" s="368"/>
      <c r="I87" s="368"/>
      <c r="J87" s="368"/>
      <c r="K87" s="368"/>
      <c r="L87" s="368"/>
      <c r="M87" s="368"/>
      <c r="N87" s="368"/>
    </row>
    <row r="88" spans="2:14" x14ac:dyDescent="0.25">
      <c r="B88" s="368"/>
      <c r="C88" s="369" t="s">
        <v>396</v>
      </c>
      <c r="D88" s="369"/>
      <c r="E88" s="370"/>
      <c r="F88" s="370"/>
      <c r="G88" s="370"/>
      <c r="H88" s="370"/>
      <c r="I88" s="369"/>
      <c r="J88" s="371"/>
      <c r="K88" s="371"/>
      <c r="L88" s="371"/>
      <c r="M88" s="370"/>
      <c r="N88" s="370"/>
    </row>
    <row r="89" spans="2:14" x14ac:dyDescent="0.25">
      <c r="B89" s="368"/>
      <c r="C89" s="372" t="s">
        <v>358</v>
      </c>
      <c r="D89" s="372"/>
      <c r="E89" s="370"/>
      <c r="F89" s="370"/>
      <c r="G89" s="370"/>
      <c r="H89" s="370"/>
      <c r="I89" s="369"/>
      <c r="J89" s="371"/>
      <c r="K89" s="371"/>
      <c r="L89" s="371"/>
      <c r="M89" s="370"/>
      <c r="N89" s="370"/>
    </row>
    <row r="90" spans="2:14" x14ac:dyDescent="0.25">
      <c r="B90" s="368"/>
      <c r="C90" s="368"/>
      <c r="D90" s="368"/>
      <c r="E90" s="368"/>
      <c r="F90" s="368"/>
      <c r="G90" s="368"/>
      <c r="H90" s="368"/>
      <c r="I90" s="368"/>
      <c r="J90" s="368"/>
      <c r="K90" s="368"/>
      <c r="L90" s="368"/>
      <c r="M90" s="368"/>
      <c r="N90" s="368"/>
    </row>
    <row r="91" spans="2:14" x14ac:dyDescent="0.25">
      <c r="C91" t="s">
        <v>398</v>
      </c>
      <c r="D91" s="373" t="s">
        <v>399</v>
      </c>
      <c r="E91" s="374">
        <v>-4023</v>
      </c>
    </row>
    <row r="92" spans="2:14" x14ac:dyDescent="0.25">
      <c r="C92" t="s">
        <v>400</v>
      </c>
      <c r="D92" s="373"/>
      <c r="E92" s="375">
        <v>2019</v>
      </c>
    </row>
    <row r="93" spans="2:14" x14ac:dyDescent="0.25">
      <c r="C93" t="s">
        <v>401</v>
      </c>
      <c r="D93" s="373" t="s">
        <v>402</v>
      </c>
      <c r="E93" s="375">
        <v>38</v>
      </c>
    </row>
    <row r="95" spans="2:14" x14ac:dyDescent="0.25">
      <c r="B95" s="368"/>
      <c r="C95" s="368"/>
      <c r="D95" s="368"/>
      <c r="E95" s="376" t="s">
        <v>359</v>
      </c>
      <c r="F95" s="376" t="s">
        <v>360</v>
      </c>
      <c r="G95" s="376" t="s">
        <v>361</v>
      </c>
      <c r="H95" s="376" t="s">
        <v>362</v>
      </c>
      <c r="I95" s="376" t="s">
        <v>363</v>
      </c>
      <c r="J95" s="376" t="s">
        <v>364</v>
      </c>
      <c r="K95" s="376" t="s">
        <v>365</v>
      </c>
      <c r="L95" s="376" t="s">
        <v>366</v>
      </c>
      <c r="M95" s="376" t="s">
        <v>367</v>
      </c>
      <c r="N95" s="376" t="s">
        <v>368</v>
      </c>
    </row>
    <row r="96" spans="2:14" x14ac:dyDescent="0.25">
      <c r="B96" s="368"/>
      <c r="C96" s="368"/>
      <c r="D96" s="368"/>
      <c r="E96" s="376"/>
      <c r="F96" s="376"/>
      <c r="G96" s="376"/>
      <c r="H96" s="376"/>
      <c r="I96" s="376"/>
      <c r="J96" s="376"/>
      <c r="K96" s="376"/>
      <c r="L96" s="376"/>
      <c r="M96" s="376"/>
      <c r="N96" s="376"/>
    </row>
    <row r="97" spans="2:14" x14ac:dyDescent="0.25">
      <c r="B97" s="368"/>
      <c r="C97" s="377" t="s">
        <v>369</v>
      </c>
      <c r="D97" s="377"/>
      <c r="E97" s="378">
        <v>2019</v>
      </c>
      <c r="F97" s="378">
        <v>2020</v>
      </c>
      <c r="G97" s="378">
        <v>2021</v>
      </c>
      <c r="H97" s="378">
        <v>2022</v>
      </c>
      <c r="I97" s="378">
        <v>2023</v>
      </c>
      <c r="J97" s="378">
        <v>2024</v>
      </c>
      <c r="K97" s="378">
        <v>2025</v>
      </c>
      <c r="L97" s="378">
        <v>2026</v>
      </c>
      <c r="M97" s="378">
        <v>2027</v>
      </c>
      <c r="N97" s="378">
        <v>2028</v>
      </c>
    </row>
    <row r="98" spans="2:14" x14ac:dyDescent="0.25">
      <c r="B98" s="368" t="s">
        <v>370</v>
      </c>
      <c r="C98" s="379"/>
      <c r="D98" s="379"/>
      <c r="E98" s="380"/>
      <c r="F98" s="380"/>
      <c r="G98" s="380"/>
      <c r="H98" s="380"/>
      <c r="I98" s="380"/>
      <c r="J98" s="380"/>
      <c r="K98" s="380"/>
      <c r="L98" s="380"/>
      <c r="M98" s="380"/>
      <c r="N98" s="380"/>
    </row>
    <row r="99" spans="2:14" x14ac:dyDescent="0.25">
      <c r="B99" s="368" t="s">
        <v>371</v>
      </c>
      <c r="C99" s="381" t="s">
        <v>372</v>
      </c>
      <c r="D99" s="381"/>
      <c r="E99" s="380"/>
      <c r="F99" s="380"/>
      <c r="G99" s="380"/>
      <c r="H99" s="380"/>
      <c r="I99" s="380"/>
      <c r="J99" s="380"/>
      <c r="K99" s="380"/>
      <c r="L99" s="380"/>
      <c r="M99" s="380"/>
      <c r="N99" s="380"/>
    </row>
    <row r="100" spans="2:14" x14ac:dyDescent="0.25">
      <c r="B100" s="368" t="s">
        <v>373</v>
      </c>
      <c r="C100" s="379" t="s">
        <v>102</v>
      </c>
      <c r="D100" s="379"/>
      <c r="E100" s="382">
        <v>0</v>
      </c>
      <c r="F100" s="380">
        <f t="shared" ref="F100:N100" si="7">E106</f>
        <v>4023</v>
      </c>
      <c r="G100" s="380">
        <f t="shared" si="7"/>
        <v>4023</v>
      </c>
      <c r="H100" s="380">
        <f t="shared" si="7"/>
        <v>4276</v>
      </c>
      <c r="I100" s="380">
        <f t="shared" si="7"/>
        <v>4276</v>
      </c>
      <c r="J100" s="380">
        <f t="shared" si="7"/>
        <v>4276</v>
      </c>
      <c r="K100" s="380">
        <f t="shared" si="7"/>
        <v>4276</v>
      </c>
      <c r="L100" s="380">
        <f t="shared" si="7"/>
        <v>4276</v>
      </c>
      <c r="M100" s="380">
        <f t="shared" si="7"/>
        <v>4276</v>
      </c>
      <c r="N100" s="380">
        <f t="shared" si="7"/>
        <v>4276</v>
      </c>
    </row>
    <row r="101" spans="2:14" x14ac:dyDescent="0.25">
      <c r="B101" s="368" t="s">
        <v>374</v>
      </c>
      <c r="C101" s="379" t="s">
        <v>375</v>
      </c>
      <c r="D101" s="379"/>
      <c r="E101" s="380">
        <f>IF(E97=$E92,-$E91,0)</f>
        <v>4023</v>
      </c>
      <c r="F101" s="380">
        <f>IF(F97=$E92,-$E91,0)</f>
        <v>0</v>
      </c>
      <c r="G101" s="380">
        <v>253</v>
      </c>
      <c r="H101" s="380">
        <f t="shared" ref="H101:N101" si="8">IF(H97=$E92,-$E91,0)</f>
        <v>0</v>
      </c>
      <c r="I101" s="380">
        <f t="shared" si="8"/>
        <v>0</v>
      </c>
      <c r="J101" s="380">
        <f t="shared" si="8"/>
        <v>0</v>
      </c>
      <c r="K101" s="380">
        <f t="shared" si="8"/>
        <v>0</v>
      </c>
      <c r="L101" s="380">
        <f t="shared" si="8"/>
        <v>0</v>
      </c>
      <c r="M101" s="380">
        <f t="shared" si="8"/>
        <v>0</v>
      </c>
      <c r="N101" s="380">
        <f t="shared" si="8"/>
        <v>0</v>
      </c>
    </row>
    <row r="102" spans="2:14" x14ac:dyDescent="0.25">
      <c r="B102" s="368" t="s">
        <v>376</v>
      </c>
      <c r="C102" s="379" t="s">
        <v>377</v>
      </c>
      <c r="D102" s="379"/>
      <c r="E102" s="383"/>
      <c r="F102" s="383"/>
      <c r="G102" s="383"/>
      <c r="H102" s="383"/>
      <c r="I102" s="383"/>
      <c r="J102" s="383"/>
      <c r="K102" s="383"/>
      <c r="L102" s="383"/>
      <c r="M102" s="383"/>
      <c r="N102" s="383"/>
    </row>
    <row r="103" spans="2:14" x14ac:dyDescent="0.25">
      <c r="B103" s="368" t="s">
        <v>378</v>
      </c>
      <c r="C103" s="379" t="s">
        <v>379</v>
      </c>
      <c r="D103" s="379"/>
      <c r="E103" s="383"/>
      <c r="F103" s="383"/>
      <c r="G103" s="383"/>
      <c r="H103" s="383"/>
      <c r="I103" s="383"/>
      <c r="J103" s="383"/>
      <c r="K103" s="383"/>
      <c r="L103" s="383"/>
      <c r="M103" s="383"/>
      <c r="N103" s="383"/>
    </row>
    <row r="104" spans="2:14" x14ac:dyDescent="0.25">
      <c r="B104" s="368" t="s">
        <v>380</v>
      </c>
      <c r="C104" s="379" t="s">
        <v>381</v>
      </c>
      <c r="D104" s="379"/>
      <c r="E104" s="383"/>
      <c r="F104" s="383"/>
      <c r="G104" s="383"/>
      <c r="H104" s="383"/>
      <c r="I104" s="383"/>
      <c r="J104" s="383"/>
      <c r="K104" s="383"/>
      <c r="L104" s="383"/>
      <c r="M104" s="383"/>
      <c r="N104" s="383"/>
    </row>
    <row r="105" spans="2:14" x14ac:dyDescent="0.25">
      <c r="B105" s="368" t="s">
        <v>382</v>
      </c>
      <c r="C105" s="379" t="s">
        <v>383</v>
      </c>
      <c r="D105" s="379"/>
      <c r="E105" s="383"/>
      <c r="F105" s="383"/>
      <c r="G105" s="383"/>
      <c r="H105" s="383"/>
      <c r="I105" s="383"/>
      <c r="J105" s="383"/>
      <c r="K105" s="383"/>
      <c r="L105" s="383"/>
      <c r="M105" s="383"/>
      <c r="N105" s="383"/>
    </row>
    <row r="106" spans="2:14" x14ac:dyDescent="0.25">
      <c r="B106" s="368" t="s">
        <v>384</v>
      </c>
      <c r="C106" s="379" t="s">
        <v>106</v>
      </c>
      <c r="D106" s="379"/>
      <c r="E106" s="384">
        <f t="shared" ref="E106:N106" si="9">SUM(E100:E105)</f>
        <v>4023</v>
      </c>
      <c r="F106" s="384">
        <f t="shared" si="9"/>
        <v>4023</v>
      </c>
      <c r="G106" s="384">
        <f t="shared" si="9"/>
        <v>4276</v>
      </c>
      <c r="H106" s="384">
        <f t="shared" si="9"/>
        <v>4276</v>
      </c>
      <c r="I106" s="384">
        <f t="shared" si="9"/>
        <v>4276</v>
      </c>
      <c r="J106" s="384">
        <f t="shared" si="9"/>
        <v>4276</v>
      </c>
      <c r="K106" s="384">
        <f t="shared" si="9"/>
        <v>4276</v>
      </c>
      <c r="L106" s="384">
        <f t="shared" si="9"/>
        <v>4276</v>
      </c>
      <c r="M106" s="384">
        <f t="shared" si="9"/>
        <v>4276</v>
      </c>
      <c r="N106" s="384">
        <f t="shared" si="9"/>
        <v>4276</v>
      </c>
    </row>
    <row r="107" spans="2:14" x14ac:dyDescent="0.25">
      <c r="B107" s="368" t="s">
        <v>385</v>
      </c>
      <c r="C107" s="379"/>
      <c r="D107" s="379"/>
      <c r="E107" s="380"/>
      <c r="F107" s="380"/>
      <c r="G107" s="380"/>
      <c r="H107" s="380"/>
      <c r="I107" s="380"/>
      <c r="J107" s="380"/>
      <c r="K107" s="380"/>
      <c r="L107" s="380"/>
      <c r="M107" s="380"/>
      <c r="N107" s="380"/>
    </row>
    <row r="108" spans="2:14" x14ac:dyDescent="0.25">
      <c r="B108" s="368" t="s">
        <v>386</v>
      </c>
      <c r="C108" s="381" t="s">
        <v>387</v>
      </c>
      <c r="D108" s="381"/>
      <c r="E108" s="380"/>
      <c r="F108" s="380"/>
      <c r="G108" s="380"/>
      <c r="H108" s="380"/>
      <c r="I108" s="380"/>
      <c r="J108" s="380"/>
      <c r="K108" s="380"/>
      <c r="L108" s="380"/>
      <c r="M108" s="380"/>
      <c r="N108" s="380"/>
    </row>
    <row r="109" spans="2:14" x14ac:dyDescent="0.25">
      <c r="B109" s="368" t="s">
        <v>388</v>
      </c>
      <c r="C109" s="379" t="s">
        <v>102</v>
      </c>
      <c r="D109" s="379"/>
      <c r="E109" s="382">
        <v>0</v>
      </c>
      <c r="F109" s="380">
        <f t="shared" ref="F109:N109" si="10">E112</f>
        <v>-52.934210526315788</v>
      </c>
      <c r="G109" s="380">
        <f t="shared" si="10"/>
        <v>-158.80263157894737</v>
      </c>
      <c r="H109" s="380">
        <f t="shared" si="10"/>
        <v>-268</v>
      </c>
      <c r="I109" s="380">
        <f t="shared" si="10"/>
        <v>-380.5263157894737</v>
      </c>
      <c r="J109" s="380">
        <f t="shared" si="10"/>
        <v>-493.0526315789474</v>
      </c>
      <c r="K109" s="380">
        <f t="shared" si="10"/>
        <v>-605.57894736842104</v>
      </c>
      <c r="L109" s="380">
        <f t="shared" si="10"/>
        <v>-718.10526315789468</v>
      </c>
      <c r="M109" s="380">
        <f t="shared" si="10"/>
        <v>-830.63157894736833</v>
      </c>
      <c r="N109" s="380">
        <f t="shared" si="10"/>
        <v>-943.15789473684197</v>
      </c>
    </row>
    <row r="110" spans="2:14" x14ac:dyDescent="0.25">
      <c r="B110" s="368" t="s">
        <v>389</v>
      </c>
      <c r="C110" s="379" t="s">
        <v>390</v>
      </c>
      <c r="D110" s="379"/>
      <c r="E110" s="380">
        <f t="shared" ref="E110:N110" si="11">-(E100+0.5*E101)/$E93</f>
        <v>-52.934210526315788</v>
      </c>
      <c r="F110" s="380">
        <f t="shared" si="11"/>
        <v>-105.86842105263158</v>
      </c>
      <c r="G110" s="380">
        <f t="shared" si="11"/>
        <v>-109.19736842105263</v>
      </c>
      <c r="H110" s="380">
        <f t="shared" si="11"/>
        <v>-112.52631578947368</v>
      </c>
      <c r="I110" s="380">
        <f t="shared" si="11"/>
        <v>-112.52631578947368</v>
      </c>
      <c r="J110" s="380">
        <f t="shared" si="11"/>
        <v>-112.52631578947368</v>
      </c>
      <c r="K110" s="380">
        <f t="shared" si="11"/>
        <v>-112.52631578947368</v>
      </c>
      <c r="L110" s="380">
        <f t="shared" si="11"/>
        <v>-112.52631578947368</v>
      </c>
      <c r="M110" s="380">
        <f t="shared" si="11"/>
        <v>-112.52631578947368</v>
      </c>
      <c r="N110" s="380">
        <f t="shared" si="11"/>
        <v>-112.52631578947368</v>
      </c>
    </row>
    <row r="111" spans="2:14" x14ac:dyDescent="0.25">
      <c r="B111" s="368" t="s">
        <v>391</v>
      </c>
      <c r="C111" s="379" t="s">
        <v>383</v>
      </c>
      <c r="D111" s="379"/>
      <c r="E111" s="383"/>
      <c r="F111" s="383"/>
      <c r="G111" s="383"/>
      <c r="H111" s="383"/>
      <c r="I111" s="383"/>
      <c r="J111" s="383"/>
      <c r="K111" s="383"/>
      <c r="L111" s="383"/>
      <c r="M111" s="383"/>
      <c r="N111" s="383"/>
    </row>
    <row r="112" spans="2:14" x14ac:dyDescent="0.25">
      <c r="B112" s="368" t="s">
        <v>392</v>
      </c>
      <c r="C112" s="379" t="s">
        <v>106</v>
      </c>
      <c r="D112" s="379"/>
      <c r="E112" s="384">
        <f t="shared" ref="E112:N112" si="12">SUM(E109:E111)</f>
        <v>-52.934210526315788</v>
      </c>
      <c r="F112" s="384">
        <f t="shared" si="12"/>
        <v>-158.80263157894737</v>
      </c>
      <c r="G112" s="384">
        <f t="shared" si="12"/>
        <v>-268</v>
      </c>
      <c r="H112" s="384">
        <f t="shared" si="12"/>
        <v>-380.5263157894737</v>
      </c>
      <c r="I112" s="384">
        <f t="shared" si="12"/>
        <v>-493.0526315789474</v>
      </c>
      <c r="J112" s="384">
        <f t="shared" si="12"/>
        <v>-605.57894736842104</v>
      </c>
      <c r="K112" s="384">
        <f t="shared" si="12"/>
        <v>-718.10526315789468</v>
      </c>
      <c r="L112" s="384">
        <f t="shared" si="12"/>
        <v>-830.63157894736833</v>
      </c>
      <c r="M112" s="384">
        <f t="shared" si="12"/>
        <v>-943.15789473684197</v>
      </c>
      <c r="N112" s="384">
        <f t="shared" si="12"/>
        <v>-1055.6842105263156</v>
      </c>
    </row>
    <row r="113" spans="2:14" x14ac:dyDescent="0.25">
      <c r="B113" s="368" t="s">
        <v>393</v>
      </c>
      <c r="C113" s="368"/>
      <c r="D113" s="368"/>
      <c r="E113" s="368"/>
      <c r="F113" s="368"/>
      <c r="G113" s="368"/>
      <c r="H113" s="368"/>
      <c r="I113" s="368"/>
      <c r="J113" s="368"/>
      <c r="K113" s="368"/>
      <c r="L113" s="368"/>
      <c r="M113" s="368"/>
      <c r="N113" s="368"/>
    </row>
    <row r="114" spans="2:14" ht="15.75" thickBot="1" x14ac:dyDescent="0.3">
      <c r="B114" s="368" t="s">
        <v>394</v>
      </c>
      <c r="C114" s="368" t="s">
        <v>395</v>
      </c>
      <c r="D114" s="368"/>
      <c r="E114" s="385">
        <f t="shared" ref="E114:N114" si="13">E106+E112</f>
        <v>3970.0657894736842</v>
      </c>
      <c r="F114" s="385">
        <f t="shared" si="13"/>
        <v>3864.1973684210525</v>
      </c>
      <c r="G114" s="385">
        <f t="shared" si="13"/>
        <v>4008</v>
      </c>
      <c r="H114" s="385">
        <f t="shared" si="13"/>
        <v>3895.4736842105262</v>
      </c>
      <c r="I114" s="385">
        <f t="shared" si="13"/>
        <v>3782.9473684210525</v>
      </c>
      <c r="J114" s="385">
        <f t="shared" si="13"/>
        <v>3670.4210526315792</v>
      </c>
      <c r="K114" s="385">
        <f t="shared" si="13"/>
        <v>3557.8947368421054</v>
      </c>
      <c r="L114" s="385">
        <f t="shared" si="13"/>
        <v>3445.3684210526317</v>
      </c>
      <c r="M114" s="385">
        <f t="shared" si="13"/>
        <v>3332.8421052631579</v>
      </c>
      <c r="N114" s="385">
        <f t="shared" si="13"/>
        <v>3220.3157894736842</v>
      </c>
    </row>
    <row r="115" spans="2:14" ht="15.75" thickTop="1" x14ac:dyDescent="0.25"/>
    <row r="116" spans="2:14" ht="15.75" x14ac:dyDescent="0.25">
      <c r="C116" s="76" t="s">
        <v>403</v>
      </c>
      <c r="D116" s="76"/>
    </row>
    <row r="117" spans="2:14" x14ac:dyDescent="0.25">
      <c r="E117">
        <v>2019</v>
      </c>
      <c r="F117">
        <v>2020</v>
      </c>
      <c r="G117">
        <v>2021</v>
      </c>
      <c r="H117">
        <v>2022</v>
      </c>
      <c r="I117">
        <v>2023</v>
      </c>
      <c r="J117">
        <v>2024</v>
      </c>
      <c r="K117">
        <v>2025</v>
      </c>
      <c r="L117">
        <v>2026</v>
      </c>
      <c r="M117">
        <v>2027</v>
      </c>
      <c r="N117">
        <v>2028</v>
      </c>
    </row>
    <row r="118" spans="2:14" x14ac:dyDescent="0.25">
      <c r="C118" t="s">
        <v>404</v>
      </c>
      <c r="D118" s="373" t="s">
        <v>405</v>
      </c>
      <c r="E118" s="386">
        <v>5.4631999999999993E-2</v>
      </c>
      <c r="F118" s="386">
        <v>5.4631999999999993E-2</v>
      </c>
      <c r="G118" s="386">
        <v>5.4631999999999993E-2</v>
      </c>
      <c r="H118" s="386">
        <v>5.4631999999999993E-2</v>
      </c>
      <c r="I118" s="386">
        <v>5.4631999999999993E-2</v>
      </c>
      <c r="J118" s="386">
        <v>5.4631999999999993E-2</v>
      </c>
      <c r="K118" s="386">
        <v>5.4631999999999993E-2</v>
      </c>
      <c r="L118" s="386">
        <v>5.4631999999999993E-2</v>
      </c>
      <c r="M118" s="386">
        <v>5.4631999999999993E-2</v>
      </c>
      <c r="N118" s="386">
        <v>5.4631999999999993E-2</v>
      </c>
    </row>
    <row r="120" spans="2:14" x14ac:dyDescent="0.25">
      <c r="C120" s="315" t="s">
        <v>406</v>
      </c>
    </row>
    <row r="122" spans="2:14" x14ac:dyDescent="0.25">
      <c r="C122" t="s">
        <v>407</v>
      </c>
      <c r="D122" s="373" t="s">
        <v>399</v>
      </c>
      <c r="E122" s="387">
        <f t="shared" ref="E122:N122" si="14">E28+E54</f>
        <v>5235.925234331462</v>
      </c>
      <c r="F122" s="387">
        <f t="shared" si="14"/>
        <v>5112.3636941445748</v>
      </c>
      <c r="G122" s="387">
        <f t="shared" si="14"/>
        <v>4988.8021539576876</v>
      </c>
      <c r="H122" s="387">
        <f t="shared" si="14"/>
        <v>4865.2406137708022</v>
      </c>
      <c r="I122" s="387">
        <f t="shared" si="14"/>
        <v>4741.6790735839149</v>
      </c>
      <c r="J122" s="387">
        <f t="shared" si="14"/>
        <v>4618.1175333970277</v>
      </c>
      <c r="K122" s="387">
        <f t="shared" si="14"/>
        <v>4494.5559932101405</v>
      </c>
      <c r="L122" s="387">
        <f t="shared" si="14"/>
        <v>4370.9944530232542</v>
      </c>
      <c r="M122" s="387">
        <f t="shared" si="14"/>
        <v>4247.4329128363679</v>
      </c>
      <c r="N122" s="387">
        <f t="shared" si="14"/>
        <v>4123.8713726494807</v>
      </c>
    </row>
    <row r="123" spans="2:14" x14ac:dyDescent="0.25">
      <c r="C123" t="s">
        <v>408</v>
      </c>
      <c r="D123" s="373" t="s">
        <v>399</v>
      </c>
      <c r="E123" s="388">
        <f>E122*0.5</f>
        <v>2617.962617165731</v>
      </c>
      <c r="F123" s="387">
        <f t="shared" ref="F123:N123" si="15">AVERAGE(E122:F122)</f>
        <v>5174.1444642380184</v>
      </c>
      <c r="G123" s="387">
        <f t="shared" si="15"/>
        <v>5050.5829240511312</v>
      </c>
      <c r="H123" s="387">
        <f t="shared" si="15"/>
        <v>4927.0213838642449</v>
      </c>
      <c r="I123" s="387">
        <f t="shared" si="15"/>
        <v>4803.4598436773585</v>
      </c>
      <c r="J123" s="387">
        <f t="shared" si="15"/>
        <v>4679.8983034904713</v>
      </c>
      <c r="K123" s="387">
        <f t="shared" si="15"/>
        <v>4556.3367633035841</v>
      </c>
      <c r="L123" s="387">
        <f t="shared" si="15"/>
        <v>4432.7752231166978</v>
      </c>
      <c r="M123" s="387">
        <f t="shared" si="15"/>
        <v>4309.2136829298106</v>
      </c>
      <c r="N123" s="387">
        <f t="shared" si="15"/>
        <v>4185.6521427429243</v>
      </c>
    </row>
    <row r="126" spans="2:14" x14ac:dyDescent="0.25">
      <c r="C126" t="s">
        <v>390</v>
      </c>
      <c r="D126" s="373" t="s">
        <v>399</v>
      </c>
      <c r="E126" s="387">
        <f t="shared" ref="E126:N126" si="16">-(E24+E50)</f>
        <v>61.780770093443394</v>
      </c>
      <c r="F126" s="387">
        <f t="shared" si="16"/>
        <v>123.56154018688679</v>
      </c>
      <c r="G126" s="387">
        <f t="shared" si="16"/>
        <v>123.56154018688679</v>
      </c>
      <c r="H126" s="387">
        <f t="shared" si="16"/>
        <v>123.56154018688679</v>
      </c>
      <c r="I126" s="387">
        <f t="shared" si="16"/>
        <v>123.56154018688679</v>
      </c>
      <c r="J126" s="387">
        <f t="shared" si="16"/>
        <v>123.56154018688679</v>
      </c>
      <c r="K126" s="387">
        <f t="shared" si="16"/>
        <v>123.56154018688679</v>
      </c>
      <c r="L126" s="387">
        <f t="shared" si="16"/>
        <v>123.56154018688679</v>
      </c>
      <c r="M126" s="387">
        <f t="shared" si="16"/>
        <v>123.56154018688679</v>
      </c>
      <c r="N126" s="387">
        <f t="shared" si="16"/>
        <v>123.56154018688679</v>
      </c>
    </row>
    <row r="127" spans="2:14" x14ac:dyDescent="0.25">
      <c r="C127" t="s">
        <v>409</v>
      </c>
      <c r="D127" s="373" t="s">
        <v>399</v>
      </c>
      <c r="E127" s="389">
        <f t="shared" ref="E127:N127" si="17">E118*E123</f>
        <v>143.02453370099821</v>
      </c>
      <c r="F127" s="389">
        <f t="shared" si="17"/>
        <v>282.67386037025136</v>
      </c>
      <c r="G127" s="389">
        <f t="shared" si="17"/>
        <v>275.92344630676138</v>
      </c>
      <c r="H127" s="389">
        <f t="shared" si="17"/>
        <v>269.17303224327139</v>
      </c>
      <c r="I127" s="389">
        <f t="shared" si="17"/>
        <v>262.42261817978141</v>
      </c>
      <c r="J127" s="389">
        <f t="shared" si="17"/>
        <v>255.6722041162914</v>
      </c>
      <c r="K127" s="389">
        <f t="shared" si="17"/>
        <v>248.92179005280138</v>
      </c>
      <c r="L127" s="389">
        <f t="shared" si="17"/>
        <v>242.1713759893114</v>
      </c>
      <c r="M127" s="389">
        <f t="shared" si="17"/>
        <v>235.42096192582139</v>
      </c>
      <c r="N127" s="389">
        <f t="shared" si="17"/>
        <v>228.6705478623314</v>
      </c>
    </row>
    <row r="128" spans="2:14" ht="15.75" thickBot="1" x14ac:dyDescent="0.3">
      <c r="C128" t="s">
        <v>125</v>
      </c>
      <c r="D128" s="373" t="s">
        <v>399</v>
      </c>
      <c r="E128" s="412">
        <f t="shared" ref="E128:N128" si="18">SUM(E126:E127)</f>
        <v>204.80530379444161</v>
      </c>
      <c r="F128" s="412">
        <f t="shared" si="18"/>
        <v>406.23540055713818</v>
      </c>
      <c r="G128" s="412">
        <f t="shared" si="18"/>
        <v>399.48498649364819</v>
      </c>
      <c r="H128" s="412">
        <f t="shared" si="18"/>
        <v>392.73457243015821</v>
      </c>
      <c r="I128" s="412">
        <f t="shared" si="18"/>
        <v>385.98415836666823</v>
      </c>
      <c r="J128" s="412">
        <f t="shared" si="18"/>
        <v>379.23374430317818</v>
      </c>
      <c r="K128" s="385">
        <f t="shared" si="18"/>
        <v>372.48333023968814</v>
      </c>
      <c r="L128" s="385">
        <f t="shared" si="18"/>
        <v>365.73291617619816</v>
      </c>
      <c r="M128" s="385">
        <f t="shared" si="18"/>
        <v>358.98250211270818</v>
      </c>
      <c r="N128" s="385">
        <f t="shared" si="18"/>
        <v>352.23208804921819</v>
      </c>
    </row>
    <row r="129" spans="3:14" ht="15.75" thickTop="1" x14ac:dyDescent="0.25"/>
    <row r="130" spans="3:14" x14ac:dyDescent="0.25">
      <c r="C130" s="315" t="s">
        <v>410</v>
      </c>
    </row>
    <row r="132" spans="3:14" x14ac:dyDescent="0.25">
      <c r="C132" t="s">
        <v>407</v>
      </c>
      <c r="D132" s="373" t="s">
        <v>399</v>
      </c>
      <c r="E132" s="387">
        <f t="shared" ref="E132:N132" si="19">E84+E114</f>
        <v>3970.0657894736842</v>
      </c>
      <c r="F132" s="387">
        <f t="shared" si="19"/>
        <v>9004.3052115583087</v>
      </c>
      <c r="G132" s="387">
        <f t="shared" si="19"/>
        <v>9046.3235294117658</v>
      </c>
      <c r="H132" s="387">
        <f t="shared" si="19"/>
        <v>8832.0128998968012</v>
      </c>
      <c r="I132" s="387">
        <f t="shared" si="19"/>
        <v>8617.7022703818366</v>
      </c>
      <c r="J132" s="387">
        <f t="shared" si="19"/>
        <v>8403.3916408668738</v>
      </c>
      <c r="K132" s="387">
        <f t="shared" si="19"/>
        <v>8189.0810113519092</v>
      </c>
      <c r="L132" s="387">
        <f t="shared" si="19"/>
        <v>7974.7703818369455</v>
      </c>
      <c r="M132" s="387">
        <f t="shared" si="19"/>
        <v>7760.4597523219818</v>
      </c>
      <c r="N132" s="387">
        <f t="shared" si="19"/>
        <v>7546.1491228070181</v>
      </c>
    </row>
    <row r="133" spans="3:14" x14ac:dyDescent="0.25">
      <c r="C133" t="s">
        <v>408</v>
      </c>
      <c r="D133" s="373" t="s">
        <v>399</v>
      </c>
      <c r="E133" s="388">
        <f>E132*0.5</f>
        <v>1985.0328947368421</v>
      </c>
      <c r="F133" s="387">
        <f t="shared" ref="F133:N133" si="20">AVERAGE(E132:F132)</f>
        <v>6487.185500515996</v>
      </c>
      <c r="G133" s="387">
        <f t="shared" si="20"/>
        <v>9025.3143704850372</v>
      </c>
      <c r="H133" s="387">
        <f t="shared" si="20"/>
        <v>8939.1682146542844</v>
      </c>
      <c r="I133" s="387">
        <f t="shared" si="20"/>
        <v>8724.857585139318</v>
      </c>
      <c r="J133" s="387">
        <f t="shared" si="20"/>
        <v>8510.5469556243552</v>
      </c>
      <c r="K133" s="387">
        <f t="shared" si="20"/>
        <v>8296.2363261093924</v>
      </c>
      <c r="L133" s="387">
        <f t="shared" si="20"/>
        <v>8081.9256965944278</v>
      </c>
      <c r="M133" s="387">
        <f t="shared" si="20"/>
        <v>7867.6150670794632</v>
      </c>
      <c r="N133" s="387">
        <f t="shared" si="20"/>
        <v>7653.3044375645004</v>
      </c>
    </row>
    <row r="136" spans="3:14" x14ac:dyDescent="0.25">
      <c r="C136" t="s">
        <v>390</v>
      </c>
      <c r="D136" s="373" t="s">
        <v>399</v>
      </c>
      <c r="E136" s="387">
        <f t="shared" ref="E136:N136" si="21">-(E80+E110)</f>
        <v>52.934210526315788</v>
      </c>
      <c r="F136" s="387">
        <f t="shared" si="21"/>
        <v>156.76057791537667</v>
      </c>
      <c r="G136" s="387">
        <f t="shared" si="21"/>
        <v>210.98168214654282</v>
      </c>
      <c r="H136" s="387">
        <f t="shared" si="21"/>
        <v>214.31062951496386</v>
      </c>
      <c r="I136" s="387">
        <f t="shared" si="21"/>
        <v>214.31062951496386</v>
      </c>
      <c r="J136" s="387">
        <f t="shared" si="21"/>
        <v>214.31062951496386</v>
      </c>
      <c r="K136" s="387">
        <f t="shared" si="21"/>
        <v>214.31062951496386</v>
      </c>
      <c r="L136" s="387">
        <f t="shared" si="21"/>
        <v>214.31062951496386</v>
      </c>
      <c r="M136" s="387">
        <f t="shared" si="21"/>
        <v>214.31062951496386</v>
      </c>
      <c r="N136" s="387">
        <f t="shared" si="21"/>
        <v>214.31062951496386</v>
      </c>
    </row>
    <row r="137" spans="3:14" x14ac:dyDescent="0.25">
      <c r="C137" t="s">
        <v>409</v>
      </c>
      <c r="D137" s="373" t="s">
        <v>399</v>
      </c>
      <c r="E137" s="389">
        <f t="shared" ref="E137:N137" si="22">E118*E133</f>
        <v>108.44631710526315</v>
      </c>
      <c r="F137" s="389">
        <f t="shared" si="22"/>
        <v>354.40791826418985</v>
      </c>
      <c r="G137" s="389">
        <f t="shared" si="22"/>
        <v>493.07097468833848</v>
      </c>
      <c r="H137" s="389">
        <f t="shared" si="22"/>
        <v>488.3646379029928</v>
      </c>
      <c r="I137" s="389">
        <f t="shared" si="22"/>
        <v>476.65641959133114</v>
      </c>
      <c r="J137" s="389">
        <f t="shared" si="22"/>
        <v>464.94820127966972</v>
      </c>
      <c r="K137" s="389">
        <f t="shared" si="22"/>
        <v>453.23998296800829</v>
      </c>
      <c r="L137" s="389">
        <f t="shared" si="22"/>
        <v>441.5317646563467</v>
      </c>
      <c r="M137" s="389">
        <f t="shared" si="22"/>
        <v>429.82354634468516</v>
      </c>
      <c r="N137" s="389">
        <f t="shared" si="22"/>
        <v>418.11532803302373</v>
      </c>
    </row>
    <row r="138" spans="3:14" ht="15.75" thickBot="1" x14ac:dyDescent="0.3">
      <c r="C138" t="s">
        <v>125</v>
      </c>
      <c r="D138" s="373" t="s">
        <v>399</v>
      </c>
      <c r="E138" s="385">
        <f t="shared" ref="E138:N138" si="23">SUM(E136:E137)</f>
        <v>161.38052763157893</v>
      </c>
      <c r="F138" s="385">
        <f t="shared" si="23"/>
        <v>511.16849617956655</v>
      </c>
      <c r="G138" s="385">
        <f t="shared" si="23"/>
        <v>704.0526568348813</v>
      </c>
      <c r="H138" s="385">
        <f t="shared" si="23"/>
        <v>702.67526741795666</v>
      </c>
      <c r="I138" s="385">
        <f t="shared" si="23"/>
        <v>690.96704910629501</v>
      </c>
      <c r="J138" s="385">
        <f t="shared" si="23"/>
        <v>679.25883079463358</v>
      </c>
      <c r="K138" s="385">
        <f t="shared" si="23"/>
        <v>667.55061248297216</v>
      </c>
      <c r="L138" s="385">
        <f t="shared" si="23"/>
        <v>655.84239417131062</v>
      </c>
      <c r="M138" s="385">
        <f t="shared" si="23"/>
        <v>644.13417585964908</v>
      </c>
      <c r="N138" s="385">
        <f t="shared" si="23"/>
        <v>632.42595754798754</v>
      </c>
    </row>
    <row r="139" spans="3:14" ht="15.75" thickTop="1" x14ac:dyDescent="0.25"/>
    <row r="140" spans="3:14" x14ac:dyDescent="0.25">
      <c r="C140" t="s">
        <v>411</v>
      </c>
      <c r="D140" s="373" t="s">
        <v>399</v>
      </c>
      <c r="E140" s="387">
        <f t="shared" ref="E140:N140" si="24">E138-E128</f>
        <v>-43.424776162862685</v>
      </c>
      <c r="F140" s="387">
        <f t="shared" si="24"/>
        <v>104.93309562242837</v>
      </c>
      <c r="G140" s="387">
        <f t="shared" si="24"/>
        <v>304.56767034123311</v>
      </c>
      <c r="H140" s="387">
        <f t="shared" si="24"/>
        <v>309.94069498779845</v>
      </c>
      <c r="I140" s="387">
        <f t="shared" si="24"/>
        <v>304.98289073962678</v>
      </c>
      <c r="J140" s="387">
        <f t="shared" si="24"/>
        <v>300.0250864914554</v>
      </c>
      <c r="K140" s="387">
        <f t="shared" si="24"/>
        <v>295.06728224328401</v>
      </c>
      <c r="L140" s="387">
        <f t="shared" si="24"/>
        <v>290.10947799511246</v>
      </c>
      <c r="M140" s="387">
        <f t="shared" si="24"/>
        <v>285.1516737469409</v>
      </c>
      <c r="N140" s="387">
        <f t="shared" si="24"/>
        <v>280.19386949876935</v>
      </c>
    </row>
    <row r="142" spans="3:14" x14ac:dyDescent="0.25">
      <c r="C142" t="s">
        <v>412</v>
      </c>
    </row>
    <row r="143" spans="3:14" x14ac:dyDescent="0.25">
      <c r="C143" t="s">
        <v>413</v>
      </c>
    </row>
    <row r="144" spans="3:14" ht="126.75" customHeight="1" x14ac:dyDescent="0.25">
      <c r="C144" s="538" t="s">
        <v>416</v>
      </c>
      <c r="D144" s="538"/>
      <c r="E144" s="538"/>
      <c r="F144" s="538"/>
      <c r="G144" s="538"/>
      <c r="H144" s="538"/>
      <c r="I144" s="538"/>
      <c r="J144" s="538"/>
      <c r="K144" s="538"/>
      <c r="L144" s="538"/>
      <c r="M144" s="538"/>
      <c r="N144" s="538"/>
    </row>
    <row r="145" spans="3:14" x14ac:dyDescent="0.25">
      <c r="C145" s="390" t="s">
        <v>415</v>
      </c>
    </row>
    <row r="146" spans="3:14" ht="117.75" customHeight="1" x14ac:dyDescent="0.25">
      <c r="C146" s="538" t="s">
        <v>414</v>
      </c>
      <c r="D146" s="538"/>
      <c r="E146" s="538"/>
      <c r="F146" s="538"/>
      <c r="G146" s="538"/>
      <c r="H146" s="538"/>
      <c r="I146" s="538"/>
      <c r="J146" s="538"/>
      <c r="K146" s="538"/>
      <c r="L146" s="538"/>
      <c r="M146" s="538"/>
      <c r="N146" s="538"/>
    </row>
  </sheetData>
  <sheetProtection sheet="1" objects="1" scenarios="1"/>
  <mergeCells count="2">
    <mergeCell ref="C146:N146"/>
    <mergeCell ref="C144:N14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S47"/>
  <sheetViews>
    <sheetView showGridLines="0" topLeftCell="A24" workbookViewId="0">
      <selection activeCell="H52" sqref="H51:H52"/>
    </sheetView>
  </sheetViews>
  <sheetFormatPr defaultRowHeight="15" x14ac:dyDescent="0.25"/>
  <cols>
    <col min="1" max="1" width="43.28515625" bestFit="1" customWidth="1"/>
    <col min="2" max="2" width="34.85546875" bestFit="1" customWidth="1"/>
    <col min="3" max="3" width="24.5703125" bestFit="1" customWidth="1"/>
    <col min="4" max="4" width="10.7109375" customWidth="1"/>
    <col min="9" max="9" width="16.5703125" customWidth="1"/>
    <col min="11" max="11" width="11.7109375" bestFit="1" customWidth="1"/>
    <col min="12" max="14" width="10.7109375" bestFit="1" customWidth="1"/>
    <col min="15" max="15" width="11.7109375" bestFit="1" customWidth="1"/>
  </cols>
  <sheetData>
    <row r="1" spans="1:19" s="415" customFormat="1" ht="15.75" hidden="1" x14ac:dyDescent="0.25">
      <c r="A1" s="413" t="s">
        <v>454</v>
      </c>
      <c r="B1" s="414"/>
    </row>
    <row r="2" spans="1:19" s="415" customFormat="1" ht="14.25" hidden="1" x14ac:dyDescent="0.2">
      <c r="B2" s="414"/>
    </row>
    <row r="3" spans="1:19" s="415" customFormat="1" hidden="1" x14ac:dyDescent="0.25">
      <c r="A3" s="416" t="s">
        <v>126</v>
      </c>
      <c r="B3" s="414"/>
    </row>
    <row r="4" spans="1:19" s="415" customFormat="1" ht="14.25" hidden="1" x14ac:dyDescent="0.2">
      <c r="A4" s="99" t="s">
        <v>121</v>
      </c>
      <c r="B4" s="414" t="s">
        <v>103</v>
      </c>
      <c r="F4" s="422">
        <f>G4/$G$8</f>
        <v>0.38892904229851188</v>
      </c>
      <c r="G4" s="417">
        <v>1407.6521553052212</v>
      </c>
      <c r="H4" s="418"/>
      <c r="I4" s="415">
        <v>16.200097363516576</v>
      </c>
      <c r="J4" s="415">
        <v>59.025417647798413</v>
      </c>
      <c r="K4" s="415">
        <v>103.80288260217046</v>
      </c>
      <c r="L4" s="415">
        <v>133.33814425195217</v>
      </c>
      <c r="M4" s="415">
        <v>154.36132609752789</v>
      </c>
      <c r="N4" s="415">
        <v>194.22535665862594</v>
      </c>
      <c r="O4" s="415">
        <v>192.00019259744485</v>
      </c>
      <c r="P4" s="415">
        <v>188.43756110006109</v>
      </c>
      <c r="Q4" s="415">
        <v>184.89613567020672</v>
      </c>
      <c r="R4" s="415">
        <v>181.36504131591713</v>
      </c>
    </row>
    <row r="5" spans="1:19" s="415" customFormat="1" ht="14.25" hidden="1" x14ac:dyDescent="0.2">
      <c r="A5" s="99" t="s">
        <v>122</v>
      </c>
      <c r="B5" s="414" t="s">
        <v>103</v>
      </c>
      <c r="F5" s="422">
        <f t="shared" ref="F5:F8" si="0">G5/$G$8</f>
        <v>0.22789878829235519</v>
      </c>
      <c r="G5" s="417">
        <v>824.8348301152555</v>
      </c>
      <c r="H5" s="418"/>
      <c r="I5" s="415">
        <v>7.2299474622083819</v>
      </c>
      <c r="J5" s="415">
        <v>25.846193380540857</v>
      </c>
      <c r="K5" s="415">
        <v>51.197523747832108</v>
      </c>
      <c r="L5" s="415">
        <v>77.210144600136204</v>
      </c>
      <c r="M5" s="415">
        <v>93.498377343310949</v>
      </c>
      <c r="N5" s="415">
        <v>117.63376355612058</v>
      </c>
      <c r="O5" s="415">
        <v>116.27935515672048</v>
      </c>
      <c r="P5" s="415">
        <v>114.12220101738055</v>
      </c>
      <c r="Q5" s="415">
        <v>111.97777472464783</v>
      </c>
      <c r="R5" s="415">
        <v>109.83954912635754</v>
      </c>
    </row>
    <row r="6" spans="1:19" s="415" customFormat="1" ht="14.25" hidden="1" x14ac:dyDescent="0.2">
      <c r="A6" s="99" t="s">
        <v>123</v>
      </c>
      <c r="B6" s="414" t="s">
        <v>103</v>
      </c>
      <c r="F6" s="422">
        <f t="shared" si="0"/>
        <v>5.6088869871510644E-4</v>
      </c>
      <c r="G6" s="417">
        <v>2.0300263023985581</v>
      </c>
      <c r="H6" s="418"/>
      <c r="I6" s="415">
        <v>5.9432492415483422E-2</v>
      </c>
      <c r="J6" s="415">
        <v>0.11886498483096684</v>
      </c>
      <c r="K6" s="415">
        <v>0.26150296662812705</v>
      </c>
      <c r="L6" s="415">
        <v>0.43980044387457734</v>
      </c>
      <c r="M6" s="415">
        <v>0.47545993932386738</v>
      </c>
      <c r="N6" s="415">
        <v>0.13754099346787968</v>
      </c>
      <c r="O6" s="415">
        <v>0.13840363944880901</v>
      </c>
      <c r="P6" s="415">
        <v>0.13567217340174692</v>
      </c>
      <c r="Q6" s="415">
        <v>0.13299769340182965</v>
      </c>
      <c r="R6" s="415">
        <v>0.13035097560527087</v>
      </c>
    </row>
    <row r="7" spans="1:19" s="415" customFormat="1" ht="14.25" hidden="1" x14ac:dyDescent="0.2">
      <c r="A7" s="99" t="s">
        <v>124</v>
      </c>
      <c r="B7" s="414" t="s">
        <v>103</v>
      </c>
      <c r="F7" s="422">
        <f t="shared" si="0"/>
        <v>0.382611280710418</v>
      </c>
      <c r="G7" s="417">
        <v>1384.7862601187178</v>
      </c>
      <c r="H7" s="418"/>
      <c r="I7" s="419">
        <v>25.495914664018663</v>
      </c>
      <c r="J7" s="419">
        <v>152.97548798411196</v>
      </c>
      <c r="K7" s="419">
        <v>152.97548798411196</v>
      </c>
      <c r="L7" s="419">
        <v>152.97548798411196</v>
      </c>
      <c r="M7" s="419">
        <v>152.97548798411196</v>
      </c>
      <c r="N7" s="419">
        <v>154.93693597643926</v>
      </c>
      <c r="O7" s="419">
        <v>152.26671375182494</v>
      </c>
      <c r="P7" s="419">
        <v>149.49748084091033</v>
      </c>
      <c r="Q7" s="419">
        <v>146.72824792999569</v>
      </c>
      <c r="R7" s="419">
        <v>143.95901501908105</v>
      </c>
    </row>
    <row r="8" spans="1:19" s="415" customFormat="1" ht="14.25" hidden="1" x14ac:dyDescent="0.2">
      <c r="A8" s="415" t="s">
        <v>125</v>
      </c>
      <c r="B8" s="414" t="s">
        <v>103</v>
      </c>
      <c r="F8" s="422">
        <f t="shared" si="0"/>
        <v>1</v>
      </c>
      <c r="G8" s="417">
        <v>3619.3032718415925</v>
      </c>
      <c r="H8" s="418"/>
      <c r="I8" s="420">
        <v>48.985391982159101</v>
      </c>
      <c r="J8" s="420">
        <v>237.96596399728219</v>
      </c>
      <c r="K8" s="420">
        <v>308.2373973007426</v>
      </c>
      <c r="L8" s="420">
        <v>363.9635772800749</v>
      </c>
      <c r="M8" s="420">
        <v>401.31065136427469</v>
      </c>
      <c r="N8" s="420">
        <v>466.93359718465371</v>
      </c>
      <c r="O8" s="420">
        <v>460.68466514543911</v>
      </c>
      <c r="P8" s="420">
        <v>452.19291513175375</v>
      </c>
      <c r="Q8" s="420">
        <v>443.73515601825204</v>
      </c>
      <c r="R8" s="420">
        <v>435.29395643696097</v>
      </c>
    </row>
    <row r="9" spans="1:19" s="415" customFormat="1" ht="14.25" hidden="1" x14ac:dyDescent="0.2">
      <c r="B9" s="414"/>
    </row>
    <row r="10" spans="1:19" s="415" customFormat="1" hidden="1" x14ac:dyDescent="0.25">
      <c r="A10" s="416" t="s">
        <v>114</v>
      </c>
      <c r="B10" s="414"/>
    </row>
    <row r="11" spans="1:19" s="415" customFormat="1" ht="14.25" hidden="1" x14ac:dyDescent="0.2">
      <c r="A11" s="99" t="s">
        <v>121</v>
      </c>
      <c r="B11" s="414" t="s">
        <v>103</v>
      </c>
      <c r="F11" s="422">
        <f>G11/$G$15</f>
        <v>0.41834800557556145</v>
      </c>
      <c r="G11" s="417">
        <v>2621.5129981134169</v>
      </c>
      <c r="H11" s="418"/>
      <c r="I11" s="415">
        <v>29.655514630733837</v>
      </c>
      <c r="J11" s="415">
        <v>109.42277363510787</v>
      </c>
      <c r="K11" s="415">
        <v>194.87623223134878</v>
      </c>
      <c r="L11" s="415">
        <v>253.50391849888723</v>
      </c>
      <c r="M11" s="415">
        <v>297.20053106944192</v>
      </c>
      <c r="N11" s="415">
        <v>327.86557046535154</v>
      </c>
      <c r="O11" s="415">
        <v>341.90599007545052</v>
      </c>
      <c r="P11" s="415">
        <v>349.16408829461733</v>
      </c>
      <c r="Q11" s="415">
        <v>355.99772294601428</v>
      </c>
      <c r="R11" s="415">
        <v>361.92065626646348</v>
      </c>
    </row>
    <row r="12" spans="1:19" s="415" customFormat="1" ht="14.25" hidden="1" x14ac:dyDescent="0.2">
      <c r="A12" s="99" t="s">
        <v>122</v>
      </c>
      <c r="B12" s="414" t="s">
        <v>103</v>
      </c>
      <c r="F12" s="422">
        <f t="shared" ref="F12:F14" si="1">G12/$G$15</f>
        <v>0.25522261433544813</v>
      </c>
      <c r="G12" s="417">
        <v>1599.3129929527502</v>
      </c>
      <c r="H12" s="418"/>
      <c r="I12" s="415">
        <v>13.967776759951935</v>
      </c>
      <c r="J12" s="415">
        <v>50.56727412712641</v>
      </c>
      <c r="K12" s="415">
        <v>101.4384769723586</v>
      </c>
      <c r="L12" s="415">
        <v>154.92051770809371</v>
      </c>
      <c r="M12" s="415">
        <v>189.98506316820558</v>
      </c>
      <c r="N12" s="415">
        <v>207.27542061678724</v>
      </c>
      <c r="O12" s="415">
        <v>216.13723020778124</v>
      </c>
      <c r="P12" s="415">
        <v>218.88217303142005</v>
      </c>
      <c r="Q12" s="415">
        <v>221.66197662891904</v>
      </c>
      <c r="R12" s="415">
        <v>224.47708373210631</v>
      </c>
      <c r="S12" s="421"/>
    </row>
    <row r="13" spans="1:19" s="415" customFormat="1" ht="14.25" hidden="1" x14ac:dyDescent="0.2">
      <c r="A13" s="99" t="s">
        <v>123</v>
      </c>
      <c r="B13" s="414" t="s">
        <v>103</v>
      </c>
      <c r="F13" s="422">
        <f t="shared" si="1"/>
        <v>3.2944506842216524E-2</v>
      </c>
      <c r="G13" s="417">
        <v>206.44165085593551</v>
      </c>
      <c r="H13" s="418"/>
      <c r="I13" s="415">
        <v>3.0657089052990747</v>
      </c>
      <c r="J13" s="415">
        <v>6.2092868167927451</v>
      </c>
      <c r="K13" s="415">
        <v>13.833918470605228</v>
      </c>
      <c r="L13" s="415">
        <v>23.561615531896852</v>
      </c>
      <c r="M13" s="415">
        <v>25.79551140448859</v>
      </c>
      <c r="N13" s="415">
        <v>26.123114399325591</v>
      </c>
      <c r="O13" s="415">
        <v>26.454877952197023</v>
      </c>
      <c r="P13" s="415">
        <v>26.790854902189928</v>
      </c>
      <c r="Q13" s="415">
        <v>27.131098759447738</v>
      </c>
      <c r="R13" s="415">
        <v>27.475663713692722</v>
      </c>
    </row>
    <row r="14" spans="1:19" s="415" customFormat="1" ht="14.25" hidden="1" x14ac:dyDescent="0.2">
      <c r="A14" s="99" t="s">
        <v>124</v>
      </c>
      <c r="B14" s="414" t="s">
        <v>103</v>
      </c>
      <c r="F14" s="422">
        <f t="shared" si="1"/>
        <v>0.29348487324677397</v>
      </c>
      <c r="G14" s="417">
        <v>1839.0775137258859</v>
      </c>
      <c r="H14" s="418"/>
      <c r="I14" s="419">
        <v>32.835808250671377</v>
      </c>
      <c r="J14" s="419">
        <v>203.10353677316959</v>
      </c>
      <c r="K14" s="419">
        <v>199.41612042059307</v>
      </c>
      <c r="L14" s="419">
        <v>194.45758071105931</v>
      </c>
      <c r="M14" s="419">
        <v>195.283182528955</v>
      </c>
      <c r="N14" s="419">
        <v>197.79801431755834</v>
      </c>
      <c r="O14" s="419">
        <v>200.4188908574084</v>
      </c>
      <c r="P14" s="419">
        <v>202.68267661955463</v>
      </c>
      <c r="Q14" s="419">
        <v>205.23386415553293</v>
      </c>
      <c r="R14" s="419">
        <v>207.84783909138309</v>
      </c>
    </row>
    <row r="15" spans="1:19" s="415" customFormat="1" ht="14.25" hidden="1" x14ac:dyDescent="0.2">
      <c r="A15" s="415" t="s">
        <v>125</v>
      </c>
      <c r="B15" s="414" t="s">
        <v>103</v>
      </c>
      <c r="F15" s="422">
        <f>G15/$G$15</f>
        <v>1</v>
      </c>
      <c r="G15" s="417">
        <v>6266.3451556479877</v>
      </c>
      <c r="H15" s="418"/>
      <c r="I15" s="420">
        <v>79.524808546656232</v>
      </c>
      <c r="J15" s="420">
        <v>369.30287135219658</v>
      </c>
      <c r="K15" s="420">
        <v>509.56474809490567</v>
      </c>
      <c r="L15" s="420">
        <v>626.44363244993713</v>
      </c>
      <c r="M15" s="420">
        <v>708.26428817109104</v>
      </c>
      <c r="N15" s="420">
        <v>759.06211979902264</v>
      </c>
      <c r="O15" s="420">
        <v>784.9169890928373</v>
      </c>
      <c r="P15" s="420">
        <v>797.51979284778201</v>
      </c>
      <c r="Q15" s="420">
        <v>810.02466248991391</v>
      </c>
      <c r="R15" s="420">
        <v>821.72124280364562</v>
      </c>
    </row>
    <row r="16" spans="1:19" hidden="1" x14ac:dyDescent="0.25"/>
    <row r="17" spans="1:18" s="415" customFormat="1" ht="14.25" hidden="1" customHeight="1" x14ac:dyDescent="0.25">
      <c r="A17" s="423" t="s">
        <v>128</v>
      </c>
    </row>
    <row r="18" spans="1:18" s="415" customFormat="1" ht="14.25" hidden="1" customHeight="1" x14ac:dyDescent="0.2">
      <c r="A18" s="99" t="s">
        <v>121</v>
      </c>
      <c r="B18" s="414" t="s">
        <v>103</v>
      </c>
      <c r="F18" s="422">
        <f>G18/$G$15</f>
        <v>0.26804186996779833</v>
      </c>
      <c r="G18" s="417">
        <f>SUM(I18:R18)</f>
        <v>1679.642873383541</v>
      </c>
      <c r="H18" s="424"/>
      <c r="I18" s="415">
        <v>77.963533616728228</v>
      </c>
      <c r="J18" s="415">
        <v>158.84029754558989</v>
      </c>
      <c r="K18" s="415">
        <v>164.44077666479265</v>
      </c>
      <c r="L18" s="415">
        <v>168.20400929644654</v>
      </c>
      <c r="M18" s="415">
        <v>169.1661430528963</v>
      </c>
      <c r="N18" s="415">
        <v>194.27930188970126</v>
      </c>
      <c r="O18" s="415">
        <v>192.01186685403519</v>
      </c>
      <c r="P18" s="415">
        <v>188.45008187989112</v>
      </c>
      <c r="Q18" s="415">
        <v>184.90900516918146</v>
      </c>
      <c r="R18" s="415">
        <v>181.37785741427831</v>
      </c>
    </row>
    <row r="19" spans="1:18" s="415" customFormat="1" ht="14.25" hidden="1" customHeight="1" x14ac:dyDescent="0.2">
      <c r="A19" s="99" t="s">
        <v>122</v>
      </c>
      <c r="B19" s="414" t="s">
        <v>103</v>
      </c>
      <c r="F19" s="422">
        <f t="shared" ref="F19:F21" si="2">G19/$G$15</f>
        <v>0.16247213459220672</v>
      </c>
      <c r="G19" s="417">
        <f t="shared" ref="G19:G22" si="3">SUM(I19:R19)</f>
        <v>1018.1064735296625</v>
      </c>
      <c r="H19" s="424"/>
      <c r="I19" s="415">
        <v>47.365767934220251</v>
      </c>
      <c r="J19" s="415">
        <v>96.468955048407878</v>
      </c>
      <c r="K19" s="415">
        <v>99.808249427733614</v>
      </c>
      <c r="L19" s="415">
        <v>102.04556113723092</v>
      </c>
      <c r="M19" s="415">
        <v>102.60277034667175</v>
      </c>
      <c r="N19" s="415">
        <v>117.64579366843097</v>
      </c>
      <c r="O19" s="415">
        <v>116.26590360238026</v>
      </c>
      <c r="P19" s="415">
        <v>114.10966087458124</v>
      </c>
      <c r="Q19" s="415">
        <v>111.965838988287</v>
      </c>
      <c r="R19" s="415">
        <v>109.82797250171859</v>
      </c>
    </row>
    <row r="20" spans="1:18" s="415" customFormat="1" ht="14.25" hidden="1" customHeight="1" x14ac:dyDescent="0.2">
      <c r="A20" s="99" t="s">
        <v>123</v>
      </c>
      <c r="B20" s="414" t="s">
        <v>103</v>
      </c>
      <c r="F20" s="422">
        <f t="shared" si="2"/>
        <v>1.4232761762991947E-4</v>
      </c>
      <c r="G20" s="417">
        <f t="shared" si="3"/>
        <v>0.89187397725016493</v>
      </c>
      <c r="H20" s="424"/>
      <c r="I20" s="415">
        <v>2.0196464211572479E-3</v>
      </c>
      <c r="J20" s="415">
        <v>1.5891858717750243E-2</v>
      </c>
      <c r="K20" s="415">
        <v>3.8957177687977081E-2</v>
      </c>
      <c r="L20" s="415">
        <v>5.6820771040901961E-2</v>
      </c>
      <c r="M20" s="415">
        <v>6.675372042499049E-2</v>
      </c>
      <c r="N20" s="415">
        <v>0.14506454218274678</v>
      </c>
      <c r="O20" s="415">
        <v>0.14585373713179473</v>
      </c>
      <c r="P20" s="415">
        <v>0.14297828867106416</v>
      </c>
      <c r="Q20" s="415">
        <v>0.14016147072351029</v>
      </c>
      <c r="R20" s="415">
        <v>0.13737276424827197</v>
      </c>
    </row>
    <row r="21" spans="1:18" s="415" customFormat="1" ht="14.25" hidden="1" customHeight="1" x14ac:dyDescent="0.2">
      <c r="A21" s="99" t="s">
        <v>124</v>
      </c>
      <c r="B21" s="414" t="s">
        <v>103</v>
      </c>
      <c r="F21" s="422">
        <f t="shared" si="2"/>
        <v>0.23278067061063376</v>
      </c>
      <c r="G21" s="417">
        <f t="shared" si="3"/>
        <v>1458.6840276094347</v>
      </c>
      <c r="H21" s="424"/>
      <c r="I21" s="415">
        <v>80.617201161966065</v>
      </c>
      <c r="J21" s="415">
        <v>160.92866942432707</v>
      </c>
      <c r="K21" s="415">
        <v>159.42782085709848</v>
      </c>
      <c r="L21" s="415">
        <v>157.00967373850094</v>
      </c>
      <c r="M21" s="415">
        <v>154.51863330014706</v>
      </c>
      <c r="N21" s="415">
        <v>154.72730231147619</v>
      </c>
      <c r="O21" s="415">
        <v>152.00988457143717</v>
      </c>
      <c r="P21" s="415">
        <v>149.24574932646559</v>
      </c>
      <c r="Q21" s="415">
        <v>146.48161408149394</v>
      </c>
      <c r="R21" s="415">
        <v>143.71747883652233</v>
      </c>
    </row>
    <row r="22" spans="1:18" s="415" customFormat="1" ht="14.25" hidden="1" customHeight="1" x14ac:dyDescent="0.2">
      <c r="A22" s="415" t="s">
        <v>125</v>
      </c>
      <c r="B22" s="414" t="s">
        <v>103</v>
      </c>
      <c r="F22" s="422">
        <f>G22/$G$15</f>
        <v>0.66343700278826878</v>
      </c>
      <c r="G22" s="417">
        <f t="shared" si="3"/>
        <v>4157.3252484998884</v>
      </c>
      <c r="H22" s="424"/>
      <c r="I22" s="420">
        <v>205.9485223593357</v>
      </c>
      <c r="J22" s="420">
        <v>416.2538138770426</v>
      </c>
      <c r="K22" s="420">
        <v>423.71580412731271</v>
      </c>
      <c r="L22" s="420">
        <v>427.31606494321932</v>
      </c>
      <c r="M22" s="420">
        <v>426.35430042014013</v>
      </c>
      <c r="N22" s="420">
        <v>466.79746241179117</v>
      </c>
      <c r="O22" s="420">
        <v>460.43350876498442</v>
      </c>
      <c r="P22" s="420">
        <v>451.94847036960903</v>
      </c>
      <c r="Q22" s="420">
        <v>443.49661970968594</v>
      </c>
      <c r="R22" s="420">
        <v>435.06068151676749</v>
      </c>
    </row>
    <row r="23" spans="1:18" hidden="1" x14ac:dyDescent="0.25"/>
    <row r="25" spans="1:18" x14ac:dyDescent="0.25">
      <c r="A25" s="426" t="s">
        <v>456</v>
      </c>
      <c r="B25" s="427"/>
      <c r="C25" s="427"/>
      <c r="D25" s="427"/>
      <c r="E25" s="427"/>
      <c r="F25" s="427"/>
    </row>
    <row r="26" spans="1:18" x14ac:dyDescent="0.25">
      <c r="A26" s="428" t="s">
        <v>358</v>
      </c>
      <c r="B26" s="427"/>
      <c r="C26" s="427"/>
      <c r="D26" s="427"/>
      <c r="E26" s="427"/>
      <c r="F26" s="427"/>
    </row>
    <row r="27" spans="1:18" x14ac:dyDescent="0.25">
      <c r="A27" s="425"/>
      <c r="B27" s="425"/>
      <c r="C27" s="425"/>
      <c r="D27" s="425"/>
      <c r="E27" s="425"/>
      <c r="F27" s="425"/>
    </row>
    <row r="28" spans="1:18" x14ac:dyDescent="0.25">
      <c r="A28" s="425"/>
      <c r="B28" s="429" t="s">
        <v>359</v>
      </c>
      <c r="C28" s="429" t="s">
        <v>360</v>
      </c>
      <c r="D28" s="429" t="s">
        <v>361</v>
      </c>
      <c r="E28" s="429" t="s">
        <v>362</v>
      </c>
      <c r="F28" s="429" t="s">
        <v>363</v>
      </c>
    </row>
    <row r="29" spans="1:18" x14ac:dyDescent="0.25">
      <c r="A29" s="425"/>
      <c r="B29" s="429"/>
      <c r="C29" s="429"/>
      <c r="D29" s="429"/>
      <c r="E29" s="429"/>
      <c r="F29" s="429"/>
    </row>
    <row r="30" spans="1:18" ht="23.25" customHeight="1" x14ac:dyDescent="0.25">
      <c r="A30" s="430" t="s">
        <v>455</v>
      </c>
      <c r="B30" s="430" t="s">
        <v>343</v>
      </c>
      <c r="C30" s="430" t="s">
        <v>121</v>
      </c>
      <c r="D30" s="430" t="s">
        <v>122</v>
      </c>
      <c r="E30" s="430" t="s">
        <v>123</v>
      </c>
      <c r="F30" s="430" t="s">
        <v>124</v>
      </c>
    </row>
    <row r="31" spans="1:18" x14ac:dyDescent="0.25">
      <c r="A31" s="431" t="s">
        <v>457</v>
      </c>
      <c r="B31" s="432">
        <v>203.18777558706185</v>
      </c>
      <c r="C31" s="432">
        <v>144.16455413060487</v>
      </c>
      <c r="D31" s="432">
        <v>42.767388711033831</v>
      </c>
      <c r="E31" s="432">
        <v>16.255832745423167</v>
      </c>
      <c r="F31" s="432">
        <v>0</v>
      </c>
      <c r="I31" s="437"/>
      <c r="J31" s="438" t="s">
        <v>440</v>
      </c>
      <c r="K31" s="438" t="s">
        <v>125</v>
      </c>
      <c r="L31" s="438" t="s">
        <v>441</v>
      </c>
      <c r="M31" s="438" t="s">
        <v>442</v>
      </c>
      <c r="N31" s="438" t="s">
        <v>443</v>
      </c>
      <c r="O31" s="438" t="s">
        <v>444</v>
      </c>
      <c r="Q31" s="405" t="s">
        <v>91</v>
      </c>
      <c r="R31" s="402" t="s">
        <v>446</v>
      </c>
    </row>
    <row r="32" spans="1:18" x14ac:dyDescent="0.25">
      <c r="A32" s="431" t="s">
        <v>458</v>
      </c>
      <c r="B32" s="432">
        <v>31.29217637414585</v>
      </c>
      <c r="C32" s="432">
        <v>19.465042918515458</v>
      </c>
      <c r="D32" s="432">
        <v>11.827133455630388</v>
      </c>
      <c r="E32" s="432">
        <v>0</v>
      </c>
      <c r="F32" s="432">
        <v>0</v>
      </c>
      <c r="I32" s="437" t="s">
        <v>471</v>
      </c>
      <c r="J32" s="439" t="s">
        <v>445</v>
      </c>
      <c r="K32" s="440">
        <f>SUM(L32:O32)</f>
        <v>4185.6521427429243</v>
      </c>
      <c r="L32" s="441">
        <f>C35</f>
        <v>1578.7796557271608</v>
      </c>
      <c r="M32" s="441">
        <f t="shared" ref="M32:O32" si="4">D35</f>
        <v>959.28058127001668</v>
      </c>
      <c r="N32" s="442">
        <f t="shared" si="4"/>
        <v>0</v>
      </c>
      <c r="O32" s="441">
        <f t="shared" si="4"/>
        <v>1647.5919057457468</v>
      </c>
      <c r="Q32" s="406">
        <f>1-R32</f>
        <v>0.60637151641893161</v>
      </c>
      <c r="R32" s="407">
        <f>O33</f>
        <v>0.39362848358106833</v>
      </c>
    </row>
    <row r="33" spans="1:15" x14ac:dyDescent="0.25">
      <c r="A33" s="431" t="s">
        <v>459</v>
      </c>
      <c r="B33" s="432">
        <v>7.1632882923069774</v>
      </c>
      <c r="C33" s="432">
        <v>4.0987316703162824</v>
      </c>
      <c r="D33" s="432">
        <v>2.9372195581902294</v>
      </c>
      <c r="E33" s="432">
        <v>0.12733706380046583</v>
      </c>
      <c r="F33" s="432">
        <v>0</v>
      </c>
      <c r="I33" s="437" t="s">
        <v>353</v>
      </c>
      <c r="J33" s="439" t="s">
        <v>405</v>
      </c>
      <c r="K33" s="443">
        <f>K32/$K$32</f>
        <v>1</v>
      </c>
      <c r="L33" s="443">
        <f>L32/$K$32</f>
        <v>0.37718845281121749</v>
      </c>
      <c r="M33" s="443">
        <f>M32/$K$32</f>
        <v>0.22918306360771415</v>
      </c>
      <c r="N33" s="443">
        <f>N32/$K$32</f>
        <v>0</v>
      </c>
      <c r="O33" s="443">
        <f>O32/$K$32</f>
        <v>0.39362848358106833</v>
      </c>
    </row>
    <row r="34" spans="1:15" x14ac:dyDescent="0.25">
      <c r="A34" s="431" t="s">
        <v>460</v>
      </c>
      <c r="B34" s="432">
        <v>10.744932438460465</v>
      </c>
      <c r="C34" s="432">
        <v>6.327719961932373</v>
      </c>
      <c r="D34" s="432">
        <v>4.1342546002134277</v>
      </c>
      <c r="E34" s="432">
        <v>0.28295787631466357</v>
      </c>
      <c r="F34" s="432">
        <v>0</v>
      </c>
      <c r="I34" s="403" t="s">
        <v>472</v>
      </c>
      <c r="J34" s="404"/>
      <c r="K34" s="404"/>
      <c r="L34" s="404"/>
      <c r="M34" s="404"/>
      <c r="N34" s="404"/>
      <c r="O34" s="404"/>
    </row>
    <row r="35" spans="1:15" x14ac:dyDescent="0.25">
      <c r="A35" s="435" t="s">
        <v>461</v>
      </c>
      <c r="B35" s="436">
        <v>4185.6521427429243</v>
      </c>
      <c r="C35" s="436">
        <v>1578.7796557271608</v>
      </c>
      <c r="D35" s="436">
        <v>959.28058127001668</v>
      </c>
      <c r="E35" s="436">
        <v>0</v>
      </c>
      <c r="F35" s="436">
        <v>1647.5919057457468</v>
      </c>
    </row>
    <row r="36" spans="1:15" x14ac:dyDescent="0.25">
      <c r="A36" s="431" t="s">
        <v>120</v>
      </c>
      <c r="B36" s="432">
        <v>123.45576775438929</v>
      </c>
      <c r="C36" s="432">
        <v>0</v>
      </c>
      <c r="D36" s="432">
        <v>0</v>
      </c>
      <c r="E36" s="432">
        <v>0</v>
      </c>
      <c r="F36" s="432">
        <v>123.45576775438929</v>
      </c>
    </row>
    <row r="37" spans="1:15" x14ac:dyDescent="0.25">
      <c r="A37" s="431" t="s">
        <v>462</v>
      </c>
      <c r="B37" s="432">
        <v>566.70604756203238</v>
      </c>
      <c r="C37" s="432">
        <v>168.84313293370872</v>
      </c>
      <c r="D37" s="432">
        <v>50.088455799078623</v>
      </c>
      <c r="E37" s="432">
        <v>19.03856149478387</v>
      </c>
      <c r="F37" s="432">
        <v>328.73589733446119</v>
      </c>
    </row>
    <row r="38" spans="1:15" x14ac:dyDescent="0.25">
      <c r="A38" s="431" t="s">
        <v>463</v>
      </c>
      <c r="B38" s="432">
        <v>19478.576618020721</v>
      </c>
      <c r="C38" s="432">
        <v>7412.2837573826964</v>
      </c>
      <c r="D38" s="432">
        <v>4503.7696334169004</v>
      </c>
      <c r="E38" s="432">
        <v>530.38368977246864</v>
      </c>
      <c r="F38" s="432">
        <v>7032.1395374486547</v>
      </c>
    </row>
    <row r="39" spans="1:15" x14ac:dyDescent="0.25">
      <c r="A39" s="431" t="s">
        <v>464</v>
      </c>
      <c r="B39" s="432">
        <v>12949.336177082221</v>
      </c>
      <c r="C39" s="432">
        <v>7711.7775627612</v>
      </c>
      <c r="D39" s="432">
        <v>4685.7447372054876</v>
      </c>
      <c r="E39" s="432">
        <v>551.813877115531</v>
      </c>
      <c r="F39" s="432">
        <v>0</v>
      </c>
    </row>
    <row r="40" spans="1:15" x14ac:dyDescent="0.25">
      <c r="A40" s="431" t="s">
        <v>465</v>
      </c>
      <c r="B40" s="432">
        <v>70.63706141460969</v>
      </c>
      <c r="C40" s="432">
        <v>69.324378752500706</v>
      </c>
      <c r="D40" s="432">
        <v>1.218919614815489</v>
      </c>
      <c r="E40" s="432">
        <v>6.6973605209642253E-2</v>
      </c>
      <c r="F40" s="432">
        <v>2.6789442083856904E-2</v>
      </c>
    </row>
    <row r="41" spans="1:15" x14ac:dyDescent="0.25">
      <c r="A41" s="431" t="s">
        <v>466</v>
      </c>
      <c r="B41" s="432">
        <v>8406.5309015976964</v>
      </c>
      <c r="C41" s="432">
        <v>7559.3781046336335</v>
      </c>
      <c r="D41" s="432">
        <v>620.27164559322762</v>
      </c>
      <c r="E41" s="432">
        <v>131.45474435649251</v>
      </c>
      <c r="F41" s="432">
        <v>95.426407014342715</v>
      </c>
    </row>
    <row r="42" spans="1:15" x14ac:dyDescent="0.25">
      <c r="A42" s="431" t="s">
        <v>467</v>
      </c>
      <c r="B42" s="432">
        <v>2535.9886203725341</v>
      </c>
      <c r="C42" s="432">
        <v>2179.4928340748693</v>
      </c>
      <c r="D42" s="432">
        <v>255.10660711757282</v>
      </c>
      <c r="E42" s="432">
        <v>68.017355249505158</v>
      </c>
      <c r="F42" s="432">
        <v>33.371823930586956</v>
      </c>
    </row>
    <row r="43" spans="1:15" x14ac:dyDescent="0.25">
      <c r="A43" s="431" t="s">
        <v>468</v>
      </c>
      <c r="B43" s="432">
        <v>54.631071915264293</v>
      </c>
      <c r="C43" s="432">
        <v>53.223156504622125</v>
      </c>
      <c r="D43" s="432">
        <v>0.93581436420067887</v>
      </c>
      <c r="E43" s="432">
        <v>0.33849308811214845</v>
      </c>
      <c r="F43" s="432">
        <v>0.13360795832933628</v>
      </c>
    </row>
    <row r="44" spans="1:15" x14ac:dyDescent="0.25">
      <c r="A44" s="431" t="s">
        <v>469</v>
      </c>
      <c r="B44" s="432">
        <v>6314.7145379107051</v>
      </c>
      <c r="C44" s="432">
        <v>5743.5584940611325</v>
      </c>
      <c r="D44" s="432">
        <v>471.27772011940118</v>
      </c>
      <c r="E44" s="432">
        <v>99.87832373017136</v>
      </c>
      <c r="F44" s="432">
        <v>0</v>
      </c>
    </row>
    <row r="45" spans="1:15" x14ac:dyDescent="0.25">
      <c r="A45" s="431" t="s">
        <v>470</v>
      </c>
      <c r="B45" s="432">
        <v>7.4163689571926668</v>
      </c>
      <c r="C45" s="432">
        <v>6.2084436040298971</v>
      </c>
      <c r="D45" s="432">
        <v>1.2079253531627694</v>
      </c>
      <c r="E45" s="432">
        <v>0</v>
      </c>
      <c r="F45" s="432">
        <v>0</v>
      </c>
    </row>
    <row r="46" spans="1:15" x14ac:dyDescent="0.25">
      <c r="A46" s="433" t="s">
        <v>343</v>
      </c>
      <c r="B46" s="434">
        <v>54946.033488022258</v>
      </c>
      <c r="C46" s="434">
        <v>32656.925569116924</v>
      </c>
      <c r="D46" s="434">
        <v>11610.568036178929</v>
      </c>
      <c r="E46" s="434">
        <v>1417.6581460978123</v>
      </c>
      <c r="F46" s="434">
        <v>9260.8817366285948</v>
      </c>
    </row>
    <row r="47" spans="1:15" x14ac:dyDescent="0.25">
      <c r="A47" s="431"/>
      <c r="B47" s="431"/>
      <c r="C47" s="431"/>
      <c r="D47" s="431"/>
      <c r="E47" s="425"/>
      <c r="F47" s="425"/>
    </row>
  </sheetData>
  <sheetProtection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D9A35-6311-46AE-B6B9-B3E76433502F}">
  <dimension ref="A1:G25"/>
  <sheetViews>
    <sheetView showGridLines="0" workbookViewId="0">
      <selection activeCell="G27" sqref="G27"/>
    </sheetView>
  </sheetViews>
  <sheetFormatPr defaultRowHeight="15" x14ac:dyDescent="0.25"/>
  <cols>
    <col min="1" max="1" width="28.85546875" customWidth="1"/>
    <col min="2" max="2" width="14.5703125" customWidth="1"/>
    <col min="3" max="3" width="16.42578125" customWidth="1"/>
    <col min="4" max="4" width="11.5703125" bestFit="1" customWidth="1"/>
    <col min="6" max="7" width="11.5703125" bestFit="1" customWidth="1"/>
  </cols>
  <sheetData>
    <row r="1" spans="1:7" s="483" customFormat="1" x14ac:dyDescent="0.25">
      <c r="A1" s="481" t="s">
        <v>193</v>
      </c>
      <c r="B1" s="482">
        <v>45627</v>
      </c>
    </row>
    <row r="2" spans="1:7" s="483" customFormat="1" x14ac:dyDescent="0.25">
      <c r="A2" s="481" t="s">
        <v>217</v>
      </c>
      <c r="B2" s="484">
        <v>1140946</v>
      </c>
    </row>
    <row r="3" spans="1:7" s="483" customFormat="1" x14ac:dyDescent="0.2">
      <c r="A3" s="485" t="s">
        <v>250</v>
      </c>
      <c r="B3" s="486">
        <v>33383.267798967376</v>
      </c>
      <c r="C3" s="487"/>
    </row>
    <row r="4" spans="1:7" s="483" customFormat="1" x14ac:dyDescent="0.2">
      <c r="A4" s="488" t="s">
        <v>251</v>
      </c>
      <c r="B4" s="486">
        <v>19673.206201032615</v>
      </c>
      <c r="C4" s="487"/>
      <c r="G4" s="489"/>
    </row>
    <row r="5" spans="1:7" s="483" customFormat="1" x14ac:dyDescent="0.25">
      <c r="A5" s="490" t="s">
        <v>252</v>
      </c>
      <c r="B5" s="491">
        <v>53056.473999999987</v>
      </c>
    </row>
    <row r="7" spans="1:7" x14ac:dyDescent="0.25">
      <c r="A7" s="458"/>
      <c r="B7" s="459" t="s">
        <v>343</v>
      </c>
      <c r="C7" s="460" t="s">
        <v>202</v>
      </c>
      <c r="D7" s="460" t="s">
        <v>154</v>
      </c>
    </row>
    <row r="8" spans="1:7" x14ac:dyDescent="0.25">
      <c r="A8" s="461" t="s">
        <v>511</v>
      </c>
      <c r="B8" s="462">
        <f>'Invoice Breakdown'!AW62</f>
        <v>143577</v>
      </c>
      <c r="C8" s="462">
        <f>B8-D8</f>
        <v>67757</v>
      </c>
      <c r="D8" s="463">
        <f>'Invoice Breakdown'!L62+'Invoice Breakdown'!M62+'Invoice Breakdown'!N62</f>
        <v>75820</v>
      </c>
    </row>
    <row r="9" spans="1:7" x14ac:dyDescent="0.25">
      <c r="A9" s="464" t="s">
        <v>353</v>
      </c>
      <c r="B9" s="465"/>
      <c r="C9" s="466">
        <f>C8/B8</f>
        <v>0.47192099013073124</v>
      </c>
      <c r="D9" s="466">
        <f>D8/B8</f>
        <v>0.5280790098692687</v>
      </c>
    </row>
    <row r="10" spans="1:7" x14ac:dyDescent="0.25">
      <c r="A10" s="467" t="s">
        <v>510</v>
      </c>
      <c r="B10" s="468">
        <f>'Invoice Breakdown'!AU62</f>
        <v>2192.9299999999998</v>
      </c>
      <c r="C10" s="468">
        <f>C9*B10</f>
        <v>1034.8896968873844</v>
      </c>
      <c r="D10" s="468">
        <f>B10*D9</f>
        <v>1158.0403031126152</v>
      </c>
    </row>
    <row r="11" spans="1:7" x14ac:dyDescent="0.25">
      <c r="A11" s="469" t="s">
        <v>457</v>
      </c>
      <c r="B11" s="470">
        <f>'Invoice Breakdown'!AY62</f>
        <v>574.30799999999999</v>
      </c>
      <c r="C11" s="470">
        <f>C9*B11</f>
        <v>271.02800000000002</v>
      </c>
      <c r="D11" s="470">
        <f>B11*D9</f>
        <v>303.27999999999997</v>
      </c>
    </row>
    <row r="12" spans="1:7" ht="6" customHeight="1" x14ac:dyDescent="0.25">
      <c r="A12" s="457"/>
      <c r="B12" s="457"/>
      <c r="C12" s="457"/>
      <c r="D12" s="457"/>
    </row>
    <row r="13" spans="1:7" x14ac:dyDescent="0.25">
      <c r="A13" s="461" t="s">
        <v>512</v>
      </c>
      <c r="B13" s="462">
        <f>'Invoice Breakdown'!T62</f>
        <v>8863</v>
      </c>
      <c r="C13" s="462">
        <f>B13-D13</f>
        <v>5117.2398400000002</v>
      </c>
      <c r="D13" s="463">
        <v>3745.7601600000003</v>
      </c>
    </row>
    <row r="14" spans="1:7" x14ac:dyDescent="0.25">
      <c r="A14" s="464" t="s">
        <v>353</v>
      </c>
      <c r="B14" s="465"/>
      <c r="C14" s="466">
        <f>C13/B13</f>
        <v>0.57737107525668507</v>
      </c>
      <c r="D14" s="466">
        <f>D13/B13</f>
        <v>0.42262892474331493</v>
      </c>
    </row>
    <row r="15" spans="1:7" x14ac:dyDescent="0.25">
      <c r="A15" s="469" t="s">
        <v>16</v>
      </c>
      <c r="B15" s="470">
        <f>'Invoice Breakdown'!AX62</f>
        <v>43091.906000000003</v>
      </c>
      <c r="C15" s="470">
        <f>C13/B13*B15</f>
        <v>24880.020102080001</v>
      </c>
      <c r="D15" s="470">
        <f>D13/B13*B15</f>
        <v>18211.885897920001</v>
      </c>
    </row>
    <row r="16" spans="1:7" ht="14.25" customHeight="1" x14ac:dyDescent="0.25">
      <c r="A16" s="457"/>
      <c r="B16" s="457"/>
      <c r="C16" s="457"/>
      <c r="D16" s="457"/>
    </row>
    <row r="17" spans="1:4" x14ac:dyDescent="0.25">
      <c r="A17" s="471" t="s">
        <v>137</v>
      </c>
      <c r="B17" s="472"/>
      <c r="C17" s="473">
        <f>'Invoice Breakdown'!AQ62</f>
        <v>7197.33</v>
      </c>
      <c r="D17" s="472"/>
    </row>
    <row r="18" spans="1:4" x14ac:dyDescent="0.25">
      <c r="A18" s="474" t="s">
        <v>353</v>
      </c>
      <c r="B18" s="474"/>
      <c r="C18" s="475">
        <v>1</v>
      </c>
      <c r="D18" s="475">
        <v>0</v>
      </c>
    </row>
    <row r="19" spans="1:4" x14ac:dyDescent="0.25">
      <c r="A19" s="457"/>
      <c r="B19" s="457"/>
      <c r="C19" s="457"/>
      <c r="D19" s="457"/>
    </row>
    <row r="20" spans="1:4" x14ac:dyDescent="0.25">
      <c r="A20" s="477" t="s">
        <v>343</v>
      </c>
      <c r="B20" s="478">
        <f>SUM(C20:D20)</f>
        <v>53056.474000000002</v>
      </c>
      <c r="C20" s="478">
        <f>C10+C15+C11+C17</f>
        <v>33383.267798967383</v>
      </c>
      <c r="D20" s="478">
        <f>D10+D15+D11</f>
        <v>19673.206201032615</v>
      </c>
    </row>
    <row r="21" spans="1:4" x14ac:dyDescent="0.25">
      <c r="A21" s="474" t="s">
        <v>513</v>
      </c>
      <c r="B21" s="474"/>
      <c r="C21" s="475">
        <f>C20/B20</f>
        <v>0.62920253236141144</v>
      </c>
      <c r="D21" s="475">
        <f>D20/B20</f>
        <v>0.37079746763858856</v>
      </c>
    </row>
    <row r="25" spans="1:4" x14ac:dyDescent="0.25">
      <c r="C25" s="333">
        <f>B3-C20</f>
        <v>0</v>
      </c>
      <c r="D25" s="333">
        <f>B4-D20</f>
        <v>0</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9F2C6-2E83-4AEF-A752-7492FE4B2958}">
  <sheetPr>
    <tabColor rgb="FF00B0F0"/>
  </sheetPr>
  <dimension ref="A1:BO19"/>
  <sheetViews>
    <sheetView showGridLines="0" workbookViewId="0">
      <selection activeCell="BU12" sqref="BT12:BU13"/>
    </sheetView>
  </sheetViews>
  <sheetFormatPr defaultColWidth="10.140625" defaultRowHeight="15" outlineLevelCol="1" x14ac:dyDescent="0.25"/>
  <cols>
    <col min="1" max="1" width="23.85546875" bestFit="1" customWidth="1"/>
    <col min="2" max="13" width="10.140625" hidden="1" customWidth="1" outlineLevel="1"/>
    <col min="14" max="14" width="10.140625" customWidth="1" collapsed="1"/>
    <col min="15" max="26" width="10.140625" hidden="1" customWidth="1" outlineLevel="1"/>
    <col min="27" max="27" width="10.140625" customWidth="1" collapsed="1"/>
    <col min="28" max="39" width="10.140625" hidden="1" customWidth="1" outlineLevel="1"/>
    <col min="40" max="40" width="10.140625" customWidth="1" collapsed="1"/>
    <col min="41" max="52" width="10.140625" hidden="1" customWidth="1" outlineLevel="1"/>
    <col min="53" max="53" width="10.140625" customWidth="1" collapsed="1"/>
    <col min="54" max="65" width="10.140625" hidden="1" customWidth="1" outlineLevel="1"/>
    <col min="66" max="66" width="10.140625" collapsed="1"/>
    <col min="67" max="67" width="11.5703125" bestFit="1" customWidth="1"/>
  </cols>
  <sheetData>
    <row r="1" spans="1:67" ht="15" customHeight="1" x14ac:dyDescent="0.3">
      <c r="A1" s="479" t="s">
        <v>531</v>
      </c>
    </row>
    <row r="2" spans="1:67" ht="15" customHeight="1" x14ac:dyDescent="0.25">
      <c r="A2" s="500"/>
      <c r="B2" s="492">
        <v>2020</v>
      </c>
      <c r="C2" s="492">
        <v>2020</v>
      </c>
      <c r="D2" s="492">
        <v>2020</v>
      </c>
      <c r="E2" s="492">
        <v>2020</v>
      </c>
      <c r="F2" s="492">
        <v>2020</v>
      </c>
      <c r="G2" s="492">
        <v>2020</v>
      </c>
      <c r="H2" s="492">
        <v>2020</v>
      </c>
      <c r="I2" s="492">
        <v>2020</v>
      </c>
      <c r="J2" s="492">
        <v>2020</v>
      </c>
      <c r="K2" s="492">
        <v>2020</v>
      </c>
      <c r="L2" s="492">
        <v>2020</v>
      </c>
      <c r="M2" s="492">
        <v>2020</v>
      </c>
      <c r="N2" s="492">
        <v>2020</v>
      </c>
      <c r="O2" s="492">
        <v>2021</v>
      </c>
      <c r="P2" s="492">
        <v>2021</v>
      </c>
      <c r="Q2" s="492">
        <v>2021</v>
      </c>
      <c r="R2" s="492">
        <v>2021</v>
      </c>
      <c r="S2" s="492">
        <v>2021</v>
      </c>
      <c r="T2" s="492">
        <v>2021</v>
      </c>
      <c r="U2" s="492">
        <v>2021</v>
      </c>
      <c r="V2" s="492">
        <v>2021</v>
      </c>
      <c r="W2" s="492">
        <v>2021</v>
      </c>
      <c r="X2" s="492">
        <v>2021</v>
      </c>
      <c r="Y2" s="492">
        <v>2021</v>
      </c>
      <c r="Z2" s="492">
        <v>2021</v>
      </c>
      <c r="AA2" s="492">
        <v>2021</v>
      </c>
      <c r="AB2" s="492">
        <v>2022</v>
      </c>
      <c r="AC2" s="492">
        <v>2022</v>
      </c>
      <c r="AD2" s="492">
        <v>2022</v>
      </c>
      <c r="AE2" s="492">
        <v>2022</v>
      </c>
      <c r="AF2" s="492">
        <v>2022</v>
      </c>
      <c r="AG2" s="492">
        <v>2022</v>
      </c>
      <c r="AH2" s="492">
        <v>2022</v>
      </c>
      <c r="AI2" s="492">
        <v>2022</v>
      </c>
      <c r="AJ2" s="492">
        <v>2022</v>
      </c>
      <c r="AK2" s="492">
        <v>2022</v>
      </c>
      <c r="AL2" s="492">
        <v>2022</v>
      </c>
      <c r="AM2" s="492">
        <v>2022</v>
      </c>
      <c r="AN2" s="492">
        <v>2022</v>
      </c>
      <c r="AO2" s="492">
        <v>2023</v>
      </c>
      <c r="AP2" s="492">
        <v>2023</v>
      </c>
      <c r="AQ2" s="492">
        <v>2023</v>
      </c>
      <c r="AR2" s="492">
        <v>2023</v>
      </c>
      <c r="AS2" s="492">
        <v>2023</v>
      </c>
      <c r="AT2" s="492">
        <v>2023</v>
      </c>
      <c r="AU2" s="492">
        <v>2023</v>
      </c>
      <c r="AV2" s="492">
        <v>2023</v>
      </c>
      <c r="AW2" s="492">
        <v>2023</v>
      </c>
      <c r="AX2" s="492">
        <v>2023</v>
      </c>
      <c r="AY2" s="492">
        <v>2023</v>
      </c>
      <c r="AZ2" s="492">
        <v>2023</v>
      </c>
      <c r="BA2" s="492">
        <v>2023</v>
      </c>
      <c r="BB2" s="492">
        <v>2024</v>
      </c>
      <c r="BC2" s="492">
        <v>2024</v>
      </c>
      <c r="BD2" s="492">
        <v>2024</v>
      </c>
      <c r="BE2" s="492">
        <v>2024</v>
      </c>
      <c r="BF2" s="492">
        <v>2024</v>
      </c>
      <c r="BG2" s="492">
        <v>2024</v>
      </c>
      <c r="BH2" s="492">
        <v>2024</v>
      </c>
      <c r="BI2" s="492">
        <v>2024</v>
      </c>
      <c r="BJ2" s="492">
        <v>2024</v>
      </c>
      <c r="BK2" s="492">
        <v>2024</v>
      </c>
      <c r="BL2" s="492">
        <v>2024</v>
      </c>
      <c r="BM2" s="492">
        <v>2024</v>
      </c>
      <c r="BN2" s="492">
        <v>2024</v>
      </c>
      <c r="BO2" s="492" t="s">
        <v>516</v>
      </c>
    </row>
    <row r="3" spans="1:67" x14ac:dyDescent="0.25">
      <c r="A3" s="501"/>
      <c r="B3" s="399" t="s">
        <v>420</v>
      </c>
      <c r="C3" s="399" t="s">
        <v>421</v>
      </c>
      <c r="D3" s="399" t="s">
        <v>422</v>
      </c>
      <c r="E3" s="399" t="s">
        <v>423</v>
      </c>
      <c r="F3" s="399" t="s">
        <v>424</v>
      </c>
      <c r="G3" s="399" t="s">
        <v>425</v>
      </c>
      <c r="H3" s="399" t="s">
        <v>426</v>
      </c>
      <c r="I3" s="399" t="s">
        <v>427</v>
      </c>
      <c r="J3" s="399" t="s">
        <v>428</v>
      </c>
      <c r="K3" s="399" t="s">
        <v>429</v>
      </c>
      <c r="L3" s="399" t="s">
        <v>430</v>
      </c>
      <c r="M3" s="399" t="s">
        <v>431</v>
      </c>
      <c r="N3" s="399" t="s">
        <v>343</v>
      </c>
      <c r="O3" s="399" t="s">
        <v>420</v>
      </c>
      <c r="P3" s="399" t="s">
        <v>421</v>
      </c>
      <c r="Q3" s="399" t="s">
        <v>422</v>
      </c>
      <c r="R3" s="399" t="s">
        <v>423</v>
      </c>
      <c r="S3" s="399" t="s">
        <v>424</v>
      </c>
      <c r="T3" s="399" t="s">
        <v>425</v>
      </c>
      <c r="U3" s="399" t="s">
        <v>426</v>
      </c>
      <c r="V3" s="399" t="s">
        <v>427</v>
      </c>
      <c r="W3" s="399" t="s">
        <v>428</v>
      </c>
      <c r="X3" s="399" t="s">
        <v>429</v>
      </c>
      <c r="Y3" s="399" t="s">
        <v>430</v>
      </c>
      <c r="Z3" s="399" t="s">
        <v>431</v>
      </c>
      <c r="AA3" s="399" t="s">
        <v>343</v>
      </c>
      <c r="AB3" s="399" t="s">
        <v>420</v>
      </c>
      <c r="AC3" s="399" t="s">
        <v>421</v>
      </c>
      <c r="AD3" s="399" t="s">
        <v>422</v>
      </c>
      <c r="AE3" s="399" t="s">
        <v>423</v>
      </c>
      <c r="AF3" s="399" t="s">
        <v>424</v>
      </c>
      <c r="AG3" s="399" t="s">
        <v>425</v>
      </c>
      <c r="AH3" s="399" t="s">
        <v>426</v>
      </c>
      <c r="AI3" s="399" t="s">
        <v>427</v>
      </c>
      <c r="AJ3" s="399" t="s">
        <v>428</v>
      </c>
      <c r="AK3" s="399" t="s">
        <v>429</v>
      </c>
      <c r="AL3" s="399" t="s">
        <v>430</v>
      </c>
      <c r="AM3" s="399" t="s">
        <v>431</v>
      </c>
      <c r="AN3" s="399" t="s">
        <v>343</v>
      </c>
      <c r="AO3" s="399" t="s">
        <v>420</v>
      </c>
      <c r="AP3" s="399" t="s">
        <v>421</v>
      </c>
      <c r="AQ3" s="399" t="s">
        <v>422</v>
      </c>
      <c r="AR3" s="399" t="s">
        <v>423</v>
      </c>
      <c r="AS3" s="399" t="s">
        <v>424</v>
      </c>
      <c r="AT3" s="399" t="s">
        <v>425</v>
      </c>
      <c r="AU3" s="399" t="s">
        <v>426</v>
      </c>
      <c r="AV3" s="399" t="s">
        <v>427</v>
      </c>
      <c r="AW3" s="399" t="s">
        <v>428</v>
      </c>
      <c r="AX3" s="399" t="s">
        <v>429</v>
      </c>
      <c r="AY3" s="399" t="s">
        <v>430</v>
      </c>
      <c r="AZ3" s="399" t="s">
        <v>431</v>
      </c>
      <c r="BA3" s="399" t="s">
        <v>343</v>
      </c>
      <c r="BB3" s="399" t="s">
        <v>420</v>
      </c>
      <c r="BC3" s="399" t="s">
        <v>421</v>
      </c>
      <c r="BD3" s="399" t="s">
        <v>422</v>
      </c>
      <c r="BE3" s="399" t="s">
        <v>423</v>
      </c>
      <c r="BF3" s="399" t="s">
        <v>424</v>
      </c>
      <c r="BG3" s="399" t="s">
        <v>425</v>
      </c>
      <c r="BH3" s="399" t="s">
        <v>426</v>
      </c>
      <c r="BI3" s="399" t="s">
        <v>427</v>
      </c>
      <c r="BJ3" s="399" t="s">
        <v>428</v>
      </c>
      <c r="BK3" s="399" t="s">
        <v>429</v>
      </c>
      <c r="BL3" s="399" t="s">
        <v>430</v>
      </c>
      <c r="BM3" s="399" t="s">
        <v>431</v>
      </c>
      <c r="BN3" s="399" t="s">
        <v>343</v>
      </c>
      <c r="BO3" s="399" t="s">
        <v>343</v>
      </c>
    </row>
    <row r="4" spans="1:67" x14ac:dyDescent="0.25">
      <c r="A4" s="502" t="s">
        <v>517</v>
      </c>
      <c r="B4" s="493"/>
      <c r="C4" s="493"/>
      <c r="D4" s="493"/>
      <c r="E4" s="493"/>
      <c r="F4" s="493"/>
      <c r="G4" s="493"/>
      <c r="H4" s="493"/>
      <c r="I4" s="493"/>
      <c r="J4" s="493"/>
      <c r="K4" s="493"/>
      <c r="L4" s="493"/>
      <c r="M4" s="493"/>
      <c r="N4" s="493"/>
      <c r="O4" s="494"/>
      <c r="P4" s="494"/>
      <c r="Q4" s="494"/>
      <c r="R4" s="494"/>
      <c r="S4" s="494"/>
      <c r="T4" s="494"/>
      <c r="U4" s="494"/>
      <c r="V4" s="494"/>
      <c r="W4" s="494"/>
      <c r="X4" s="494"/>
      <c r="Y4" s="494"/>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row>
    <row r="5" spans="1:67" s="315" customFormat="1" x14ac:dyDescent="0.25">
      <c r="A5" s="502" t="s">
        <v>514</v>
      </c>
      <c r="B5" s="493"/>
      <c r="C5" s="493"/>
      <c r="D5" s="493"/>
      <c r="E5" s="493"/>
      <c r="F5" s="493"/>
      <c r="G5" s="493"/>
      <c r="H5" s="493"/>
      <c r="I5" s="493"/>
      <c r="J5" s="493"/>
      <c r="K5" s="493">
        <v>0</v>
      </c>
      <c r="L5" s="493"/>
      <c r="M5" s="493">
        <v>0</v>
      </c>
      <c r="N5" s="493">
        <f>SUM(B5:M5)</f>
        <v>0</v>
      </c>
      <c r="O5" s="493">
        <v>6</v>
      </c>
      <c r="P5" s="493">
        <v>37</v>
      </c>
      <c r="Q5" s="493">
        <v>58</v>
      </c>
      <c r="R5" s="493">
        <v>0</v>
      </c>
      <c r="S5" s="493">
        <v>0</v>
      </c>
      <c r="T5" s="493">
        <v>0</v>
      </c>
      <c r="U5" s="493">
        <v>0</v>
      </c>
      <c r="V5" s="493">
        <v>2</v>
      </c>
      <c r="W5" s="493">
        <v>0</v>
      </c>
      <c r="X5" s="493">
        <v>36</v>
      </c>
      <c r="Y5" s="493">
        <v>146</v>
      </c>
      <c r="Z5" s="493">
        <v>149</v>
      </c>
      <c r="AA5" s="493">
        <f>SUM(O5:Z5)</f>
        <v>434</v>
      </c>
      <c r="AB5" s="493">
        <v>230</v>
      </c>
      <c r="AC5" s="493">
        <v>192</v>
      </c>
      <c r="AD5" s="493">
        <v>167</v>
      </c>
      <c r="AE5" s="493">
        <v>40</v>
      </c>
      <c r="AF5" s="493">
        <v>24</v>
      </c>
      <c r="AG5" s="493">
        <v>0</v>
      </c>
      <c r="AH5" s="493">
        <v>0</v>
      </c>
      <c r="AI5" s="493">
        <v>7</v>
      </c>
      <c r="AJ5" s="493">
        <v>0</v>
      </c>
      <c r="AK5" s="493">
        <v>87.529009999999985</v>
      </c>
      <c r="AL5" s="493">
        <v>289</v>
      </c>
      <c r="AM5" s="493">
        <v>322</v>
      </c>
      <c r="AN5" s="493">
        <f>SUM(AB5:AM5)</f>
        <v>1358.52901</v>
      </c>
      <c r="AO5" s="493">
        <v>360</v>
      </c>
      <c r="AP5" s="493">
        <v>332</v>
      </c>
      <c r="AQ5" s="493">
        <v>325</v>
      </c>
      <c r="AR5" s="493">
        <v>66</v>
      </c>
      <c r="AS5" s="493">
        <v>50</v>
      </c>
      <c r="AT5" s="493">
        <v>16</v>
      </c>
      <c r="AU5" s="493">
        <v>3</v>
      </c>
      <c r="AV5" s="493">
        <v>37</v>
      </c>
      <c r="AW5" s="493">
        <v>30</v>
      </c>
      <c r="AX5" s="493">
        <v>82</v>
      </c>
      <c r="AY5" s="493">
        <v>756</v>
      </c>
      <c r="AZ5" s="493">
        <v>494</v>
      </c>
      <c r="BA5" s="493">
        <f>SUM(AO5:AZ5)</f>
        <v>2551</v>
      </c>
      <c r="BB5" s="493">
        <v>529</v>
      </c>
      <c r="BC5" s="493">
        <v>424</v>
      </c>
      <c r="BD5" s="493">
        <v>371</v>
      </c>
      <c r="BE5" s="493">
        <v>97</v>
      </c>
      <c r="BF5" s="493">
        <v>41</v>
      </c>
      <c r="BG5" s="493">
        <v>30</v>
      </c>
      <c r="BH5" s="493">
        <v>28</v>
      </c>
      <c r="BI5" s="493">
        <v>34</v>
      </c>
      <c r="BJ5" s="493">
        <v>30</v>
      </c>
      <c r="BK5" s="493">
        <v>206</v>
      </c>
      <c r="BL5" s="493">
        <v>384</v>
      </c>
      <c r="BM5" s="493">
        <v>593</v>
      </c>
      <c r="BN5" s="493">
        <f>SUM(BB5:BM5)</f>
        <v>2767</v>
      </c>
      <c r="BO5" s="493">
        <f>N5+AA5+AN5+BA5+BN5</f>
        <v>7110.5290100000002</v>
      </c>
    </row>
    <row r="6" spans="1:67" x14ac:dyDescent="0.25">
      <c r="A6" s="503" t="s">
        <v>515</v>
      </c>
      <c r="B6" s="495">
        <v>0</v>
      </c>
      <c r="C6" s="495">
        <v>0</v>
      </c>
      <c r="D6" s="495">
        <v>0</v>
      </c>
      <c r="E6" s="495">
        <v>0</v>
      </c>
      <c r="F6" s="495">
        <v>0</v>
      </c>
      <c r="G6" s="495">
        <v>0</v>
      </c>
      <c r="H6" s="495">
        <v>0</v>
      </c>
      <c r="I6" s="495">
        <v>0</v>
      </c>
      <c r="J6" s="495">
        <v>0</v>
      </c>
      <c r="K6" s="495">
        <v>209</v>
      </c>
      <c r="L6" s="495">
        <v>0</v>
      </c>
      <c r="M6" s="495">
        <v>572.88537999999994</v>
      </c>
      <c r="N6" s="495">
        <f>SUM(B6:M6)</f>
        <v>781.88537999999994</v>
      </c>
      <c r="O6" s="495">
        <v>609</v>
      </c>
      <c r="P6" s="495">
        <v>591</v>
      </c>
      <c r="Q6" s="495">
        <v>616</v>
      </c>
      <c r="R6" s="495">
        <v>241</v>
      </c>
      <c r="S6" s="495">
        <v>210</v>
      </c>
      <c r="T6" s="495">
        <v>150</v>
      </c>
      <c r="U6" s="495">
        <v>161</v>
      </c>
      <c r="V6" s="495">
        <v>154</v>
      </c>
      <c r="W6" s="495">
        <v>135</v>
      </c>
      <c r="X6" s="495">
        <v>215</v>
      </c>
      <c r="Y6" s="495">
        <v>593</v>
      </c>
      <c r="Z6" s="495">
        <v>643</v>
      </c>
      <c r="AA6" s="495">
        <f>SUM(O6:Z6)</f>
        <v>4318</v>
      </c>
      <c r="AB6" s="495">
        <v>741</v>
      </c>
      <c r="AC6" s="495">
        <v>641</v>
      </c>
      <c r="AD6" s="495">
        <v>651</v>
      </c>
      <c r="AE6" s="495">
        <v>249</v>
      </c>
      <c r="AF6" s="495">
        <v>228</v>
      </c>
      <c r="AG6" s="495">
        <v>163</v>
      </c>
      <c r="AH6" s="495">
        <v>156</v>
      </c>
      <c r="AI6" s="495">
        <v>169</v>
      </c>
      <c r="AJ6" s="495">
        <v>160</v>
      </c>
      <c r="AK6" s="495">
        <v>216.78873000000002</v>
      </c>
      <c r="AL6" s="495">
        <v>549</v>
      </c>
      <c r="AM6" s="495">
        <v>591</v>
      </c>
      <c r="AN6" s="495">
        <f>SUM(AB6:AM6)</f>
        <v>4514.7887300000002</v>
      </c>
      <c r="AO6" s="495">
        <v>612</v>
      </c>
      <c r="AP6" s="495">
        <v>562</v>
      </c>
      <c r="AQ6" s="495">
        <v>644</v>
      </c>
      <c r="AR6" s="495">
        <v>245</v>
      </c>
      <c r="AS6" s="495">
        <v>201</v>
      </c>
      <c r="AT6" s="495">
        <v>166</v>
      </c>
      <c r="AU6" s="495">
        <v>186</v>
      </c>
      <c r="AV6" s="495">
        <v>217</v>
      </c>
      <c r="AW6" s="495">
        <v>191</v>
      </c>
      <c r="AX6" s="495">
        <v>209</v>
      </c>
      <c r="AY6" s="495">
        <v>597</v>
      </c>
      <c r="AZ6" s="495">
        <v>638</v>
      </c>
      <c r="BA6" s="495">
        <f>SUM(AO6:AZ6)</f>
        <v>4468</v>
      </c>
      <c r="BB6" s="495">
        <v>689</v>
      </c>
      <c r="BC6" s="495">
        <v>552</v>
      </c>
      <c r="BD6" s="495">
        <v>560</v>
      </c>
      <c r="BE6" s="495">
        <v>222</v>
      </c>
      <c r="BF6" s="495">
        <v>260</v>
      </c>
      <c r="BG6" s="495">
        <v>185</v>
      </c>
      <c r="BH6" s="495">
        <v>217</v>
      </c>
      <c r="BI6" s="495">
        <v>217</v>
      </c>
      <c r="BJ6" s="495">
        <v>209</v>
      </c>
      <c r="BK6" s="495">
        <v>252</v>
      </c>
      <c r="BL6" s="495">
        <v>560</v>
      </c>
      <c r="BM6" s="495">
        <v>658</v>
      </c>
      <c r="BN6" s="495">
        <f>SUM(BB6:BM6)</f>
        <v>4581</v>
      </c>
      <c r="BO6" s="496">
        <f>N6+AA6+AN6+BA6+BN6</f>
        <v>18663.67411</v>
      </c>
    </row>
    <row r="7" spans="1:67" x14ac:dyDescent="0.25">
      <c r="A7" s="504" t="s">
        <v>522</v>
      </c>
      <c r="B7" s="497">
        <f>B5+B6</f>
        <v>0</v>
      </c>
      <c r="C7" s="497">
        <f t="shared" ref="C7:N7" si="0">C5+C6</f>
        <v>0</v>
      </c>
      <c r="D7" s="497">
        <f t="shared" si="0"/>
        <v>0</v>
      </c>
      <c r="E7" s="497">
        <f t="shared" si="0"/>
        <v>0</v>
      </c>
      <c r="F7" s="497">
        <f t="shared" si="0"/>
        <v>0</v>
      </c>
      <c r="G7" s="497">
        <f t="shared" si="0"/>
        <v>0</v>
      </c>
      <c r="H7" s="497">
        <f t="shared" si="0"/>
        <v>0</v>
      </c>
      <c r="I7" s="497">
        <f t="shared" si="0"/>
        <v>0</v>
      </c>
      <c r="J7" s="497">
        <f t="shared" si="0"/>
        <v>0</v>
      </c>
      <c r="K7" s="497">
        <f t="shared" si="0"/>
        <v>209</v>
      </c>
      <c r="L7" s="497">
        <f t="shared" si="0"/>
        <v>0</v>
      </c>
      <c r="M7" s="497">
        <f t="shared" si="0"/>
        <v>572.88537999999994</v>
      </c>
      <c r="N7" s="497">
        <f t="shared" si="0"/>
        <v>781.88537999999994</v>
      </c>
      <c r="O7" s="497">
        <f t="shared" ref="O7" si="1">O5+O6</f>
        <v>615</v>
      </c>
      <c r="P7" s="497">
        <f t="shared" ref="P7" si="2">P5+P6</f>
        <v>628</v>
      </c>
      <c r="Q7" s="497">
        <f t="shared" ref="Q7" si="3">Q5+Q6</f>
        <v>674</v>
      </c>
      <c r="R7" s="497">
        <f t="shared" ref="R7" si="4">R5+R6</f>
        <v>241</v>
      </c>
      <c r="S7" s="497">
        <f t="shared" ref="S7" si="5">S5+S6</f>
        <v>210</v>
      </c>
      <c r="T7" s="497">
        <f t="shared" ref="T7" si="6">T5+T6</f>
        <v>150</v>
      </c>
      <c r="U7" s="497">
        <f t="shared" ref="U7" si="7">U5+U6</f>
        <v>161</v>
      </c>
      <c r="V7" s="497">
        <f t="shared" ref="V7" si="8">V5+V6</f>
        <v>156</v>
      </c>
      <c r="W7" s="497">
        <f t="shared" ref="W7" si="9">W5+W6</f>
        <v>135</v>
      </c>
      <c r="X7" s="497">
        <f t="shared" ref="X7" si="10">X5+X6</f>
        <v>251</v>
      </c>
      <c r="Y7" s="497">
        <f t="shared" ref="Y7" si="11">Y5+Y6</f>
        <v>739</v>
      </c>
      <c r="Z7" s="497">
        <f t="shared" ref="Z7:AA7" si="12">Z5+Z6</f>
        <v>792</v>
      </c>
      <c r="AA7" s="497">
        <f t="shared" si="12"/>
        <v>4752</v>
      </c>
      <c r="AB7" s="497">
        <f t="shared" ref="AB7" si="13">AB5+AB6</f>
        <v>971</v>
      </c>
      <c r="AC7" s="497">
        <f t="shared" ref="AC7" si="14">AC5+AC6</f>
        <v>833</v>
      </c>
      <c r="AD7" s="497">
        <f t="shared" ref="AD7" si="15">AD5+AD6</f>
        <v>818</v>
      </c>
      <c r="AE7" s="497">
        <f t="shared" ref="AE7" si="16">AE5+AE6</f>
        <v>289</v>
      </c>
      <c r="AF7" s="497">
        <f t="shared" ref="AF7" si="17">AF5+AF6</f>
        <v>252</v>
      </c>
      <c r="AG7" s="497">
        <f t="shared" ref="AG7" si="18">AG5+AG6</f>
        <v>163</v>
      </c>
      <c r="AH7" s="497">
        <f t="shared" ref="AH7" si="19">AH5+AH6</f>
        <v>156</v>
      </c>
      <c r="AI7" s="497">
        <f t="shared" ref="AI7" si="20">AI5+AI6</f>
        <v>176</v>
      </c>
      <c r="AJ7" s="497">
        <f t="shared" ref="AJ7" si="21">AJ5+AJ6</f>
        <v>160</v>
      </c>
      <c r="AK7" s="497">
        <f t="shared" ref="AK7" si="22">AK5+AK6</f>
        <v>304.31774000000001</v>
      </c>
      <c r="AL7" s="497">
        <f t="shared" ref="AL7" si="23">AL5+AL6</f>
        <v>838</v>
      </c>
      <c r="AM7" s="497">
        <f t="shared" ref="AM7:AN7" si="24">AM5+AM6</f>
        <v>913</v>
      </c>
      <c r="AN7" s="497">
        <f t="shared" si="24"/>
        <v>5873.3177400000004</v>
      </c>
      <c r="AO7" s="497">
        <f t="shared" ref="AO7" si="25">AO5+AO6</f>
        <v>972</v>
      </c>
      <c r="AP7" s="497">
        <f t="shared" ref="AP7" si="26">AP5+AP6</f>
        <v>894</v>
      </c>
      <c r="AQ7" s="497">
        <f t="shared" ref="AQ7" si="27">AQ5+AQ6</f>
        <v>969</v>
      </c>
      <c r="AR7" s="497">
        <f t="shared" ref="AR7" si="28">AR5+AR6</f>
        <v>311</v>
      </c>
      <c r="AS7" s="497">
        <f t="shared" ref="AS7" si="29">AS5+AS6</f>
        <v>251</v>
      </c>
      <c r="AT7" s="497">
        <f t="shared" ref="AT7" si="30">AT5+AT6</f>
        <v>182</v>
      </c>
      <c r="AU7" s="497">
        <f t="shared" ref="AU7" si="31">AU5+AU6</f>
        <v>189</v>
      </c>
      <c r="AV7" s="497">
        <f t="shared" ref="AV7" si="32">AV5+AV6</f>
        <v>254</v>
      </c>
      <c r="AW7" s="497">
        <f t="shared" ref="AW7" si="33">AW5+AW6</f>
        <v>221</v>
      </c>
      <c r="AX7" s="497">
        <f t="shared" ref="AX7" si="34">AX5+AX6</f>
        <v>291</v>
      </c>
      <c r="AY7" s="497">
        <f t="shared" ref="AY7" si="35">AY5+AY6</f>
        <v>1353</v>
      </c>
      <c r="AZ7" s="497">
        <f t="shared" ref="AZ7:BA7" si="36">AZ5+AZ6</f>
        <v>1132</v>
      </c>
      <c r="BA7" s="497">
        <f t="shared" si="36"/>
        <v>7019</v>
      </c>
      <c r="BB7" s="497">
        <f t="shared" ref="BB7" si="37">BB5+BB6</f>
        <v>1218</v>
      </c>
      <c r="BC7" s="497">
        <f t="shared" ref="BC7" si="38">BC5+BC6</f>
        <v>976</v>
      </c>
      <c r="BD7" s="497">
        <f t="shared" ref="BD7" si="39">BD5+BD6</f>
        <v>931</v>
      </c>
      <c r="BE7" s="497">
        <f t="shared" ref="BE7" si="40">BE5+BE6</f>
        <v>319</v>
      </c>
      <c r="BF7" s="497">
        <f t="shared" ref="BF7" si="41">BF5+BF6</f>
        <v>301</v>
      </c>
      <c r="BG7" s="497">
        <f t="shared" ref="BG7" si="42">BG5+BG6</f>
        <v>215</v>
      </c>
      <c r="BH7" s="497">
        <f t="shared" ref="BH7" si="43">BH5+BH6</f>
        <v>245</v>
      </c>
      <c r="BI7" s="497">
        <f t="shared" ref="BI7" si="44">BI5+BI6</f>
        <v>251</v>
      </c>
      <c r="BJ7" s="497">
        <f t="shared" ref="BJ7" si="45">BJ5+BJ6</f>
        <v>239</v>
      </c>
      <c r="BK7" s="497">
        <f t="shared" ref="BK7" si="46">BK5+BK6</f>
        <v>458</v>
      </c>
      <c r="BL7" s="497">
        <f t="shared" ref="BL7" si="47">BL5+BL6</f>
        <v>944</v>
      </c>
      <c r="BM7" s="497">
        <f t="shared" ref="BM7:BN7" si="48">BM5+BM6</f>
        <v>1251</v>
      </c>
      <c r="BN7" s="497">
        <f t="shared" si="48"/>
        <v>7348</v>
      </c>
      <c r="BO7" s="493">
        <f>N7+AA7+AN7+BA7+BN7</f>
        <v>25774.203119999998</v>
      </c>
    </row>
    <row r="8" spans="1:67" x14ac:dyDescent="0.25">
      <c r="A8" s="504"/>
      <c r="B8" s="497"/>
      <c r="C8" s="497"/>
      <c r="D8" s="497"/>
      <c r="E8" s="497"/>
      <c r="F8" s="497"/>
      <c r="G8" s="497"/>
      <c r="H8" s="497"/>
      <c r="I8" s="497"/>
      <c r="J8" s="497"/>
      <c r="K8" s="497"/>
      <c r="L8" s="497"/>
      <c r="M8" s="497"/>
      <c r="N8" s="497"/>
      <c r="O8" s="497"/>
      <c r="P8" s="497"/>
      <c r="Q8" s="497"/>
      <c r="R8" s="497"/>
      <c r="S8" s="497"/>
      <c r="T8" s="497"/>
      <c r="U8" s="497"/>
      <c r="V8" s="497"/>
      <c r="W8" s="497"/>
      <c r="X8" s="497"/>
      <c r="Y8" s="497"/>
      <c r="Z8" s="497"/>
      <c r="AA8" s="497"/>
      <c r="AB8" s="497"/>
      <c r="AC8" s="497"/>
      <c r="AD8" s="497"/>
      <c r="AE8" s="497"/>
      <c r="AF8" s="497"/>
      <c r="AG8" s="497"/>
      <c r="AH8" s="497"/>
      <c r="AI8" s="497"/>
      <c r="AJ8" s="497"/>
      <c r="AK8" s="497"/>
      <c r="AL8" s="497"/>
      <c r="AM8" s="497"/>
      <c r="AN8" s="497"/>
      <c r="AO8" s="497"/>
      <c r="AP8" s="497"/>
      <c r="AQ8" s="497"/>
      <c r="AR8" s="497"/>
      <c r="AS8" s="497"/>
      <c r="AT8" s="497"/>
      <c r="AU8" s="497"/>
      <c r="AV8" s="497"/>
      <c r="AW8" s="497"/>
      <c r="AX8" s="497"/>
      <c r="AY8" s="497"/>
      <c r="AZ8" s="497"/>
      <c r="BA8" s="497"/>
      <c r="BB8" s="497"/>
      <c r="BC8" s="497"/>
      <c r="BD8" s="497"/>
      <c r="BE8" s="497"/>
      <c r="BF8" s="497"/>
      <c r="BG8" s="497"/>
      <c r="BH8" s="497"/>
      <c r="BI8" s="497"/>
      <c r="BJ8" s="497"/>
      <c r="BK8" s="497"/>
      <c r="BL8" s="497"/>
      <c r="BM8" s="497"/>
      <c r="BN8" s="497"/>
      <c r="BO8" s="497"/>
    </row>
    <row r="9" spans="1:67" x14ac:dyDescent="0.25">
      <c r="A9" s="504" t="s">
        <v>521</v>
      </c>
      <c r="B9" s="497"/>
      <c r="C9" s="497"/>
      <c r="D9" s="497"/>
      <c r="E9" s="497"/>
      <c r="F9" s="497"/>
      <c r="G9" s="497"/>
      <c r="H9" s="497"/>
      <c r="I9" s="497"/>
      <c r="J9" s="497"/>
      <c r="K9" s="497"/>
      <c r="L9" s="497"/>
      <c r="M9" s="497"/>
      <c r="N9" s="497"/>
      <c r="O9" s="497"/>
      <c r="P9" s="497"/>
      <c r="Q9" s="497"/>
      <c r="R9" s="497"/>
      <c r="S9" s="497"/>
      <c r="T9" s="497"/>
      <c r="U9" s="497"/>
      <c r="V9" s="497"/>
      <c r="W9" s="497"/>
      <c r="X9" s="497"/>
      <c r="Y9" s="497"/>
      <c r="Z9" s="497"/>
      <c r="AA9" s="497"/>
      <c r="AB9" s="497"/>
      <c r="AC9" s="497"/>
      <c r="AD9" s="497"/>
      <c r="AE9" s="497"/>
      <c r="AF9" s="497"/>
      <c r="AG9" s="497"/>
      <c r="AH9" s="497"/>
      <c r="AI9" s="497"/>
      <c r="AJ9" s="497"/>
      <c r="AK9" s="497"/>
      <c r="AL9" s="497"/>
      <c r="AM9" s="497"/>
      <c r="AN9" s="497"/>
      <c r="AO9" s="497"/>
      <c r="AP9" s="497"/>
      <c r="AQ9" s="497"/>
      <c r="AR9" s="497"/>
      <c r="AS9" s="497"/>
      <c r="AT9" s="497"/>
      <c r="AU9" s="497"/>
      <c r="AV9" s="497"/>
      <c r="AW9" s="497"/>
      <c r="AX9" s="497"/>
      <c r="AY9" s="497"/>
      <c r="AZ9" s="497"/>
      <c r="BA9" s="497"/>
      <c r="BB9" s="497"/>
      <c r="BC9" s="497"/>
      <c r="BD9" s="497"/>
      <c r="BE9" s="497"/>
      <c r="BF9" s="497"/>
      <c r="BG9" s="497"/>
      <c r="BH9" s="497"/>
      <c r="BI9" s="497"/>
      <c r="BJ9" s="497"/>
      <c r="BK9" s="497"/>
      <c r="BL9" s="497"/>
      <c r="BM9" s="497"/>
      <c r="BN9" s="497"/>
      <c r="BO9" s="497"/>
    </row>
    <row r="10" spans="1:67" x14ac:dyDescent="0.25">
      <c r="A10" s="504" t="s">
        <v>518</v>
      </c>
      <c r="B10" s="397"/>
      <c r="C10" s="397"/>
      <c r="D10" s="397"/>
      <c r="E10" s="397"/>
      <c r="F10" s="397"/>
      <c r="G10" s="397"/>
      <c r="H10" s="397"/>
      <c r="I10" s="397"/>
      <c r="J10" s="397"/>
      <c r="K10" s="397">
        <v>39.28</v>
      </c>
      <c r="L10" s="397">
        <v>39.28</v>
      </c>
      <c r="M10" s="397">
        <v>39.28</v>
      </c>
      <c r="N10" s="397"/>
      <c r="O10" s="397">
        <v>39.28</v>
      </c>
      <c r="P10" s="397">
        <v>39.28</v>
      </c>
      <c r="Q10" s="397">
        <v>39.28</v>
      </c>
      <c r="R10" s="397">
        <v>39.32</v>
      </c>
      <c r="S10" s="397">
        <v>39.32</v>
      </c>
      <c r="T10" s="397">
        <v>39.32</v>
      </c>
      <c r="U10" s="397">
        <v>39.32</v>
      </c>
      <c r="V10" s="397">
        <v>39.32</v>
      </c>
      <c r="W10" s="397">
        <v>39.32</v>
      </c>
      <c r="X10" s="397">
        <v>39.32</v>
      </c>
      <c r="Y10" s="397">
        <v>39.32</v>
      </c>
      <c r="Z10" s="397">
        <v>39.32</v>
      </c>
      <c r="AA10" s="397"/>
      <c r="AB10" s="397">
        <v>39.32</v>
      </c>
      <c r="AC10" s="397">
        <v>39.32</v>
      </c>
      <c r="AD10" s="397">
        <v>39.32</v>
      </c>
      <c r="AE10" s="397">
        <v>39.119999999999997</v>
      </c>
      <c r="AF10" s="397">
        <v>39.119999999999997</v>
      </c>
      <c r="AG10" s="397">
        <v>39.119999999999997</v>
      </c>
      <c r="AH10" s="397">
        <v>39.119999999999997</v>
      </c>
      <c r="AI10" s="397">
        <v>39.119999999999997</v>
      </c>
      <c r="AJ10" s="397">
        <v>39.119999999999997</v>
      </c>
      <c r="AK10" s="397">
        <v>39.119999999999997</v>
      </c>
      <c r="AL10" s="397">
        <v>39.119999999999997</v>
      </c>
      <c r="AM10" s="397">
        <v>39.119999999999997</v>
      </c>
      <c r="AN10" s="397"/>
      <c r="AO10" s="397">
        <v>39.119999999999997</v>
      </c>
      <c r="AP10" s="397">
        <v>39.119999999999997</v>
      </c>
      <c r="AQ10" s="397">
        <v>39.119999999999997</v>
      </c>
      <c r="AR10" s="397">
        <v>39.17</v>
      </c>
      <c r="AS10" s="397">
        <v>39.17</v>
      </c>
      <c r="AT10" s="397">
        <v>39.17</v>
      </c>
      <c r="AU10" s="397">
        <v>39.17</v>
      </c>
      <c r="AV10" s="397">
        <v>39.17</v>
      </c>
      <c r="AW10" s="397">
        <v>39.17</v>
      </c>
      <c r="AX10" s="397">
        <v>39.17</v>
      </c>
      <c r="AY10" s="397">
        <v>39.17</v>
      </c>
      <c r="AZ10" s="397">
        <v>39.17</v>
      </c>
      <c r="BA10" s="397"/>
      <c r="BB10" s="397">
        <v>39.17</v>
      </c>
      <c r="BC10" s="397">
        <v>39.17</v>
      </c>
      <c r="BD10" s="397">
        <v>39.17</v>
      </c>
      <c r="BE10" s="397">
        <v>39.17</v>
      </c>
      <c r="BF10" s="397">
        <v>39.17</v>
      </c>
      <c r="BG10" s="397">
        <v>39.17</v>
      </c>
      <c r="BH10" s="397">
        <v>39.090000000000003</v>
      </c>
      <c r="BI10" s="397">
        <v>39.090000000000003</v>
      </c>
      <c r="BJ10" s="397">
        <v>39.090000000000003</v>
      </c>
      <c r="BK10" s="397">
        <v>39.090000000000003</v>
      </c>
      <c r="BL10" s="397">
        <v>39.090000000000003</v>
      </c>
      <c r="BM10" s="397">
        <v>39.090000000000003</v>
      </c>
      <c r="BN10" s="397"/>
      <c r="BO10" s="397"/>
    </row>
    <row r="11" spans="1:67" x14ac:dyDescent="0.25">
      <c r="A11" s="504" t="s">
        <v>519</v>
      </c>
      <c r="B11" s="397"/>
      <c r="C11" s="397"/>
      <c r="D11" s="397"/>
      <c r="E11" s="397"/>
      <c r="F11" s="397"/>
      <c r="G11" s="397"/>
      <c r="H11" s="397"/>
      <c r="I11" s="397"/>
      <c r="J11" s="397"/>
      <c r="K11" s="497">
        <f t="shared" ref="K11:M11" si="49">1/(K10/1000)*K5</f>
        <v>0</v>
      </c>
      <c r="L11" s="497">
        <f t="shared" si="49"/>
        <v>0</v>
      </c>
      <c r="M11" s="497">
        <f t="shared" si="49"/>
        <v>0</v>
      </c>
      <c r="N11" s="497">
        <f>SUM(B11:M11)</f>
        <v>0</v>
      </c>
      <c r="O11" s="497">
        <f>1/(O10/1000)*O5</f>
        <v>152.74949083503054</v>
      </c>
      <c r="P11" s="497">
        <f t="shared" ref="P11:Z11" si="50">1/(P10/1000)*P5</f>
        <v>941.9551934826884</v>
      </c>
      <c r="Q11" s="497">
        <f t="shared" si="50"/>
        <v>1476.5784114052954</v>
      </c>
      <c r="R11" s="497">
        <f t="shared" si="50"/>
        <v>0</v>
      </c>
      <c r="S11" s="497">
        <f t="shared" si="50"/>
        <v>0</v>
      </c>
      <c r="T11" s="497">
        <f t="shared" si="50"/>
        <v>0</v>
      </c>
      <c r="U11" s="497">
        <f t="shared" si="50"/>
        <v>0</v>
      </c>
      <c r="V11" s="497">
        <f t="shared" si="50"/>
        <v>50.864699898270601</v>
      </c>
      <c r="W11" s="497">
        <f t="shared" si="50"/>
        <v>0</v>
      </c>
      <c r="X11" s="497">
        <f t="shared" si="50"/>
        <v>915.56459816887082</v>
      </c>
      <c r="Y11" s="497">
        <f t="shared" si="50"/>
        <v>3713.1230925737536</v>
      </c>
      <c r="Z11" s="497">
        <f t="shared" si="50"/>
        <v>3789.4201424211597</v>
      </c>
      <c r="AA11" s="497">
        <f>SUM(O11:Z11)</f>
        <v>11040.255628785068</v>
      </c>
      <c r="AB11" s="497">
        <f t="shared" ref="AB11" si="51">1/(AB10/1000)*AB5</f>
        <v>5849.4404883011193</v>
      </c>
      <c r="AC11" s="497">
        <f t="shared" ref="AC11" si="52">1/(AC10/1000)*AC5</f>
        <v>4883.0111902339777</v>
      </c>
      <c r="AD11" s="497">
        <f t="shared" ref="AD11" si="53">1/(AD10/1000)*AD5</f>
        <v>4247.2024415055948</v>
      </c>
      <c r="AE11" s="497">
        <f t="shared" ref="AE11" si="54">1/(AE10/1000)*AE5</f>
        <v>1022.4948875255625</v>
      </c>
      <c r="AF11" s="497">
        <f t="shared" ref="AF11" si="55">1/(AF10/1000)*AF5</f>
        <v>613.49693251533745</v>
      </c>
      <c r="AG11" s="497">
        <f t="shared" ref="AG11" si="56">1/(AG10/1000)*AG5</f>
        <v>0</v>
      </c>
      <c r="AH11" s="497">
        <f t="shared" ref="AH11" si="57">1/(AH10/1000)*AH5</f>
        <v>0</v>
      </c>
      <c r="AI11" s="497">
        <f t="shared" ref="AI11" si="58">1/(AI10/1000)*AI5</f>
        <v>178.93660531697344</v>
      </c>
      <c r="AJ11" s="497">
        <f t="shared" ref="AJ11" si="59">1/(AJ10/1000)*AJ5</f>
        <v>0</v>
      </c>
      <c r="AK11" s="497">
        <f t="shared" ref="AK11" si="60">1/(AK10/1000)*AK5</f>
        <v>2237.4491308793454</v>
      </c>
      <c r="AL11" s="497">
        <f t="shared" ref="AL11" si="61">1/(AL10/1000)*AL5</f>
        <v>7387.5255623721887</v>
      </c>
      <c r="AM11" s="497">
        <f t="shared" ref="AM11" si="62">1/(AM10/1000)*AM5</f>
        <v>8231.0838445807785</v>
      </c>
      <c r="AN11" s="497">
        <f>SUM(AB11:AM11)</f>
        <v>34650.641083230876</v>
      </c>
      <c r="AO11" s="497">
        <f t="shared" ref="AO11" si="63">1/(AO10/1000)*AO5</f>
        <v>9202.4539877300613</v>
      </c>
      <c r="AP11" s="497">
        <f t="shared" ref="AP11" si="64">1/(AP10/1000)*AP5</f>
        <v>8486.707566462168</v>
      </c>
      <c r="AQ11" s="497">
        <f t="shared" ref="AQ11" si="65">1/(AQ10/1000)*AQ5</f>
        <v>8307.7709611451955</v>
      </c>
      <c r="AR11" s="497">
        <f t="shared" ref="AR11" si="66">1/(AR10/1000)*AR5</f>
        <v>1684.9629818738829</v>
      </c>
      <c r="AS11" s="497">
        <f t="shared" ref="AS11" si="67">1/(AS10/1000)*AS5</f>
        <v>1276.4871074802143</v>
      </c>
      <c r="AT11" s="497">
        <f t="shared" ref="AT11" si="68">1/(AT10/1000)*AT5</f>
        <v>408.47587439366856</v>
      </c>
      <c r="AU11" s="497">
        <f t="shared" ref="AU11" si="69">1/(AU10/1000)*AU5</f>
        <v>76.589226448812852</v>
      </c>
      <c r="AV11" s="497">
        <f t="shared" ref="AV11" si="70">1/(AV10/1000)*AV5</f>
        <v>944.6004595353586</v>
      </c>
      <c r="AW11" s="497">
        <f t="shared" ref="AW11" si="71">1/(AW10/1000)*AW5</f>
        <v>765.8922644881286</v>
      </c>
      <c r="AX11" s="497">
        <f t="shared" ref="AX11" si="72">1/(AX10/1000)*AX5</f>
        <v>2093.4388562675513</v>
      </c>
      <c r="AY11" s="497">
        <f t="shared" ref="AY11" si="73">1/(AY10/1000)*AY5</f>
        <v>19300.485065100838</v>
      </c>
      <c r="AZ11" s="497">
        <f t="shared" ref="AZ11" si="74">1/(AZ10/1000)*AZ5</f>
        <v>12611.692621904516</v>
      </c>
      <c r="BA11" s="497">
        <f>SUM(AO11:AZ11)</f>
        <v>65159.556972830396</v>
      </c>
      <c r="BB11" s="497">
        <f t="shared" ref="BB11" si="75">1/(BB10/1000)*BB5</f>
        <v>13505.233597140666</v>
      </c>
      <c r="BC11" s="497">
        <f t="shared" ref="BC11" si="76">1/(BC10/1000)*BC5</f>
        <v>10824.610671432218</v>
      </c>
      <c r="BD11" s="497">
        <f t="shared" ref="BD11" si="77">1/(BD10/1000)*BD5</f>
        <v>9471.5343375031898</v>
      </c>
      <c r="BE11" s="497">
        <f t="shared" ref="BE11" si="78">1/(BE10/1000)*BE5</f>
        <v>2476.3849885116156</v>
      </c>
      <c r="BF11" s="497">
        <f t="shared" ref="BF11" si="79">1/(BF10/1000)*BF5</f>
        <v>1046.7194281337756</v>
      </c>
      <c r="BG11" s="497">
        <f t="shared" ref="BG11" si="80">1/(BG10/1000)*BG5</f>
        <v>765.8922644881286</v>
      </c>
      <c r="BH11" s="497">
        <f t="shared" ref="BH11" si="81">1/(BH10/1000)*BH5</f>
        <v>716.29572780762328</v>
      </c>
      <c r="BI11" s="497">
        <f t="shared" ref="BI11" si="82">1/(BI10/1000)*BI5</f>
        <v>869.78766948068551</v>
      </c>
      <c r="BJ11" s="497">
        <f t="shared" ref="BJ11" si="83">1/(BJ10/1000)*BJ5</f>
        <v>767.45970836531069</v>
      </c>
      <c r="BK11" s="497">
        <f t="shared" ref="BK11" si="84">1/(BK10/1000)*BK5</f>
        <v>5269.8899974418</v>
      </c>
      <c r="BL11" s="497">
        <f t="shared" ref="BL11" si="85">1/(BL10/1000)*BL5</f>
        <v>9823.4842670759772</v>
      </c>
      <c r="BM11" s="497">
        <f t="shared" ref="BM11" si="86">1/(BM10/1000)*BM5</f>
        <v>15170.120235354309</v>
      </c>
      <c r="BN11" s="497">
        <f>SUM(BB11:BM11)</f>
        <v>70707.412892735301</v>
      </c>
      <c r="BO11" s="497">
        <f>N11+AA11+AN11+BA11+BN11</f>
        <v>181557.86657758165</v>
      </c>
    </row>
    <row r="12" spans="1:67" x14ac:dyDescent="0.25">
      <c r="A12" s="504"/>
      <c r="B12" s="397"/>
      <c r="C12" s="397"/>
      <c r="D12" s="397"/>
      <c r="E12" s="397"/>
      <c r="F12" s="397"/>
      <c r="G12" s="397"/>
      <c r="H12" s="397"/>
      <c r="I12" s="397"/>
      <c r="J12" s="397"/>
      <c r="K12" s="397"/>
      <c r="L12" s="397"/>
      <c r="M12" s="397"/>
      <c r="N12" s="397"/>
      <c r="O12" s="397"/>
      <c r="P12" s="397"/>
      <c r="Q12" s="397"/>
      <c r="R12" s="397"/>
      <c r="S12" s="397"/>
      <c r="T12" s="397"/>
      <c r="U12" s="397"/>
      <c r="V12" s="397"/>
      <c r="W12" s="397"/>
      <c r="X12" s="397"/>
      <c r="Y12" s="397"/>
      <c r="Z12" s="397"/>
      <c r="AA12" s="397"/>
      <c r="AB12" s="397"/>
      <c r="AC12" s="397"/>
      <c r="AD12" s="397"/>
      <c r="AE12" s="397"/>
      <c r="AF12" s="397"/>
      <c r="AG12" s="397"/>
      <c r="AH12" s="397"/>
      <c r="AI12" s="397"/>
      <c r="AJ12" s="397"/>
      <c r="AK12" s="397"/>
      <c r="AL12" s="397"/>
      <c r="AM12" s="397"/>
      <c r="AN12" s="397"/>
      <c r="AO12" s="397"/>
      <c r="AP12" s="397"/>
      <c r="AQ12" s="397"/>
      <c r="AR12" s="397"/>
      <c r="AS12" s="397"/>
      <c r="AT12" s="397"/>
      <c r="AU12" s="397"/>
      <c r="AV12" s="397"/>
      <c r="AW12" s="397"/>
      <c r="AX12" s="397"/>
      <c r="AY12" s="397"/>
      <c r="AZ12" s="397"/>
      <c r="BA12" s="397"/>
      <c r="BB12" s="397"/>
      <c r="BC12" s="397"/>
      <c r="BD12" s="397"/>
      <c r="BE12" s="397"/>
      <c r="BF12" s="397"/>
      <c r="BG12" s="397"/>
      <c r="BH12" s="397"/>
      <c r="BI12" s="397"/>
      <c r="BJ12" s="397"/>
      <c r="BK12" s="397"/>
      <c r="BL12" s="397"/>
      <c r="BM12" s="397"/>
      <c r="BN12" s="397"/>
      <c r="BO12" s="397"/>
    </row>
    <row r="13" spans="1:67" x14ac:dyDescent="0.25">
      <c r="A13" s="504" t="s">
        <v>524</v>
      </c>
      <c r="B13" s="397"/>
      <c r="C13" s="397"/>
      <c r="D13" s="397"/>
      <c r="E13" s="397"/>
      <c r="F13" s="397"/>
      <c r="G13" s="397"/>
      <c r="H13" s="397"/>
      <c r="I13" s="397"/>
      <c r="J13" s="397"/>
      <c r="K13" s="397">
        <v>0.137355</v>
      </c>
      <c r="L13" s="397">
        <v>0.137355</v>
      </c>
      <c r="M13" s="397">
        <v>0.137355</v>
      </c>
      <c r="N13" s="397"/>
      <c r="O13" s="397">
        <v>0.13813500000000001</v>
      </c>
      <c r="P13" s="397">
        <v>0.13813500000000001</v>
      </c>
      <c r="Q13" s="397">
        <v>0.13813500000000001</v>
      </c>
      <c r="R13" s="397">
        <v>0.14210800000000001</v>
      </c>
      <c r="S13" s="397">
        <v>0.14210800000000001</v>
      </c>
      <c r="T13" s="397">
        <v>0.14210800000000001</v>
      </c>
      <c r="U13" s="397">
        <v>0.111739</v>
      </c>
      <c r="V13" s="397">
        <v>0.111739</v>
      </c>
      <c r="W13" s="397">
        <v>0.111739</v>
      </c>
      <c r="X13" s="397">
        <v>0.140567</v>
      </c>
      <c r="Y13" s="397">
        <v>0.140567</v>
      </c>
      <c r="Z13" s="397">
        <v>0.140567</v>
      </c>
      <c r="AA13" s="397"/>
      <c r="AB13" s="397">
        <v>0.155718</v>
      </c>
      <c r="AC13" s="397">
        <v>0.155718</v>
      </c>
      <c r="AD13" s="397">
        <v>0.155718</v>
      </c>
      <c r="AE13" s="397">
        <v>0.206701</v>
      </c>
      <c r="AF13" s="397">
        <v>0.206701</v>
      </c>
      <c r="AG13" s="397">
        <v>0.206701</v>
      </c>
      <c r="AH13" s="397">
        <v>0.34187899999999999</v>
      </c>
      <c r="AI13" s="397">
        <v>0.34187899999999999</v>
      </c>
      <c r="AJ13" s="397">
        <v>0.34187899999999999</v>
      </c>
      <c r="AK13" s="397">
        <v>0.336727</v>
      </c>
      <c r="AL13" s="397">
        <v>0.336727</v>
      </c>
      <c r="AM13" s="397">
        <v>0.336727</v>
      </c>
      <c r="AN13" s="397"/>
      <c r="AO13" s="397">
        <v>0.24865200000000001</v>
      </c>
      <c r="AP13" s="397">
        <v>0.24865200000000001</v>
      </c>
      <c r="AQ13" s="397">
        <v>0.24865200000000001</v>
      </c>
      <c r="AR13" s="397">
        <v>0.17942900000000001</v>
      </c>
      <c r="AS13" s="397">
        <v>0.17942900000000001</v>
      </c>
      <c r="AT13" s="397">
        <v>0.17942900000000001</v>
      </c>
      <c r="AU13" s="397">
        <v>0.15429899999999999</v>
      </c>
      <c r="AV13" s="397">
        <v>0.15429899999999999</v>
      </c>
      <c r="AW13" s="397">
        <v>0.15429899999999999</v>
      </c>
      <c r="AX13" s="397">
        <v>0.16134799999999999</v>
      </c>
      <c r="AY13" s="397">
        <v>0.16134799999999999</v>
      </c>
      <c r="AZ13" s="397">
        <v>0.16134799999999999</v>
      </c>
      <c r="BA13" s="397"/>
      <c r="BB13" s="397">
        <v>0.15248999999999999</v>
      </c>
      <c r="BC13" s="397">
        <v>0.15248999999999999</v>
      </c>
      <c r="BD13" s="397">
        <v>0.15248999999999999</v>
      </c>
      <c r="BE13" s="397">
        <v>0.116052</v>
      </c>
      <c r="BF13" s="397">
        <v>0.116052</v>
      </c>
      <c r="BG13" s="397">
        <v>0.116052</v>
      </c>
      <c r="BH13" s="397">
        <v>0.13147900000000001</v>
      </c>
      <c r="BI13" s="397">
        <v>0.13147900000000001</v>
      </c>
      <c r="BJ13" s="397">
        <v>0.13147900000000001</v>
      </c>
      <c r="BK13" s="397">
        <v>0.12175800000000001</v>
      </c>
      <c r="BL13" s="397">
        <v>0.12175800000000001</v>
      </c>
      <c r="BM13" s="397">
        <v>0.12175800000000001</v>
      </c>
      <c r="BN13" s="397"/>
      <c r="BO13" s="397"/>
    </row>
    <row r="14" spans="1:67" x14ac:dyDescent="0.25">
      <c r="A14" s="501" t="s">
        <v>520</v>
      </c>
      <c r="B14" s="498">
        <f t="shared" ref="B14" si="87">B11*B13</f>
        <v>0</v>
      </c>
      <c r="C14" s="498">
        <f t="shared" ref="C14" si="88">C11*C13</f>
        <v>0</v>
      </c>
      <c r="D14" s="498">
        <f t="shared" ref="D14" si="89">D11*D13</f>
        <v>0</v>
      </c>
      <c r="E14" s="498">
        <f t="shared" ref="E14" si="90">E11*E13</f>
        <v>0</v>
      </c>
      <c r="F14" s="498">
        <f t="shared" ref="F14" si="91">F11*F13</f>
        <v>0</v>
      </c>
      <c r="G14" s="498">
        <f t="shared" ref="G14" si="92">G11*G13</f>
        <v>0</v>
      </c>
      <c r="H14" s="498">
        <f t="shared" ref="H14" si="93">H11*H13</f>
        <v>0</v>
      </c>
      <c r="I14" s="498">
        <f t="shared" ref="I14" si="94">I11*I13</f>
        <v>0</v>
      </c>
      <c r="J14" s="498">
        <f t="shared" ref="J14" si="95">J11*J13</f>
        <v>0</v>
      </c>
      <c r="K14" s="498">
        <f t="shared" ref="K14" si="96">K11*K13</f>
        <v>0</v>
      </c>
      <c r="L14" s="498">
        <f t="shared" ref="L14" si="97">L11*L13</f>
        <v>0</v>
      </c>
      <c r="M14" s="498">
        <f t="shared" ref="M14" si="98">M11*M13</f>
        <v>0</v>
      </c>
      <c r="N14" s="409">
        <f>SUM(B14:M14)</f>
        <v>0</v>
      </c>
      <c r="O14" s="499">
        <f>O11*O13</f>
        <v>21.100050916496944</v>
      </c>
      <c r="P14" s="499">
        <f t="shared" ref="P14:Z14" si="99">P11*P13</f>
        <v>130.11698065173118</v>
      </c>
      <c r="Q14" s="499">
        <f t="shared" si="99"/>
        <v>203.96715885947049</v>
      </c>
      <c r="R14" s="499">
        <f t="shared" si="99"/>
        <v>0</v>
      </c>
      <c r="S14" s="499">
        <f t="shared" si="99"/>
        <v>0</v>
      </c>
      <c r="T14" s="499">
        <f t="shared" si="99"/>
        <v>0</v>
      </c>
      <c r="U14" s="499">
        <f t="shared" si="99"/>
        <v>0</v>
      </c>
      <c r="V14" s="499">
        <f t="shared" si="99"/>
        <v>5.683570701932859</v>
      </c>
      <c r="W14" s="499">
        <f t="shared" si="99"/>
        <v>0</v>
      </c>
      <c r="X14" s="499">
        <f t="shared" si="99"/>
        <v>128.69816887080367</v>
      </c>
      <c r="Y14" s="499">
        <f t="shared" si="99"/>
        <v>521.94257375381483</v>
      </c>
      <c r="Z14" s="499">
        <f t="shared" si="99"/>
        <v>532.6674211597151</v>
      </c>
      <c r="AA14" s="409">
        <f>SUM(O14:Z14)</f>
        <v>1544.175924913965</v>
      </c>
      <c r="AB14" s="499">
        <f t="shared" ref="AB14" si="100">AB11*AB13</f>
        <v>910.86317395727372</v>
      </c>
      <c r="AC14" s="499">
        <f t="shared" ref="AC14" si="101">AC11*AC13</f>
        <v>760.37273652085446</v>
      </c>
      <c r="AD14" s="499">
        <f t="shared" ref="AD14" si="102">AD11*AD13</f>
        <v>661.36586978636819</v>
      </c>
      <c r="AE14" s="499">
        <f t="shared" ref="AE14" si="103">AE11*AE13</f>
        <v>211.35071574642129</v>
      </c>
      <c r="AF14" s="499">
        <f t="shared" ref="AF14" si="104">AF11*AF13</f>
        <v>126.81042944785277</v>
      </c>
      <c r="AG14" s="499">
        <f t="shared" ref="AG14" si="105">AG11*AG13</f>
        <v>0</v>
      </c>
      <c r="AH14" s="499">
        <f t="shared" ref="AH14" si="106">AH11*AH13</f>
        <v>0</v>
      </c>
      <c r="AI14" s="499">
        <f t="shared" ref="AI14" si="107">AI11*AI13</f>
        <v>61.174667689161559</v>
      </c>
      <c r="AJ14" s="499">
        <f t="shared" ref="AJ14" si="108">AJ11*AJ13</f>
        <v>0</v>
      </c>
      <c r="AK14" s="499">
        <f t="shared" ref="AK14" si="109">AK11*AK13</f>
        <v>753.40953349360927</v>
      </c>
      <c r="AL14" s="499">
        <f t="shared" ref="AL14" si="110">AL11*AL13</f>
        <v>2487.5793200408998</v>
      </c>
      <c r="AM14" s="499">
        <f t="shared" ref="AM14" si="111">AM11*AM13</f>
        <v>2771.6281697341519</v>
      </c>
      <c r="AN14" s="409">
        <f>SUM(AB14:AM14)</f>
        <v>8744.5546164165935</v>
      </c>
      <c r="AO14" s="499">
        <f t="shared" ref="AO14" si="112">AO11*AO13</f>
        <v>2288.2085889570553</v>
      </c>
      <c r="AP14" s="499">
        <f t="shared" ref="AP14" si="113">AP11*AP13</f>
        <v>2110.2368098159509</v>
      </c>
      <c r="AQ14" s="499">
        <f t="shared" ref="AQ14" si="114">AQ11*AQ13</f>
        <v>2065.7438650306754</v>
      </c>
      <c r="AR14" s="499">
        <f t="shared" ref="AR14" si="115">AR11*AR13</f>
        <v>302.33122287464892</v>
      </c>
      <c r="AS14" s="499">
        <f t="shared" ref="AS14" si="116">AS11*AS13</f>
        <v>229.03880520806737</v>
      </c>
      <c r="AT14" s="499">
        <f t="shared" ref="AT14" si="117">AT11*AT13</f>
        <v>73.292417666581557</v>
      </c>
      <c r="AU14" s="499">
        <f t="shared" ref="AU14" si="118">AU11*AU13</f>
        <v>11.817641051825374</v>
      </c>
      <c r="AV14" s="499">
        <f t="shared" ref="AV14" si="119">AV11*AV13</f>
        <v>145.75090630584629</v>
      </c>
      <c r="AW14" s="499">
        <f t="shared" ref="AW14" si="120">AW11*AW13</f>
        <v>118.17641051825375</v>
      </c>
      <c r="AX14" s="499">
        <f t="shared" ref="AX14" si="121">AX11*AX13</f>
        <v>337.77217258105685</v>
      </c>
      <c r="AY14" s="499">
        <f t="shared" ref="AY14" si="122">AY11*AY13</f>
        <v>3114.0946642838899</v>
      </c>
      <c r="AZ14" s="499">
        <f t="shared" ref="AZ14" si="123">AZ11*AZ13</f>
        <v>2034.8713811590499</v>
      </c>
      <c r="BA14" s="409">
        <f>SUM(AO14:AZ14)</f>
        <v>12831.334885452903</v>
      </c>
      <c r="BB14" s="499">
        <f t="shared" ref="BB14" si="124">BB11*BB13</f>
        <v>2059.4130712279803</v>
      </c>
      <c r="BC14" s="499">
        <f t="shared" ref="BC14" si="125">BC11*BC13</f>
        <v>1650.6448812866988</v>
      </c>
      <c r="BD14" s="499">
        <f t="shared" ref="BD14" si="126">BD11*BD13</f>
        <v>1444.3142711258613</v>
      </c>
      <c r="BE14" s="499">
        <f t="shared" ref="BE14" si="127">BE11*BE13</f>
        <v>287.38943068675002</v>
      </c>
      <c r="BF14" s="499">
        <f t="shared" ref="BF14" si="128">BF11*BF13</f>
        <v>121.47388307378094</v>
      </c>
      <c r="BG14" s="499">
        <f t="shared" ref="BG14" si="129">BG11*BG13</f>
        <v>88.883329078376306</v>
      </c>
      <c r="BH14" s="499">
        <f t="shared" ref="BH14" si="130">BH11*BH13</f>
        <v>94.177845996418512</v>
      </c>
      <c r="BI14" s="499">
        <f t="shared" ref="BI14" si="131">BI11*BI13</f>
        <v>114.35881299565106</v>
      </c>
      <c r="BJ14" s="499">
        <f t="shared" ref="BJ14" si="132">BJ11*BJ13</f>
        <v>100.90483499616269</v>
      </c>
      <c r="BK14" s="499">
        <f t="shared" ref="BK14" si="133">BK11*BK13</f>
        <v>641.65126630851876</v>
      </c>
      <c r="BL14" s="499">
        <f t="shared" ref="BL14" si="134">BL11*BL13</f>
        <v>1196.087797390637</v>
      </c>
      <c r="BM14" s="499">
        <f t="shared" ref="BM14" si="135">BM11*BM13</f>
        <v>1847.08349961627</v>
      </c>
      <c r="BN14" s="409">
        <f>SUM(BB14:BM14)</f>
        <v>9646.3829237831051</v>
      </c>
      <c r="BO14" s="409">
        <f>N14+AA14+AN14+BA14+BN14</f>
        <v>32766.448350566567</v>
      </c>
    </row>
    <row r="15" spans="1:67" x14ac:dyDescent="0.25">
      <c r="A15" s="58"/>
    </row>
    <row r="16" spans="1:67" x14ac:dyDescent="0.25">
      <c r="A16" s="349" t="s">
        <v>523</v>
      </c>
    </row>
    <row r="18" spans="67:67" x14ac:dyDescent="0.25">
      <c r="BO18" s="480"/>
    </row>
    <row r="19" spans="67:67" x14ac:dyDescent="0.25">
      <c r="BO19" s="480"/>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2049F-00F7-4D7F-BE98-3A7CB00F6585}">
  <sheetPr>
    <tabColor rgb="FF00B0F0"/>
  </sheetPr>
  <dimension ref="A1:BP47"/>
  <sheetViews>
    <sheetView showGridLines="0" zoomScale="80" zoomScaleNormal="80" workbookViewId="0">
      <pane xSplit="1" ySplit="2" topLeftCell="AO3" activePane="bottomRight" state="frozen"/>
      <selection activeCell="CB42" sqref="CB42"/>
      <selection pane="topRight" activeCell="CB42" sqref="CB42"/>
      <selection pane="bottomLeft" activeCell="CB42" sqref="CB42"/>
      <selection pane="bottomRight" activeCell="BS30" sqref="BS30"/>
    </sheetView>
  </sheetViews>
  <sheetFormatPr defaultRowHeight="15" outlineLevelCol="1" x14ac:dyDescent="0.25"/>
  <cols>
    <col min="1" max="1" width="26.7109375" style="315" customWidth="1"/>
    <col min="2" max="13" width="10.7109375" style="391" hidden="1" customWidth="1" outlineLevel="1"/>
    <col min="14" max="14" width="12.42578125" style="391" customWidth="1" collapsed="1"/>
    <col min="15" max="26" width="10.7109375" style="391" hidden="1" customWidth="1" outlineLevel="1"/>
    <col min="27" max="27" width="12.42578125" style="391" customWidth="1" collapsed="1"/>
    <col min="28" max="39" width="10.7109375" style="391" hidden="1" customWidth="1" outlineLevel="1"/>
    <col min="40" max="40" width="12.42578125" style="391" customWidth="1" collapsed="1"/>
    <col min="41" max="52" width="10.7109375" style="391" hidden="1" customWidth="1" outlineLevel="1"/>
    <col min="53" max="53" width="12.42578125" style="391" customWidth="1" collapsed="1"/>
    <col min="54" max="65" width="10.7109375" style="391" hidden="1" customWidth="1" outlineLevel="1"/>
    <col min="66" max="66" width="12.42578125" style="391" customWidth="1" collapsed="1"/>
    <col min="67" max="67" width="12.42578125" style="391" customWidth="1"/>
    <col min="68" max="68" width="10.85546875" bestFit="1" customWidth="1"/>
  </cols>
  <sheetData>
    <row r="1" spans="1:67" s="315" customFormat="1" ht="21" customHeight="1" x14ac:dyDescent="0.25">
      <c r="A1" s="508" t="s">
        <v>453</v>
      </c>
      <c r="B1" s="395">
        <v>2020</v>
      </c>
      <c r="C1" s="395">
        <v>2020</v>
      </c>
      <c r="D1" s="395">
        <v>2020</v>
      </c>
      <c r="E1" s="395">
        <v>2020</v>
      </c>
      <c r="F1" s="395">
        <v>2020</v>
      </c>
      <c r="G1" s="395">
        <v>2020</v>
      </c>
      <c r="H1" s="395">
        <v>2020</v>
      </c>
      <c r="I1" s="395">
        <v>2020</v>
      </c>
      <c r="J1" s="395">
        <v>2020</v>
      </c>
      <c r="K1" s="395">
        <v>2020</v>
      </c>
      <c r="L1" s="395">
        <v>2020</v>
      </c>
      <c r="M1" s="395">
        <v>2020</v>
      </c>
      <c r="N1" s="395">
        <v>2020</v>
      </c>
      <c r="O1" s="395">
        <v>2021</v>
      </c>
      <c r="P1" s="395">
        <v>2021</v>
      </c>
      <c r="Q1" s="395">
        <v>2021</v>
      </c>
      <c r="R1" s="395">
        <v>2021</v>
      </c>
      <c r="S1" s="395">
        <v>2021</v>
      </c>
      <c r="T1" s="395">
        <v>2021</v>
      </c>
      <c r="U1" s="395">
        <v>2021</v>
      </c>
      <c r="V1" s="395">
        <v>2021</v>
      </c>
      <c r="W1" s="395">
        <v>2021</v>
      </c>
      <c r="X1" s="395">
        <v>2021</v>
      </c>
      <c r="Y1" s="395">
        <v>2021</v>
      </c>
      <c r="Z1" s="395">
        <v>2021</v>
      </c>
      <c r="AA1" s="395">
        <v>2021</v>
      </c>
      <c r="AB1" s="395">
        <v>2022</v>
      </c>
      <c r="AC1" s="395">
        <v>2022</v>
      </c>
      <c r="AD1" s="395">
        <v>2022</v>
      </c>
      <c r="AE1" s="395">
        <v>2022</v>
      </c>
      <c r="AF1" s="395">
        <v>2022</v>
      </c>
      <c r="AG1" s="395">
        <v>2022</v>
      </c>
      <c r="AH1" s="395">
        <v>2022</v>
      </c>
      <c r="AI1" s="395">
        <v>2022</v>
      </c>
      <c r="AJ1" s="395">
        <v>2022</v>
      </c>
      <c r="AK1" s="395">
        <v>2022</v>
      </c>
      <c r="AL1" s="395">
        <v>2022</v>
      </c>
      <c r="AM1" s="395">
        <v>2022</v>
      </c>
      <c r="AN1" s="395">
        <v>2022</v>
      </c>
      <c r="AO1" s="395">
        <v>2023</v>
      </c>
      <c r="AP1" s="395">
        <v>2023</v>
      </c>
      <c r="AQ1" s="395">
        <v>2023</v>
      </c>
      <c r="AR1" s="395">
        <v>2023</v>
      </c>
      <c r="AS1" s="395">
        <v>2023</v>
      </c>
      <c r="AT1" s="395">
        <v>2023</v>
      </c>
      <c r="AU1" s="395">
        <v>2023</v>
      </c>
      <c r="AV1" s="395">
        <v>2023</v>
      </c>
      <c r="AW1" s="395">
        <v>2023</v>
      </c>
      <c r="AX1" s="395">
        <v>2023</v>
      </c>
      <c r="AY1" s="395">
        <v>2023</v>
      </c>
      <c r="AZ1" s="395">
        <v>2023</v>
      </c>
      <c r="BA1" s="395">
        <v>2023</v>
      </c>
      <c r="BB1" s="395">
        <v>2024</v>
      </c>
      <c r="BC1" s="395">
        <v>2024</v>
      </c>
      <c r="BD1" s="395">
        <v>2024</v>
      </c>
      <c r="BE1" s="395">
        <v>2024</v>
      </c>
      <c r="BF1" s="395">
        <v>2024</v>
      </c>
      <c r="BG1" s="395">
        <v>2024</v>
      </c>
      <c r="BH1" s="395">
        <v>2024</v>
      </c>
      <c r="BI1" s="395">
        <v>2024</v>
      </c>
      <c r="BJ1" s="395">
        <v>2024</v>
      </c>
      <c r="BK1" s="395">
        <v>2024</v>
      </c>
      <c r="BL1" s="395">
        <v>2024</v>
      </c>
      <c r="BM1" s="395">
        <v>2024</v>
      </c>
      <c r="BN1" s="395">
        <v>2024</v>
      </c>
      <c r="BO1" s="395">
        <v>2025</v>
      </c>
    </row>
    <row r="2" spans="1:67" s="315" customFormat="1" x14ac:dyDescent="0.25">
      <c r="A2" s="509"/>
      <c r="B2" s="399" t="s">
        <v>420</v>
      </c>
      <c r="C2" s="399" t="s">
        <v>421</v>
      </c>
      <c r="D2" s="399" t="s">
        <v>422</v>
      </c>
      <c r="E2" s="399" t="s">
        <v>423</v>
      </c>
      <c r="F2" s="399" t="s">
        <v>424</v>
      </c>
      <c r="G2" s="399" t="s">
        <v>425</v>
      </c>
      <c r="H2" s="399" t="s">
        <v>426</v>
      </c>
      <c r="I2" s="399" t="s">
        <v>427</v>
      </c>
      <c r="J2" s="399" t="s">
        <v>428</v>
      </c>
      <c r="K2" s="399" t="s">
        <v>429</v>
      </c>
      <c r="L2" s="399" t="s">
        <v>430</v>
      </c>
      <c r="M2" s="399" t="s">
        <v>431</v>
      </c>
      <c r="N2" s="399" t="s">
        <v>343</v>
      </c>
      <c r="O2" s="399" t="s">
        <v>420</v>
      </c>
      <c r="P2" s="399" t="s">
        <v>421</v>
      </c>
      <c r="Q2" s="399" t="s">
        <v>422</v>
      </c>
      <c r="R2" s="399" t="s">
        <v>423</v>
      </c>
      <c r="S2" s="399" t="s">
        <v>424</v>
      </c>
      <c r="T2" s="399" t="s">
        <v>425</v>
      </c>
      <c r="U2" s="399" t="s">
        <v>426</v>
      </c>
      <c r="V2" s="399" t="s">
        <v>427</v>
      </c>
      <c r="W2" s="399" t="s">
        <v>428</v>
      </c>
      <c r="X2" s="399" t="s">
        <v>429</v>
      </c>
      <c r="Y2" s="399" t="s">
        <v>430</v>
      </c>
      <c r="Z2" s="399" t="s">
        <v>431</v>
      </c>
      <c r="AA2" s="399" t="s">
        <v>343</v>
      </c>
      <c r="AB2" s="399" t="s">
        <v>420</v>
      </c>
      <c r="AC2" s="399" t="s">
        <v>421</v>
      </c>
      <c r="AD2" s="399" t="s">
        <v>422</v>
      </c>
      <c r="AE2" s="399" t="s">
        <v>423</v>
      </c>
      <c r="AF2" s="399" t="s">
        <v>424</v>
      </c>
      <c r="AG2" s="399" t="s">
        <v>425</v>
      </c>
      <c r="AH2" s="399" t="s">
        <v>426</v>
      </c>
      <c r="AI2" s="399" t="s">
        <v>427</v>
      </c>
      <c r="AJ2" s="399" t="s">
        <v>428</v>
      </c>
      <c r="AK2" s="399" t="s">
        <v>429</v>
      </c>
      <c r="AL2" s="399" t="s">
        <v>430</v>
      </c>
      <c r="AM2" s="399" t="s">
        <v>431</v>
      </c>
      <c r="AN2" s="399" t="s">
        <v>343</v>
      </c>
      <c r="AO2" s="399" t="s">
        <v>420</v>
      </c>
      <c r="AP2" s="399" t="s">
        <v>421</v>
      </c>
      <c r="AQ2" s="399" t="s">
        <v>422</v>
      </c>
      <c r="AR2" s="399" t="s">
        <v>423</v>
      </c>
      <c r="AS2" s="399" t="s">
        <v>424</v>
      </c>
      <c r="AT2" s="399" t="s">
        <v>425</v>
      </c>
      <c r="AU2" s="399" t="s">
        <v>426</v>
      </c>
      <c r="AV2" s="399" t="s">
        <v>427</v>
      </c>
      <c r="AW2" s="399" t="s">
        <v>428</v>
      </c>
      <c r="AX2" s="399" t="s">
        <v>429</v>
      </c>
      <c r="AY2" s="399" t="s">
        <v>430</v>
      </c>
      <c r="AZ2" s="399" t="s">
        <v>431</v>
      </c>
      <c r="BA2" s="399" t="s">
        <v>343</v>
      </c>
      <c r="BB2" s="399" t="s">
        <v>420</v>
      </c>
      <c r="BC2" s="399" t="s">
        <v>421</v>
      </c>
      <c r="BD2" s="399" t="s">
        <v>422</v>
      </c>
      <c r="BE2" s="399" t="s">
        <v>423</v>
      </c>
      <c r="BF2" s="399" t="s">
        <v>424</v>
      </c>
      <c r="BG2" s="399" t="s">
        <v>425</v>
      </c>
      <c r="BH2" s="399" t="s">
        <v>426</v>
      </c>
      <c r="BI2" s="399" t="s">
        <v>427</v>
      </c>
      <c r="BJ2" s="399" t="s">
        <v>428</v>
      </c>
      <c r="BK2" s="399" t="s">
        <v>429</v>
      </c>
      <c r="BL2" s="399" t="s">
        <v>430</v>
      </c>
      <c r="BM2" s="399" t="s">
        <v>431</v>
      </c>
      <c r="BN2" s="399" t="s">
        <v>343</v>
      </c>
      <c r="BO2" s="399" t="s">
        <v>343</v>
      </c>
    </row>
    <row r="3" spans="1:67" x14ac:dyDescent="0.25">
      <c r="A3" s="401" t="s">
        <v>438</v>
      </c>
      <c r="B3" s="396"/>
      <c r="C3" s="396"/>
      <c r="D3" s="396"/>
      <c r="E3" s="396"/>
      <c r="F3" s="396"/>
      <c r="G3" s="396"/>
      <c r="H3" s="396"/>
      <c r="I3" s="396"/>
      <c r="J3" s="396"/>
      <c r="K3" s="396"/>
      <c r="L3" s="396"/>
      <c r="M3" s="396"/>
      <c r="N3" s="396"/>
      <c r="O3" s="396"/>
      <c r="P3" s="396"/>
      <c r="Q3" s="396"/>
      <c r="R3" s="396"/>
      <c r="S3" s="396"/>
      <c r="T3" s="396"/>
      <c r="U3" s="396"/>
      <c r="V3" s="396"/>
      <c r="W3" s="396"/>
      <c r="X3" s="396"/>
      <c r="Y3" s="396"/>
      <c r="Z3" s="396"/>
      <c r="AA3" s="396"/>
      <c r="AB3" s="396"/>
      <c r="AC3" s="396"/>
      <c r="AD3" s="396"/>
      <c r="AE3" s="396"/>
      <c r="AF3" s="396"/>
      <c r="AG3" s="396"/>
      <c r="AH3" s="396"/>
      <c r="AI3" s="396"/>
      <c r="AJ3" s="396"/>
      <c r="AK3" s="396"/>
      <c r="AL3" s="396"/>
      <c r="AM3" s="396"/>
      <c r="AN3" s="396"/>
      <c r="AO3" s="396"/>
      <c r="AP3" s="396"/>
      <c r="AQ3" s="396"/>
      <c r="AR3" s="396"/>
      <c r="AS3" s="396"/>
      <c r="AT3" s="396"/>
      <c r="AU3" s="396"/>
      <c r="AV3" s="396"/>
      <c r="AW3" s="396"/>
      <c r="AX3" s="396"/>
      <c r="AY3" s="396"/>
      <c r="AZ3" s="396"/>
      <c r="BA3" s="396"/>
      <c r="BB3" s="396"/>
      <c r="BC3" s="396"/>
      <c r="BD3" s="396"/>
      <c r="BE3" s="396"/>
      <c r="BF3" s="396"/>
      <c r="BG3" s="396"/>
      <c r="BH3" s="396"/>
      <c r="BI3" s="396"/>
      <c r="BJ3" s="396"/>
      <c r="BK3" s="396"/>
      <c r="BL3" s="396"/>
      <c r="BM3" s="396"/>
      <c r="BN3" s="396"/>
      <c r="BO3" s="396"/>
    </row>
    <row r="4" spans="1:67" x14ac:dyDescent="0.25">
      <c r="A4" s="392" t="s">
        <v>137</v>
      </c>
      <c r="B4" s="396">
        <v>0</v>
      </c>
      <c r="C4" s="396">
        <v>0</v>
      </c>
      <c r="D4" s="396">
        <v>0</v>
      </c>
      <c r="E4" s="396">
        <v>0</v>
      </c>
      <c r="F4" s="396">
        <v>0</v>
      </c>
      <c r="G4" s="396">
        <v>0</v>
      </c>
      <c r="H4" s="396">
        <v>0</v>
      </c>
      <c r="I4" s="396">
        <v>0</v>
      </c>
      <c r="J4" s="396">
        <v>0</v>
      </c>
      <c r="K4" s="396">
        <v>0</v>
      </c>
      <c r="L4" s="396">
        <v>0</v>
      </c>
      <c r="M4" s="396">
        <v>0</v>
      </c>
      <c r="N4" s="396">
        <f>SUM(B4:M4)</f>
        <v>0</v>
      </c>
      <c r="O4" s="396">
        <v>0</v>
      </c>
      <c r="P4" s="396">
        <v>0</v>
      </c>
      <c r="Q4" s="396">
        <v>0</v>
      </c>
      <c r="R4" s="396">
        <v>0</v>
      </c>
      <c r="S4" s="396">
        <v>0</v>
      </c>
      <c r="T4" s="396">
        <v>0</v>
      </c>
      <c r="U4" s="396">
        <v>0</v>
      </c>
      <c r="V4" s="396">
        <v>0</v>
      </c>
      <c r="W4" s="396">
        <v>0</v>
      </c>
      <c r="X4" s="396">
        <v>0</v>
      </c>
      <c r="Y4" s="396">
        <v>0</v>
      </c>
      <c r="Z4" s="396">
        <v>0</v>
      </c>
      <c r="AA4" s="396">
        <f>SUM(O4:Z4)</f>
        <v>0</v>
      </c>
      <c r="AB4" s="396">
        <v>0</v>
      </c>
      <c r="AC4" s="396">
        <v>0</v>
      </c>
      <c r="AD4" s="396">
        <v>0</v>
      </c>
      <c r="AE4" s="396">
        <v>0</v>
      </c>
      <c r="AF4" s="396">
        <v>0</v>
      </c>
      <c r="AG4" s="396">
        <v>0</v>
      </c>
      <c r="AH4" s="396">
        <v>0</v>
      </c>
      <c r="AI4" s="396">
        <v>0</v>
      </c>
      <c r="AJ4" s="396">
        <v>0</v>
      </c>
      <c r="AK4" s="396">
        <v>0</v>
      </c>
      <c r="AL4" s="396">
        <v>0</v>
      </c>
      <c r="AM4" s="396">
        <v>0</v>
      </c>
      <c r="AN4" s="396">
        <f>SUM(AB4:AM4)</f>
        <v>0</v>
      </c>
      <c r="AO4" s="396">
        <v>0</v>
      </c>
      <c r="AP4" s="396">
        <v>0</v>
      </c>
      <c r="AQ4" s="396">
        <v>0</v>
      </c>
      <c r="AR4" s="396">
        <v>0</v>
      </c>
      <c r="AS4" s="396">
        <v>0</v>
      </c>
      <c r="AT4" s="396">
        <v>0</v>
      </c>
      <c r="AU4" s="396">
        <v>0</v>
      </c>
      <c r="AV4" s="396">
        <v>0</v>
      </c>
      <c r="AW4" s="396">
        <v>0</v>
      </c>
      <c r="AX4" s="396">
        <v>0</v>
      </c>
      <c r="AY4" s="396">
        <v>0</v>
      </c>
      <c r="AZ4" s="396">
        <v>0</v>
      </c>
      <c r="BA4" s="396">
        <f>SUM(AO4:AZ4)</f>
        <v>0</v>
      </c>
      <c r="BB4" s="396">
        <v>0</v>
      </c>
      <c r="BC4" s="396">
        <v>0</v>
      </c>
      <c r="BD4" s="396">
        <v>0</v>
      </c>
      <c r="BE4" s="396">
        <v>0</v>
      </c>
      <c r="BF4" s="396">
        <v>0</v>
      </c>
      <c r="BG4" s="396">
        <v>0</v>
      </c>
      <c r="BH4" s="396">
        <v>0</v>
      </c>
      <c r="BI4" s="396">
        <v>0</v>
      </c>
      <c r="BJ4" s="396">
        <v>0</v>
      </c>
      <c r="BK4" s="396">
        <v>0</v>
      </c>
      <c r="BL4" s="396">
        <v>0</v>
      </c>
      <c r="BM4" s="396">
        <v>0</v>
      </c>
      <c r="BN4" s="396">
        <f>SUM(BB4:BM4)</f>
        <v>0</v>
      </c>
      <c r="BO4" s="396"/>
    </row>
    <row r="5" spans="1:67" x14ac:dyDescent="0.25">
      <c r="A5" s="392" t="s">
        <v>349</v>
      </c>
      <c r="B5" s="396">
        <f>Allocation!C4</f>
        <v>0</v>
      </c>
      <c r="C5" s="396">
        <f>Allocation!D4</f>
        <v>0</v>
      </c>
      <c r="D5" s="396">
        <f>Allocation!E4</f>
        <v>0</v>
      </c>
      <c r="E5" s="396">
        <f>Allocation!F4</f>
        <v>0</v>
      </c>
      <c r="F5" s="396">
        <f>Allocation!G4</f>
        <v>0</v>
      </c>
      <c r="G5" s="396">
        <f>Allocation!H4</f>
        <v>0</v>
      </c>
      <c r="H5" s="396">
        <f>Allocation!I4</f>
        <v>0</v>
      </c>
      <c r="I5" s="396">
        <f>Allocation!J4</f>
        <v>7355.2852188498155</v>
      </c>
      <c r="J5" s="396">
        <f>Allocation!K4</f>
        <v>7736.269487458153</v>
      </c>
      <c r="K5" s="396">
        <f>Allocation!L4</f>
        <v>7777.6154874581525</v>
      </c>
      <c r="L5" s="396">
        <f>Allocation!M4</f>
        <v>11442.731486384928</v>
      </c>
      <c r="M5" s="396">
        <f>Allocation!N4</f>
        <v>17257.701565359999</v>
      </c>
      <c r="N5" s="396">
        <f t="shared" ref="N5:N8" si="0">SUM(B5:M5)</f>
        <v>51569.60324551104</v>
      </c>
      <c r="O5" s="396">
        <f>Allocation!P4-O4</f>
        <v>17528.807120917405</v>
      </c>
      <c r="P5" s="396">
        <f>Allocation!Q4-P4</f>
        <v>17421.018051300834</v>
      </c>
      <c r="Q5" s="396">
        <f>Allocation!R4-Q4</f>
        <v>17400.528297452078</v>
      </c>
      <c r="R5" s="396">
        <f>Allocation!S4-R4</f>
        <v>17629.355605839999</v>
      </c>
      <c r="S5" s="396">
        <f>Allocation!T4-S4</f>
        <v>17615.855605839999</v>
      </c>
      <c r="T5" s="396">
        <f>Allocation!U4-T4</f>
        <v>17557.892605839999</v>
      </c>
      <c r="U5" s="396">
        <f>Allocation!V4-U4</f>
        <v>17573.585605839999</v>
      </c>
      <c r="V5" s="396">
        <f>Allocation!W4-V4</f>
        <v>17546.948282464276</v>
      </c>
      <c r="W5" s="396">
        <f>Allocation!X4-W4</f>
        <v>17484.540991069542</v>
      </c>
      <c r="X5" s="396">
        <f>Allocation!Y4-X4</f>
        <v>17441.257316110008</v>
      </c>
      <c r="Y5" s="396">
        <f>Allocation!Z4-Y4</f>
        <v>17254.033481205057</v>
      </c>
      <c r="Z5" s="396">
        <f>Allocation!AA4-Z4</f>
        <v>18010.297168460282</v>
      </c>
      <c r="AA5" s="396">
        <f t="shared" ref="AA5:AA8" si="1">SUM(O5:Z5)</f>
        <v>210464.12013233948</v>
      </c>
      <c r="AB5" s="396">
        <f>Allocation!AC4-AB4</f>
        <v>19058.544909993343</v>
      </c>
      <c r="AC5" s="396">
        <f>Allocation!AD4-AC4</f>
        <v>19030.452515331581</v>
      </c>
      <c r="AD5" s="396">
        <f>Allocation!AE4-AD4</f>
        <v>19097.112962590902</v>
      </c>
      <c r="AE5" s="396">
        <f>Allocation!AF4-AE4</f>
        <v>19220.426036320205</v>
      </c>
      <c r="AF5" s="396">
        <f>Allocation!AG4-AF4</f>
        <v>19322.396321471726</v>
      </c>
      <c r="AG5" s="396">
        <f>Allocation!AH4-AG4</f>
        <v>19331.843959721304</v>
      </c>
      <c r="AH5" s="396">
        <f>Allocation!AI4-AH4</f>
        <v>19364.045705107357</v>
      </c>
      <c r="AI5" s="396">
        <f>Allocation!AJ4-AI4</f>
        <v>19249.301338361238</v>
      </c>
      <c r="AJ5" s="396">
        <f>Allocation!AK4-AJ4</f>
        <v>19241.040262745904</v>
      </c>
      <c r="AK5" s="396">
        <f>Allocation!AL4-AK4</f>
        <v>18851.996883017935</v>
      </c>
      <c r="AL5" s="396">
        <f>Allocation!AM4-AL4</f>
        <v>18754.835519456967</v>
      </c>
      <c r="AM5" s="396">
        <f>Allocation!AN4-AM4</f>
        <v>18773.443099836848</v>
      </c>
      <c r="AN5" s="396">
        <f t="shared" ref="AN5:AN8" si="2">SUM(AB5:AM5)</f>
        <v>229295.43951395529</v>
      </c>
      <c r="AO5" s="396">
        <f>Allocation!AP4-AO4</f>
        <v>22765.84943395924</v>
      </c>
      <c r="AP5" s="396">
        <f>Allocation!AQ4-AP4</f>
        <v>19365.798420489547</v>
      </c>
      <c r="AQ5" s="396">
        <f>Allocation!AR4-AQ4</f>
        <v>19450.920458538178</v>
      </c>
      <c r="AR5" s="396">
        <f>Allocation!AS4-AR4</f>
        <v>19702.565676076611</v>
      </c>
      <c r="AS5" s="396">
        <f>Allocation!AT4-AS4</f>
        <v>19771.445382104375</v>
      </c>
      <c r="AT5" s="396">
        <f>Allocation!AU4-AT4</f>
        <v>19920.179935861393</v>
      </c>
      <c r="AU5" s="396">
        <f>Allocation!AV4-AU4</f>
        <v>20004.360792618896</v>
      </c>
      <c r="AV5" s="396">
        <f>Allocation!AW4-AV4</f>
        <v>19835.325046533333</v>
      </c>
      <c r="AW5" s="396">
        <f>Allocation!AX4-AW4</f>
        <v>19887.9085247892</v>
      </c>
      <c r="AX5" s="396">
        <f>Allocation!AY4-AX4</f>
        <v>19566.918295682532</v>
      </c>
      <c r="AY5" s="396">
        <f>Allocation!AZ4-AY4</f>
        <v>18977.740129428137</v>
      </c>
      <c r="AZ5" s="396">
        <f>Allocation!BA4-AZ4</f>
        <v>19257.636329056924</v>
      </c>
      <c r="BA5" s="396">
        <f t="shared" ref="BA5:BA8" si="3">SUM(AO5:AZ5)</f>
        <v>238506.64842513838</v>
      </c>
      <c r="BB5" s="396">
        <f>Allocation!BC4-BB4</f>
        <v>19285.872197785102</v>
      </c>
      <c r="BC5" s="396">
        <f>Allocation!BD4-BC4</f>
        <v>19224.199104004409</v>
      </c>
      <c r="BD5" s="396">
        <f>Allocation!BE4-BD4</f>
        <v>19313.135936784409</v>
      </c>
      <c r="BE5" s="396">
        <f>Allocation!BF4-BE4+'S&amp;TVA 2024'!E40*(1-Allocation!BB14)</f>
        <v>28585.626901796379</v>
      </c>
      <c r="BF5" s="396">
        <f>Allocation!BG4-BF4</f>
        <v>20404.087681344678</v>
      </c>
      <c r="BG5" s="396">
        <f>Allocation!BH4-BG4</f>
        <v>20428.104344771542</v>
      </c>
      <c r="BH5" s="396">
        <f>Allocation!BI4-BH4</f>
        <v>20363.481786382683</v>
      </c>
      <c r="BI5" s="396">
        <f>Allocation!BJ4-BI4</f>
        <v>20401.952667090827</v>
      </c>
      <c r="BJ5" s="396">
        <f>Allocation!BK4-BJ4</f>
        <v>20384.591592684978</v>
      </c>
      <c r="BK5" s="396">
        <f>Allocation!BL4-BK4</f>
        <v>19697.819195694159</v>
      </c>
      <c r="BL5" s="396">
        <f>Allocation!BM4-BL4</f>
        <v>19776.442342666811</v>
      </c>
      <c r="BM5" s="396">
        <f>Allocation!BN4-BM4</f>
        <v>19673.206201032615</v>
      </c>
      <c r="BN5" s="396">
        <f t="shared" ref="BN5:BN8" si="4">SUM(BB5:BM5)</f>
        <v>247538.51995203862</v>
      </c>
      <c r="BO5" s="396"/>
    </row>
    <row r="6" spans="1:67" x14ac:dyDescent="0.25">
      <c r="A6" s="392" t="s">
        <v>473</v>
      </c>
      <c r="B6" s="396">
        <f>Allocation!C9</f>
        <v>0</v>
      </c>
      <c r="C6" s="396">
        <f>Allocation!D9</f>
        <v>0</v>
      </c>
      <c r="D6" s="396">
        <f>Allocation!E9</f>
        <v>0</v>
      </c>
      <c r="E6" s="396">
        <f>Allocation!F9</f>
        <v>0</v>
      </c>
      <c r="F6" s="396">
        <f>Allocation!G9</f>
        <v>0</v>
      </c>
      <c r="G6" s="396">
        <f>Allocation!H9</f>
        <v>0</v>
      </c>
      <c r="H6" s="396">
        <f>Allocation!I9</f>
        <v>0</v>
      </c>
      <c r="I6" s="396">
        <f>Allocation!J9</f>
        <v>1369.5314354895681</v>
      </c>
      <c r="J6" s="396">
        <f>Allocation!K9</f>
        <v>1856.0300691004481</v>
      </c>
      <c r="K6" s="396">
        <f>Allocation!L9</f>
        <v>2734.9553370883841</v>
      </c>
      <c r="L6" s="396">
        <f>Allocation!M9</f>
        <v>2712.4451136227394</v>
      </c>
      <c r="M6" s="396">
        <f>Allocation!N9</f>
        <v>2945.3546527092103</v>
      </c>
      <c r="N6" s="396">
        <f t="shared" si="0"/>
        <v>11618.316608010351</v>
      </c>
      <c r="O6" s="396">
        <f>Allocation!P9</f>
        <v>3076.936240635725</v>
      </c>
      <c r="P6" s="396">
        <f>Allocation!Q9</f>
        <v>2942.5425479787</v>
      </c>
      <c r="Q6" s="396">
        <f>Allocation!R9</f>
        <v>3119.7019587775617</v>
      </c>
      <c r="R6" s="396">
        <f>Allocation!S9</f>
        <v>2857.0036055103296</v>
      </c>
      <c r="S6" s="396">
        <f>Allocation!T9</f>
        <v>2624.0704445272481</v>
      </c>
      <c r="T6" s="396">
        <f>Allocation!U9</f>
        <v>1928.895998859434</v>
      </c>
      <c r="U6" s="396">
        <f>Allocation!V9</f>
        <v>2096.8584967294055</v>
      </c>
      <c r="V6" s="396">
        <f>Allocation!W9</f>
        <v>1997.2268903403876</v>
      </c>
      <c r="W6" s="396">
        <f>Allocation!X9</f>
        <v>1735.9719817908961</v>
      </c>
      <c r="X6" s="396">
        <f>Allocation!Y9</f>
        <v>2690.7909911740867</v>
      </c>
      <c r="Y6" s="396">
        <f>Allocation!Z9</f>
        <v>2955.6997841607549</v>
      </c>
      <c r="Z6" s="396">
        <f>Allocation!AA9</f>
        <v>3219.2711503351939</v>
      </c>
      <c r="AA6" s="396">
        <f t="shared" si="1"/>
        <v>31244.970090819723</v>
      </c>
      <c r="AB6" s="396">
        <f>Allocation!AC9</f>
        <v>3638.7378193034979</v>
      </c>
      <c r="AC6" s="396">
        <f>Allocation!AD9</f>
        <v>3110.0373848563399</v>
      </c>
      <c r="AD6" s="396">
        <f>Allocation!AE9</f>
        <v>3267.7552429741413</v>
      </c>
      <c r="AE6" s="396">
        <f>Allocation!AF9</f>
        <v>2965.3098487397574</v>
      </c>
      <c r="AF6" s="396">
        <f>Allocation!AG9</f>
        <v>2819.4310523904005</v>
      </c>
      <c r="AG6" s="396">
        <f>Allocation!AH9</f>
        <v>2048.8400565695997</v>
      </c>
      <c r="AH6" s="396">
        <f>Allocation!AI9</f>
        <v>2031.2053864896002</v>
      </c>
      <c r="AI6" s="396">
        <f>Allocation!AJ9</f>
        <v>2120.1722970432002</v>
      </c>
      <c r="AJ6" s="396">
        <f>Allocation!AK9</f>
        <v>1903.9271551871998</v>
      </c>
      <c r="AK6" s="396">
        <f>Allocation!AL9</f>
        <v>2561.48</v>
      </c>
      <c r="AL6" s="396">
        <f>Allocation!AM9</f>
        <v>2772.5669166527996</v>
      </c>
      <c r="AM6" s="396">
        <f>Allocation!AN9</f>
        <v>2957.9072991936009</v>
      </c>
      <c r="AN6" s="396">
        <f t="shared" si="2"/>
        <v>32197.370459400136</v>
      </c>
      <c r="AO6" s="396">
        <f>Allocation!AP9</f>
        <v>2948.7813574272</v>
      </c>
      <c r="AP6" s="396">
        <f>Allocation!AQ9</f>
        <v>2720.015599814401</v>
      </c>
      <c r="AQ6" s="396">
        <f>Allocation!AR9</f>
        <v>2993.7938528064005</v>
      </c>
      <c r="AR6" s="396">
        <f>Allocation!AS9</f>
        <v>2767.4585534775997</v>
      </c>
      <c r="AS6" s="396">
        <f>Allocation!AT9</f>
        <v>2348.2764051704007</v>
      </c>
      <c r="AT6" s="396">
        <f>Allocation!AU9</f>
        <v>1990.4972021344001</v>
      </c>
      <c r="AU6" s="396">
        <f>Allocation!AV9</f>
        <v>2206.7097297680007</v>
      </c>
      <c r="AV6" s="396">
        <f>Allocation!AW9</f>
        <v>2296.2317808176008</v>
      </c>
      <c r="AW6" s="396">
        <f>Allocation!AX9</f>
        <v>2146.7193612392007</v>
      </c>
      <c r="AX6" s="396">
        <f>Allocation!AY9</f>
        <v>2561.6637793192003</v>
      </c>
      <c r="AY6" s="396">
        <f>Allocation!AZ9</f>
        <v>2783.7914720616</v>
      </c>
      <c r="AZ6" s="396">
        <f>Allocation!BA9</f>
        <v>2975.7694799584001</v>
      </c>
      <c r="BA6" s="396">
        <f t="shared" si="3"/>
        <v>30739.708573994405</v>
      </c>
      <c r="BB6" s="396">
        <f>Allocation!BC9</f>
        <v>3201.4286145567999</v>
      </c>
      <c r="BC6" s="396">
        <f>Allocation!BD9</f>
        <v>2602.010502524</v>
      </c>
      <c r="BD6" s="396">
        <f>Allocation!BE9</f>
        <v>2668.5600951798133</v>
      </c>
      <c r="BE6" s="396">
        <f>Allocation!BF9</f>
        <v>2490.6817980136007</v>
      </c>
      <c r="BF6" s="396">
        <f>Allocation!BG9</f>
        <v>2690.5614070632005</v>
      </c>
      <c r="BG6" s="396">
        <f>Allocation!BH9</f>
        <v>1881.2873627376005</v>
      </c>
      <c r="BH6" s="396">
        <f>Allocation!BI9</f>
        <v>2234.5816481400002</v>
      </c>
      <c r="BI6" s="396">
        <f>Allocation!BJ9</f>
        <v>2297.4891413592004</v>
      </c>
      <c r="BJ6" s="396">
        <f>Allocation!BK9</f>
        <v>2216.8723958472001</v>
      </c>
      <c r="BK6" s="396">
        <f>Allocation!BL9</f>
        <v>2632.9517189951998</v>
      </c>
      <c r="BL6" s="396">
        <f>Allocation!BM9</f>
        <v>2607.7534794144003</v>
      </c>
      <c r="BM6" s="396">
        <f>Allocation!BN9</f>
        <v>3009.1631980511993</v>
      </c>
      <c r="BN6" s="396">
        <f t="shared" si="4"/>
        <v>30533.341361882216</v>
      </c>
      <c r="BO6" s="396"/>
    </row>
    <row r="7" spans="1:67" x14ac:dyDescent="0.25">
      <c r="A7" s="392" t="s">
        <v>350</v>
      </c>
      <c r="B7" s="396">
        <v>0</v>
      </c>
      <c r="C7" s="396">
        <v>0</v>
      </c>
      <c r="D7" s="396">
        <v>0</v>
      </c>
      <c r="E7" s="396">
        <v>0</v>
      </c>
      <c r="F7" s="396">
        <v>0</v>
      </c>
      <c r="G7" s="396">
        <v>0</v>
      </c>
      <c r="H7" s="396">
        <v>0</v>
      </c>
      <c r="I7" s="396">
        <v>0</v>
      </c>
      <c r="J7" s="396">
        <v>0</v>
      </c>
      <c r="K7" s="396">
        <v>0</v>
      </c>
      <c r="L7" s="396">
        <v>0</v>
      </c>
      <c r="M7" s="396">
        <v>0</v>
      </c>
      <c r="N7" s="396">
        <f t="shared" si="0"/>
        <v>0</v>
      </c>
      <c r="O7" s="396">
        <v>0</v>
      </c>
      <c r="P7" s="396">
        <v>0</v>
      </c>
      <c r="Q7" s="396">
        <v>0</v>
      </c>
      <c r="R7" s="396">
        <v>0</v>
      </c>
      <c r="S7" s="396">
        <v>0</v>
      </c>
      <c r="T7" s="396">
        <v>0</v>
      </c>
      <c r="U7" s="396">
        <v>0</v>
      </c>
      <c r="V7" s="396">
        <v>0</v>
      </c>
      <c r="W7" s="396">
        <v>0</v>
      </c>
      <c r="X7" s="396">
        <v>0</v>
      </c>
      <c r="Y7" s="396">
        <v>0</v>
      </c>
      <c r="Z7" s="396">
        <v>0</v>
      </c>
      <c r="AA7" s="396">
        <f t="shared" si="1"/>
        <v>0</v>
      </c>
      <c r="AB7" s="396">
        <v>0</v>
      </c>
      <c r="AC7" s="396">
        <v>0</v>
      </c>
      <c r="AD7" s="396">
        <v>0</v>
      </c>
      <c r="AE7" s="396">
        <v>0</v>
      </c>
      <c r="AF7" s="396">
        <v>0</v>
      </c>
      <c r="AG7" s="396">
        <v>0</v>
      </c>
      <c r="AH7" s="396">
        <v>0</v>
      </c>
      <c r="AI7" s="396">
        <v>0</v>
      </c>
      <c r="AJ7" s="396">
        <v>0</v>
      </c>
      <c r="AK7" s="396">
        <v>0</v>
      </c>
      <c r="AL7" s="396">
        <v>0</v>
      </c>
      <c r="AM7" s="396">
        <v>0</v>
      </c>
      <c r="AN7" s="396">
        <f t="shared" si="2"/>
        <v>0</v>
      </c>
      <c r="AO7" s="396">
        <v>0</v>
      </c>
      <c r="AP7" s="396">
        <v>0</v>
      </c>
      <c r="AQ7" s="396">
        <v>0</v>
      </c>
      <c r="AR7" s="396">
        <v>0</v>
      </c>
      <c r="AS7" s="396">
        <v>0</v>
      </c>
      <c r="AT7" s="396">
        <v>0</v>
      </c>
      <c r="AU7" s="396">
        <v>0</v>
      </c>
      <c r="AV7" s="396">
        <v>0</v>
      </c>
      <c r="AW7" s="396">
        <v>0</v>
      </c>
      <c r="AX7" s="396">
        <v>0</v>
      </c>
      <c r="AY7" s="396">
        <v>0</v>
      </c>
      <c r="AZ7" s="396">
        <v>0</v>
      </c>
      <c r="BA7" s="396">
        <f t="shared" si="3"/>
        <v>0</v>
      </c>
      <c r="BB7" s="396">
        <v>0</v>
      </c>
      <c r="BC7" s="396">
        <v>0</v>
      </c>
      <c r="BD7" s="396">
        <v>0</v>
      </c>
      <c r="BE7" s="396">
        <v>0</v>
      </c>
      <c r="BF7" s="396">
        <v>0</v>
      </c>
      <c r="BG7" s="396">
        <v>0</v>
      </c>
      <c r="BH7" s="396">
        <v>0</v>
      </c>
      <c r="BI7" s="396">
        <v>0</v>
      </c>
      <c r="BJ7" s="396">
        <v>0</v>
      </c>
      <c r="BK7" s="396">
        <v>0</v>
      </c>
      <c r="BL7" s="396">
        <v>0</v>
      </c>
      <c r="BM7" s="396">
        <v>0</v>
      </c>
      <c r="BN7" s="396">
        <f t="shared" si="4"/>
        <v>0</v>
      </c>
      <c r="BO7" s="396"/>
    </row>
    <row r="8" spans="1:67" x14ac:dyDescent="0.25">
      <c r="A8" s="392" t="s">
        <v>352</v>
      </c>
      <c r="B8" s="396">
        <v>0</v>
      </c>
      <c r="C8" s="396">
        <v>0</v>
      </c>
      <c r="D8" s="396">
        <v>0</v>
      </c>
      <c r="E8" s="396">
        <v>0</v>
      </c>
      <c r="F8" s="396">
        <v>0</v>
      </c>
      <c r="G8" s="396">
        <v>0</v>
      </c>
      <c r="H8" s="396">
        <v>0</v>
      </c>
      <c r="I8" s="396">
        <v>0</v>
      </c>
      <c r="J8" s="396">
        <v>0</v>
      </c>
      <c r="K8" s="396">
        <v>0</v>
      </c>
      <c r="L8" s="396">
        <v>0</v>
      </c>
      <c r="M8" s="396">
        <v>0</v>
      </c>
      <c r="N8" s="396">
        <f t="shared" si="0"/>
        <v>0</v>
      </c>
      <c r="O8" s="396">
        <v>0</v>
      </c>
      <c r="P8" s="396">
        <v>0</v>
      </c>
      <c r="Q8" s="396">
        <v>0</v>
      </c>
      <c r="R8" s="396">
        <v>0</v>
      </c>
      <c r="S8" s="396">
        <v>0</v>
      </c>
      <c r="T8" s="396">
        <v>0</v>
      </c>
      <c r="U8" s="396">
        <v>0</v>
      </c>
      <c r="V8" s="396">
        <v>0</v>
      </c>
      <c r="W8" s="396">
        <v>0</v>
      </c>
      <c r="X8" s="396">
        <v>0</v>
      </c>
      <c r="Y8" s="396">
        <v>0</v>
      </c>
      <c r="Z8" s="396">
        <v>0</v>
      </c>
      <c r="AA8" s="396">
        <f t="shared" si="1"/>
        <v>0</v>
      </c>
      <c r="AB8" s="396">
        <v>0</v>
      </c>
      <c r="AC8" s="396">
        <v>0</v>
      </c>
      <c r="AD8" s="396">
        <v>0</v>
      </c>
      <c r="AE8" s="396">
        <v>0</v>
      </c>
      <c r="AF8" s="396">
        <v>0</v>
      </c>
      <c r="AG8" s="396">
        <v>0</v>
      </c>
      <c r="AH8" s="396">
        <v>0</v>
      </c>
      <c r="AI8" s="396">
        <v>0</v>
      </c>
      <c r="AJ8" s="396">
        <v>0</v>
      </c>
      <c r="AK8" s="396">
        <v>0</v>
      </c>
      <c r="AL8" s="396">
        <v>0</v>
      </c>
      <c r="AM8" s="396">
        <v>0</v>
      </c>
      <c r="AN8" s="396">
        <f t="shared" si="2"/>
        <v>0</v>
      </c>
      <c r="AO8" s="396">
        <v>0</v>
      </c>
      <c r="AP8" s="396">
        <v>0</v>
      </c>
      <c r="AQ8" s="396">
        <v>0</v>
      </c>
      <c r="AR8" s="396">
        <v>0</v>
      </c>
      <c r="AS8" s="396">
        <v>0</v>
      </c>
      <c r="AT8" s="396">
        <v>0</v>
      </c>
      <c r="AU8" s="396">
        <v>0</v>
      </c>
      <c r="AV8" s="396">
        <v>0</v>
      </c>
      <c r="AW8" s="396">
        <v>0</v>
      </c>
      <c r="AX8" s="396">
        <v>0</v>
      </c>
      <c r="AY8" s="396">
        <v>0</v>
      </c>
      <c r="AZ8" s="396">
        <v>0</v>
      </c>
      <c r="BA8" s="396">
        <f t="shared" si="3"/>
        <v>0</v>
      </c>
      <c r="BB8" s="396">
        <v>0</v>
      </c>
      <c r="BC8" s="396">
        <v>0</v>
      </c>
      <c r="BD8" s="396">
        <v>0</v>
      </c>
      <c r="BE8" s="396">
        <v>0</v>
      </c>
      <c r="BF8" s="396">
        <v>0</v>
      </c>
      <c r="BG8" s="396">
        <v>0</v>
      </c>
      <c r="BH8" s="396">
        <v>0</v>
      </c>
      <c r="BI8" s="396">
        <v>0</v>
      </c>
      <c r="BJ8" s="396">
        <v>0</v>
      </c>
      <c r="BK8" s="396">
        <v>0</v>
      </c>
      <c r="BL8" s="396">
        <v>0</v>
      </c>
      <c r="BM8" s="396">
        <v>0</v>
      </c>
      <c r="BN8" s="396">
        <f t="shared" si="4"/>
        <v>0</v>
      </c>
      <c r="BO8" s="396"/>
    </row>
    <row r="9" spans="1:67" s="315" customFormat="1" x14ac:dyDescent="0.25">
      <c r="A9" s="392" t="s">
        <v>436</v>
      </c>
      <c r="B9" s="400">
        <f>SUM(B4:B8)</f>
        <v>0</v>
      </c>
      <c r="C9" s="400">
        <f t="shared" ref="C9:BN9" si="5">SUM(C4:C8)</f>
        <v>0</v>
      </c>
      <c r="D9" s="400">
        <f t="shared" si="5"/>
        <v>0</v>
      </c>
      <c r="E9" s="400">
        <f t="shared" si="5"/>
        <v>0</v>
      </c>
      <c r="F9" s="400">
        <f t="shared" si="5"/>
        <v>0</v>
      </c>
      <c r="G9" s="400">
        <f t="shared" si="5"/>
        <v>0</v>
      </c>
      <c r="H9" s="400">
        <f t="shared" si="5"/>
        <v>0</v>
      </c>
      <c r="I9" s="400">
        <f t="shared" si="5"/>
        <v>8724.8166543393836</v>
      </c>
      <c r="J9" s="400">
        <f t="shared" si="5"/>
        <v>9592.2995565586007</v>
      </c>
      <c r="K9" s="400">
        <f t="shared" si="5"/>
        <v>10512.570824546536</v>
      </c>
      <c r="L9" s="400">
        <f t="shared" si="5"/>
        <v>14155.176600007668</v>
      </c>
      <c r="M9" s="400">
        <f t="shared" si="5"/>
        <v>20203.05621806921</v>
      </c>
      <c r="N9" s="400">
        <f t="shared" si="5"/>
        <v>63187.919853521395</v>
      </c>
      <c r="O9" s="400">
        <f t="shared" si="5"/>
        <v>20605.74336155313</v>
      </c>
      <c r="P9" s="400">
        <f t="shared" si="5"/>
        <v>20363.560599279535</v>
      </c>
      <c r="Q9" s="400">
        <f t="shared" si="5"/>
        <v>20520.230256229639</v>
      </c>
      <c r="R9" s="400">
        <f t="shared" si="5"/>
        <v>20486.359211350329</v>
      </c>
      <c r="S9" s="400">
        <f t="shared" si="5"/>
        <v>20239.926050367249</v>
      </c>
      <c r="T9" s="400">
        <f t="shared" si="5"/>
        <v>19486.788604699432</v>
      </c>
      <c r="U9" s="400">
        <f t="shared" si="5"/>
        <v>19670.444102569403</v>
      </c>
      <c r="V9" s="400">
        <f t="shared" si="5"/>
        <v>19544.175172804666</v>
      </c>
      <c r="W9" s="400">
        <f t="shared" si="5"/>
        <v>19220.512972860437</v>
      </c>
      <c r="X9" s="400">
        <f t="shared" si="5"/>
        <v>20132.048307284094</v>
      </c>
      <c r="Y9" s="400">
        <f t="shared" si="5"/>
        <v>20209.733265365812</v>
      </c>
      <c r="Z9" s="400">
        <f t="shared" si="5"/>
        <v>21229.568318795475</v>
      </c>
      <c r="AA9" s="400">
        <f t="shared" si="5"/>
        <v>241709.0902231592</v>
      </c>
      <c r="AB9" s="400">
        <f t="shared" si="5"/>
        <v>22697.28272929684</v>
      </c>
      <c r="AC9" s="400">
        <f t="shared" si="5"/>
        <v>22140.48990018792</v>
      </c>
      <c r="AD9" s="400">
        <f t="shared" si="5"/>
        <v>22364.868205565042</v>
      </c>
      <c r="AE9" s="400">
        <f t="shared" si="5"/>
        <v>22185.735885059963</v>
      </c>
      <c r="AF9" s="400">
        <f t="shared" si="5"/>
        <v>22141.827373862128</v>
      </c>
      <c r="AG9" s="400">
        <f t="shared" si="5"/>
        <v>21380.684016290903</v>
      </c>
      <c r="AH9" s="400">
        <f t="shared" si="5"/>
        <v>21395.251091596958</v>
      </c>
      <c r="AI9" s="400">
        <f t="shared" si="5"/>
        <v>21369.473635404436</v>
      </c>
      <c r="AJ9" s="400">
        <f t="shared" si="5"/>
        <v>21144.967417933105</v>
      </c>
      <c r="AK9" s="400">
        <f t="shared" si="5"/>
        <v>21413.476883017935</v>
      </c>
      <c r="AL9" s="400">
        <f t="shared" si="5"/>
        <v>21527.402436109765</v>
      </c>
      <c r="AM9" s="400">
        <f t="shared" si="5"/>
        <v>21731.350399030449</v>
      </c>
      <c r="AN9" s="400">
        <f t="shared" si="5"/>
        <v>261492.80997335544</v>
      </c>
      <c r="AO9" s="400">
        <f t="shared" si="5"/>
        <v>25714.63079138644</v>
      </c>
      <c r="AP9" s="400">
        <f t="shared" si="5"/>
        <v>22085.814020303947</v>
      </c>
      <c r="AQ9" s="400">
        <f t="shared" si="5"/>
        <v>22444.714311344578</v>
      </c>
      <c r="AR9" s="400">
        <f t="shared" si="5"/>
        <v>22470.024229554212</v>
      </c>
      <c r="AS9" s="400">
        <f t="shared" si="5"/>
        <v>22119.721787274775</v>
      </c>
      <c r="AT9" s="400">
        <f t="shared" si="5"/>
        <v>21910.677137995794</v>
      </c>
      <c r="AU9" s="400">
        <f t="shared" si="5"/>
        <v>22211.070522386897</v>
      </c>
      <c r="AV9" s="400">
        <f t="shared" si="5"/>
        <v>22131.556827350934</v>
      </c>
      <c r="AW9" s="400">
        <f t="shared" si="5"/>
        <v>22034.6278860284</v>
      </c>
      <c r="AX9" s="400">
        <f t="shared" si="5"/>
        <v>22128.58207500173</v>
      </c>
      <c r="AY9" s="400">
        <f t="shared" si="5"/>
        <v>21761.531601489736</v>
      </c>
      <c r="AZ9" s="400">
        <f t="shared" si="5"/>
        <v>22233.405809015323</v>
      </c>
      <c r="BA9" s="400">
        <f t="shared" si="5"/>
        <v>269246.35699913278</v>
      </c>
      <c r="BB9" s="400">
        <f t="shared" si="5"/>
        <v>22487.300812341902</v>
      </c>
      <c r="BC9" s="400">
        <f t="shared" si="5"/>
        <v>21826.209606528409</v>
      </c>
      <c r="BD9" s="400">
        <f t="shared" si="5"/>
        <v>21981.696031964224</v>
      </c>
      <c r="BE9" s="400">
        <f t="shared" si="5"/>
        <v>31076.308699809979</v>
      </c>
      <c r="BF9" s="400">
        <f t="shared" si="5"/>
        <v>23094.649088407878</v>
      </c>
      <c r="BG9" s="400">
        <f t="shared" si="5"/>
        <v>22309.391707509141</v>
      </c>
      <c r="BH9" s="400">
        <f t="shared" si="5"/>
        <v>22598.063434522683</v>
      </c>
      <c r="BI9" s="400">
        <f t="shared" si="5"/>
        <v>22699.441808450028</v>
      </c>
      <c r="BJ9" s="400">
        <f t="shared" si="5"/>
        <v>22601.463988532178</v>
      </c>
      <c r="BK9" s="400">
        <f t="shared" si="5"/>
        <v>22330.770914689358</v>
      </c>
      <c r="BL9" s="400">
        <f t="shared" si="5"/>
        <v>22384.195822081212</v>
      </c>
      <c r="BM9" s="400">
        <f t="shared" si="5"/>
        <v>22682.369399083815</v>
      </c>
      <c r="BN9" s="400">
        <f t="shared" si="5"/>
        <v>278071.86131392082</v>
      </c>
      <c r="BO9" s="400"/>
    </row>
    <row r="10" spans="1:67" x14ac:dyDescent="0.25">
      <c r="A10" s="392"/>
      <c r="B10" s="396"/>
      <c r="C10" s="396"/>
      <c r="D10" s="396"/>
      <c r="E10" s="396"/>
      <c r="F10" s="396"/>
      <c r="G10" s="396"/>
      <c r="H10" s="396"/>
      <c r="I10" s="396"/>
      <c r="J10" s="396"/>
      <c r="K10" s="396"/>
      <c r="L10" s="396"/>
      <c r="M10" s="396"/>
      <c r="N10" s="396"/>
      <c r="O10" s="396"/>
      <c r="P10" s="396"/>
      <c r="Q10" s="396"/>
      <c r="R10" s="396"/>
      <c r="S10" s="396"/>
      <c r="T10" s="396"/>
      <c r="U10" s="396"/>
      <c r="V10" s="396"/>
      <c r="W10" s="396"/>
      <c r="X10" s="396"/>
      <c r="Y10" s="396"/>
      <c r="Z10" s="396"/>
      <c r="AA10" s="396"/>
      <c r="AB10" s="396"/>
      <c r="AC10" s="396"/>
      <c r="AD10" s="396"/>
      <c r="AE10" s="396"/>
      <c r="AF10" s="396"/>
      <c r="AG10" s="396"/>
      <c r="AH10" s="396"/>
      <c r="AI10" s="396"/>
      <c r="AJ10" s="396"/>
      <c r="AK10" s="396"/>
      <c r="AL10" s="396"/>
      <c r="AM10" s="396"/>
      <c r="AN10" s="396"/>
      <c r="AO10" s="396"/>
      <c r="AP10" s="396"/>
      <c r="AQ10" s="396"/>
      <c r="AR10" s="396"/>
      <c r="AS10" s="396"/>
      <c r="AT10" s="396"/>
      <c r="AU10" s="396"/>
      <c r="AV10" s="396"/>
      <c r="AW10" s="396"/>
      <c r="AX10" s="396"/>
      <c r="AY10" s="396"/>
      <c r="AZ10" s="396"/>
      <c r="BA10" s="396"/>
      <c r="BB10" s="396"/>
      <c r="BC10" s="396"/>
      <c r="BD10" s="396"/>
      <c r="BE10" s="396"/>
      <c r="BF10" s="396"/>
      <c r="BG10" s="396"/>
      <c r="BH10" s="396"/>
      <c r="BI10" s="396"/>
      <c r="BJ10" s="396"/>
      <c r="BK10" s="396"/>
      <c r="BL10" s="396"/>
      <c r="BM10" s="396"/>
      <c r="BN10" s="396"/>
      <c r="BO10" s="396"/>
    </row>
    <row r="11" spans="1:67" s="315" customFormat="1" x14ac:dyDescent="0.25">
      <c r="A11" s="392" t="s">
        <v>419</v>
      </c>
      <c r="B11" s="400">
        <f>'S&amp;TVA Q4 2020'!B45</f>
        <v>0</v>
      </c>
      <c r="C11" s="400">
        <f>'S&amp;TVA Q4 2020'!C45</f>
        <v>0</v>
      </c>
      <c r="D11" s="400">
        <f>'S&amp;TVA Q4 2020'!D45</f>
        <v>0</v>
      </c>
      <c r="E11" s="400">
        <f>'S&amp;TVA Q4 2020'!E45</f>
        <v>0</v>
      </c>
      <c r="F11" s="400">
        <f>'S&amp;TVA Q4 2020'!F45</f>
        <v>0</v>
      </c>
      <c r="G11" s="400">
        <f>'S&amp;TVA Q4 2020'!G45</f>
        <v>0</v>
      </c>
      <c r="H11" s="400">
        <f>'S&amp;TVA Q4 2020'!H45</f>
        <v>0</v>
      </c>
      <c r="I11" s="400">
        <f>'S&amp;TVA Q4 2020'!I45</f>
        <v>0</v>
      </c>
      <c r="J11" s="400">
        <f>'S&amp;TVA Q4 2020'!J45</f>
        <v>9877.2099999999991</v>
      </c>
      <c r="K11" s="400">
        <f>'S&amp;TVA Q4 2020'!K45</f>
        <v>15882.82</v>
      </c>
      <c r="L11" s="400">
        <f>'S&amp;TVA Q4 2020'!L45</f>
        <v>15873.16</v>
      </c>
      <c r="M11" s="400">
        <f>'S&amp;TVA Q4 2020'!M45</f>
        <v>15889.26</v>
      </c>
      <c r="N11" s="400">
        <f>SUM(B11:M11)</f>
        <v>57522.450000000004</v>
      </c>
      <c r="O11" s="400">
        <f>'S&amp;TVA 2021'!B47</f>
        <v>15889.26</v>
      </c>
      <c r="P11" s="400">
        <f>'S&amp;TVA 2021'!C47</f>
        <v>15889.26</v>
      </c>
      <c r="Q11" s="400">
        <f>'S&amp;TVA 2021'!D47</f>
        <v>15889.26</v>
      </c>
      <c r="R11" s="400">
        <f>'S&amp;TVA 2021'!E47</f>
        <v>15889.26</v>
      </c>
      <c r="S11" s="400">
        <f>'S&amp;TVA 2021'!F47</f>
        <v>15889.26</v>
      </c>
      <c r="T11" s="400">
        <f>'S&amp;TVA 2021'!G47</f>
        <v>15889.26</v>
      </c>
      <c r="U11" s="400">
        <f>'S&amp;TVA 2021'!H47</f>
        <v>15889.26</v>
      </c>
      <c r="V11" s="400">
        <f>'S&amp;TVA 2021'!I47</f>
        <v>15889.26</v>
      </c>
      <c r="W11" s="400">
        <f>'S&amp;TVA 2021'!J47</f>
        <v>15889.26</v>
      </c>
      <c r="X11" s="400">
        <f>'S&amp;TVA 2021'!K47</f>
        <v>15889.26</v>
      </c>
      <c r="Y11" s="400">
        <f>'S&amp;TVA 2021'!L47</f>
        <v>15889.26</v>
      </c>
      <c r="Z11" s="400">
        <f>'S&amp;TVA 2021'!M47</f>
        <v>15889.26</v>
      </c>
      <c r="AA11" s="400">
        <f>SUM(O11:Z11)</f>
        <v>190671.12000000002</v>
      </c>
      <c r="AB11" s="400">
        <f>'S&amp;TVA 2022'!B47</f>
        <v>15889.26</v>
      </c>
      <c r="AC11" s="400">
        <f>'S&amp;TVA 2022'!C47</f>
        <v>15889.26</v>
      </c>
      <c r="AD11" s="400">
        <f>'S&amp;TVA 2022'!D47</f>
        <v>15889.26</v>
      </c>
      <c r="AE11" s="400">
        <f>'S&amp;TVA 2022'!E47</f>
        <v>15889.26</v>
      </c>
      <c r="AF11" s="400">
        <f>'S&amp;TVA 2022'!F47</f>
        <v>15889.26</v>
      </c>
      <c r="AG11" s="400">
        <f>'S&amp;TVA 2022'!G47</f>
        <v>15889.26</v>
      </c>
      <c r="AH11" s="400">
        <f>'S&amp;TVA 2022'!H47</f>
        <v>15889.26</v>
      </c>
      <c r="AI11" s="400">
        <f>'S&amp;TVA 2022'!I47</f>
        <v>15889.26</v>
      </c>
      <c r="AJ11" s="400">
        <f>'S&amp;TVA 2022'!J47</f>
        <v>17535.7</v>
      </c>
      <c r="AK11" s="400">
        <f>'S&amp;TVA 2022'!K47</f>
        <v>17535.7</v>
      </c>
      <c r="AL11" s="400">
        <f>'S&amp;TVA 2022'!L47</f>
        <v>17535.7</v>
      </c>
      <c r="AM11" s="400">
        <f>'S&amp;TVA 2022'!M47</f>
        <v>40969.46</v>
      </c>
      <c r="AN11" s="400">
        <f>SUM(AB11:AM11)</f>
        <v>220690.64</v>
      </c>
      <c r="AO11" s="400">
        <f>'S&amp;TVA 2023'!B48</f>
        <v>19182.14</v>
      </c>
      <c r="AP11" s="400">
        <f>'S&amp;TVA 2023'!C48</f>
        <v>15889.26</v>
      </c>
      <c r="AQ11" s="400">
        <f>'S&amp;TVA 2023'!D48</f>
        <v>17535.7</v>
      </c>
      <c r="AR11" s="400">
        <f>'S&amp;TVA 2023'!E48</f>
        <v>17535.7</v>
      </c>
      <c r="AS11" s="400">
        <f>'S&amp;TVA 2023'!F48</f>
        <v>17544.68</v>
      </c>
      <c r="AT11" s="400">
        <f>'S&amp;TVA 2023'!G48</f>
        <v>19190.46</v>
      </c>
      <c r="AU11" s="400">
        <f>'S&amp;TVA 2023'!H48</f>
        <v>17536.36</v>
      </c>
      <c r="AV11" s="400">
        <f>'S&amp;TVA 2023'!I48</f>
        <v>17535.699999999997</v>
      </c>
      <c r="AW11" s="400">
        <f>'S&amp;TVA 2023'!J48</f>
        <v>17535.699999999997</v>
      </c>
      <c r="AX11" s="400">
        <f>'S&amp;TVA 2023'!K48</f>
        <v>17535.699999999997</v>
      </c>
      <c r="AY11" s="400">
        <f>'S&amp;TVA 2023'!L48</f>
        <v>17535.699999999997</v>
      </c>
      <c r="AZ11" s="400">
        <f>'S&amp;TVA 2023'!M48</f>
        <v>17535.699999999997</v>
      </c>
      <c r="BA11" s="400">
        <f>SUM(AO11:AZ11)</f>
        <v>212092.80000000005</v>
      </c>
      <c r="BB11" s="400">
        <f>'S&amp;TVA 2024'!B58</f>
        <v>17535.699999999997</v>
      </c>
      <c r="BC11" s="400">
        <f>'S&amp;TVA 2024'!C58</f>
        <v>17535.699999999997</v>
      </c>
      <c r="BD11" s="400">
        <f>'S&amp;TVA 2024'!D58</f>
        <v>17535.699999999997</v>
      </c>
      <c r="BE11" s="400">
        <f>'S&amp;TVA 2024'!E58</f>
        <v>17535.699999999997</v>
      </c>
      <c r="BF11" s="400">
        <f>'S&amp;TVA 2024'!F58</f>
        <v>17535.699999999997</v>
      </c>
      <c r="BG11" s="400">
        <f>'S&amp;TVA 2024'!G58</f>
        <v>17535.699999999997</v>
      </c>
      <c r="BH11" s="400">
        <f>'S&amp;TVA 2024'!H58</f>
        <v>17535.699999999997</v>
      </c>
      <c r="BI11" s="400">
        <f>'S&amp;TVA 2024'!I58</f>
        <v>17535.699999999997</v>
      </c>
      <c r="BJ11" s="400">
        <f>'S&amp;TVA 2024'!J58</f>
        <v>17535.699999999997</v>
      </c>
      <c r="BK11" s="400">
        <f>'S&amp;TVA 2024'!K58</f>
        <v>17535.699999999997</v>
      </c>
      <c r="BL11" s="400">
        <f>'S&amp;TVA 2024'!L58</f>
        <v>17535.699999999997</v>
      </c>
      <c r="BM11" s="400">
        <f>'S&amp;TVA 2024'!M58</f>
        <v>17535.699999999997</v>
      </c>
      <c r="BN11" s="400">
        <f>SUM(BB11:BM11)</f>
        <v>210428.40000000002</v>
      </c>
      <c r="BO11" s="400"/>
    </row>
    <row r="12" spans="1:67" x14ac:dyDescent="0.25">
      <c r="A12" s="392"/>
      <c r="B12" s="397"/>
      <c r="C12" s="397"/>
      <c r="D12" s="397"/>
      <c r="E12" s="397"/>
      <c r="F12" s="397"/>
      <c r="G12" s="397"/>
      <c r="H12" s="397"/>
      <c r="I12" s="397"/>
      <c r="J12" s="397"/>
      <c r="K12" s="397"/>
      <c r="L12" s="397"/>
      <c r="M12" s="397"/>
      <c r="N12" s="397"/>
      <c r="O12" s="397"/>
      <c r="P12" s="397"/>
      <c r="Q12" s="397"/>
      <c r="R12" s="397"/>
      <c r="S12" s="397"/>
      <c r="T12" s="397"/>
      <c r="U12" s="397"/>
      <c r="V12" s="397"/>
      <c r="W12" s="397"/>
      <c r="X12" s="397"/>
      <c r="Y12" s="397"/>
      <c r="Z12" s="397"/>
      <c r="AA12" s="397"/>
      <c r="AB12" s="397"/>
      <c r="AC12" s="397"/>
      <c r="AD12" s="397"/>
      <c r="AE12" s="397"/>
      <c r="AF12" s="397"/>
      <c r="AG12" s="397"/>
      <c r="AH12" s="397"/>
      <c r="AI12" s="397"/>
      <c r="AJ12" s="397"/>
      <c r="AK12" s="397"/>
      <c r="AL12" s="397"/>
      <c r="AM12" s="397"/>
      <c r="AN12" s="397"/>
      <c r="AO12" s="397"/>
      <c r="AP12" s="397"/>
      <c r="AQ12" s="397"/>
      <c r="AR12" s="397"/>
      <c r="AS12" s="397"/>
      <c r="AT12" s="397"/>
      <c r="AU12" s="397"/>
      <c r="AV12" s="397"/>
      <c r="AW12" s="397"/>
      <c r="AX12" s="397"/>
      <c r="AY12" s="397"/>
      <c r="AZ12" s="397"/>
      <c r="BA12" s="397"/>
      <c r="BB12" s="397"/>
      <c r="BC12" s="397"/>
      <c r="BD12" s="397"/>
      <c r="BE12" s="397"/>
      <c r="BF12" s="397"/>
      <c r="BG12" s="397"/>
      <c r="BH12" s="397"/>
      <c r="BI12" s="397"/>
      <c r="BJ12" s="397"/>
      <c r="BK12" s="397"/>
      <c r="BL12" s="397"/>
      <c r="BM12" s="397"/>
      <c r="BN12" s="397"/>
      <c r="BO12" s="397"/>
    </row>
    <row r="13" spans="1:67" x14ac:dyDescent="0.25">
      <c r="A13" s="392" t="s">
        <v>417</v>
      </c>
      <c r="B13" s="396">
        <f>B9-B11</f>
        <v>0</v>
      </c>
      <c r="C13" s="396">
        <f t="shared" ref="C13:M13" si="6">C9-C11</f>
        <v>0</v>
      </c>
      <c r="D13" s="396">
        <f t="shared" si="6"/>
        <v>0</v>
      </c>
      <c r="E13" s="396">
        <f t="shared" si="6"/>
        <v>0</v>
      </c>
      <c r="F13" s="396">
        <f t="shared" si="6"/>
        <v>0</v>
      </c>
      <c r="G13" s="396">
        <f t="shared" si="6"/>
        <v>0</v>
      </c>
      <c r="H13" s="396">
        <f t="shared" si="6"/>
        <v>0</v>
      </c>
      <c r="I13" s="396">
        <f t="shared" si="6"/>
        <v>8724.8166543393836</v>
      </c>
      <c r="J13" s="396">
        <f t="shared" si="6"/>
        <v>-284.91044344139846</v>
      </c>
      <c r="K13" s="396">
        <f t="shared" si="6"/>
        <v>-5370.249175453464</v>
      </c>
      <c r="L13" s="396">
        <f t="shared" si="6"/>
        <v>-1717.9833999923321</v>
      </c>
      <c r="M13" s="396">
        <f t="shared" si="6"/>
        <v>4313.7962180692102</v>
      </c>
      <c r="N13" s="396">
        <f>SUM(B13:M13)</f>
        <v>5665.4698535213993</v>
      </c>
      <c r="O13" s="396">
        <f>O9-O11</f>
        <v>4716.4833615531297</v>
      </c>
      <c r="P13" s="396">
        <f t="shared" ref="P13:Z13" si="7">P9-P11</f>
        <v>4474.3005992795352</v>
      </c>
      <c r="Q13" s="396">
        <f t="shared" si="7"/>
        <v>4630.9702562296388</v>
      </c>
      <c r="R13" s="396">
        <f t="shared" si="7"/>
        <v>4597.0992113503289</v>
      </c>
      <c r="S13" s="396">
        <f t="shared" si="7"/>
        <v>4350.6660503672483</v>
      </c>
      <c r="T13" s="396">
        <f t="shared" si="7"/>
        <v>3597.5286046994315</v>
      </c>
      <c r="U13" s="396">
        <f t="shared" si="7"/>
        <v>3781.184102569403</v>
      </c>
      <c r="V13" s="396">
        <f t="shared" si="7"/>
        <v>3654.9151728046654</v>
      </c>
      <c r="W13" s="396">
        <f t="shared" si="7"/>
        <v>3331.2529728604368</v>
      </c>
      <c r="X13" s="396">
        <f t="shared" si="7"/>
        <v>4242.7883072840941</v>
      </c>
      <c r="Y13" s="396">
        <f t="shared" si="7"/>
        <v>4320.473265365812</v>
      </c>
      <c r="Z13" s="396">
        <f t="shared" si="7"/>
        <v>5340.3083187954744</v>
      </c>
      <c r="AA13" s="396">
        <f>SUM(O13:Z13)</f>
        <v>51037.970223159195</v>
      </c>
      <c r="AB13" s="396">
        <f>AB9-AB11</f>
        <v>6808.0227292968393</v>
      </c>
      <c r="AC13" s="396">
        <f t="shared" ref="AC13:AM13" si="8">AC9-AC11</f>
        <v>6251.2299001879201</v>
      </c>
      <c r="AD13" s="396">
        <f t="shared" si="8"/>
        <v>6475.6082055650422</v>
      </c>
      <c r="AE13" s="396">
        <f t="shared" si="8"/>
        <v>6296.4758850599628</v>
      </c>
      <c r="AF13" s="396">
        <f t="shared" si="8"/>
        <v>6252.5673738621281</v>
      </c>
      <c r="AG13" s="396">
        <f t="shared" si="8"/>
        <v>5491.4240162909027</v>
      </c>
      <c r="AH13" s="396">
        <f t="shared" si="8"/>
        <v>5505.9910915969576</v>
      </c>
      <c r="AI13" s="396">
        <f t="shared" si="8"/>
        <v>5480.213635404436</v>
      </c>
      <c r="AJ13" s="396">
        <f t="shared" si="8"/>
        <v>3609.2674179331043</v>
      </c>
      <c r="AK13" s="396">
        <f t="shared" si="8"/>
        <v>3877.7768830179339</v>
      </c>
      <c r="AL13" s="396">
        <f t="shared" si="8"/>
        <v>3991.7024361097647</v>
      </c>
      <c r="AM13" s="396">
        <f t="shared" si="8"/>
        <v>-19238.10960096955</v>
      </c>
      <c r="AN13" s="396">
        <f>SUM(AB13:AM13)</f>
        <v>40802.169973355441</v>
      </c>
      <c r="AO13" s="396">
        <f>AO9-AO11</f>
        <v>6532.4907913864408</v>
      </c>
      <c r="AP13" s="396">
        <f t="shared" ref="AP13:AZ13" si="9">AP9-AP11</f>
        <v>6196.5540203039473</v>
      </c>
      <c r="AQ13" s="396">
        <f t="shared" si="9"/>
        <v>4909.0143113445774</v>
      </c>
      <c r="AR13" s="396">
        <f t="shared" si="9"/>
        <v>4934.3242295542113</v>
      </c>
      <c r="AS13" s="396">
        <f t="shared" si="9"/>
        <v>4575.0417872747748</v>
      </c>
      <c r="AT13" s="396">
        <f t="shared" si="9"/>
        <v>2720.2171379957945</v>
      </c>
      <c r="AU13" s="396">
        <f t="shared" si="9"/>
        <v>4674.7105223868966</v>
      </c>
      <c r="AV13" s="396">
        <f t="shared" si="9"/>
        <v>4595.8568273509372</v>
      </c>
      <c r="AW13" s="396">
        <f t="shared" si="9"/>
        <v>4498.927886028403</v>
      </c>
      <c r="AX13" s="396">
        <f t="shared" si="9"/>
        <v>4592.882075001733</v>
      </c>
      <c r="AY13" s="396">
        <f t="shared" si="9"/>
        <v>4225.8316014897391</v>
      </c>
      <c r="AZ13" s="396">
        <f t="shared" si="9"/>
        <v>4697.7058090153259</v>
      </c>
      <c r="BA13" s="396">
        <f>SUM(AO13:AZ13)</f>
        <v>57153.556999132794</v>
      </c>
      <c r="BB13" s="396">
        <f>BB9-BB11</f>
        <v>4951.6008123419051</v>
      </c>
      <c r="BC13" s="396">
        <f t="shared" ref="BC13:BM13" si="10">BC9-BC11</f>
        <v>4290.5096065284124</v>
      </c>
      <c r="BD13" s="396">
        <f t="shared" si="10"/>
        <v>4445.9960319642269</v>
      </c>
      <c r="BE13" s="396">
        <f t="shared" si="10"/>
        <v>13540.608699809982</v>
      </c>
      <c r="BF13" s="396">
        <f t="shared" si="10"/>
        <v>5558.9490884078805</v>
      </c>
      <c r="BG13" s="396">
        <f t="shared" si="10"/>
        <v>4773.6917075091442</v>
      </c>
      <c r="BH13" s="396">
        <f t="shared" si="10"/>
        <v>5062.3634345226856</v>
      </c>
      <c r="BI13" s="396">
        <f t="shared" si="10"/>
        <v>5163.7418084500314</v>
      </c>
      <c r="BJ13" s="396">
        <f t="shared" si="10"/>
        <v>5065.7639885321805</v>
      </c>
      <c r="BK13" s="396">
        <f t="shared" si="10"/>
        <v>4795.0709146893605</v>
      </c>
      <c r="BL13" s="396">
        <f t="shared" si="10"/>
        <v>4848.495822081215</v>
      </c>
      <c r="BM13" s="396">
        <f t="shared" si="10"/>
        <v>5146.6693990838176</v>
      </c>
      <c r="BN13" s="396">
        <f>SUM(BB13:BM13)</f>
        <v>67643.461313920852</v>
      </c>
      <c r="BO13" s="396"/>
    </row>
    <row r="14" spans="1:67" x14ac:dyDescent="0.25">
      <c r="A14" s="392" t="s">
        <v>432</v>
      </c>
      <c r="B14" s="396">
        <f>B13</f>
        <v>0</v>
      </c>
      <c r="C14" s="396">
        <f>C13+B14</f>
        <v>0</v>
      </c>
      <c r="D14" s="396">
        <f t="shared" ref="D14:M14" si="11">D13+C14</f>
        <v>0</v>
      </c>
      <c r="E14" s="396">
        <f t="shared" si="11"/>
        <v>0</v>
      </c>
      <c r="F14" s="396">
        <f t="shared" si="11"/>
        <v>0</v>
      </c>
      <c r="G14" s="396">
        <f t="shared" si="11"/>
        <v>0</v>
      </c>
      <c r="H14" s="396">
        <f t="shared" si="11"/>
        <v>0</v>
      </c>
      <c r="I14" s="396">
        <f t="shared" si="11"/>
        <v>8724.8166543393836</v>
      </c>
      <c r="J14" s="396">
        <f t="shared" si="11"/>
        <v>8439.9062108979851</v>
      </c>
      <c r="K14" s="396">
        <f t="shared" si="11"/>
        <v>3069.6570354445212</v>
      </c>
      <c r="L14" s="396">
        <f t="shared" si="11"/>
        <v>1351.673635452189</v>
      </c>
      <c r="M14" s="396">
        <f t="shared" si="11"/>
        <v>5665.4698535213993</v>
      </c>
      <c r="N14" s="396">
        <f>M14</f>
        <v>5665.4698535213993</v>
      </c>
      <c r="O14" s="396">
        <f t="shared" ref="O14:Z14" si="12">O13+N14</f>
        <v>10381.953215074529</v>
      </c>
      <c r="P14" s="396">
        <f t="shared" si="12"/>
        <v>14856.253814354064</v>
      </c>
      <c r="Q14" s="396">
        <f t="shared" si="12"/>
        <v>19487.224070583703</v>
      </c>
      <c r="R14" s="396">
        <f t="shared" si="12"/>
        <v>24084.323281934034</v>
      </c>
      <c r="S14" s="396">
        <f t="shared" si="12"/>
        <v>28434.98933230128</v>
      </c>
      <c r="T14" s="396">
        <f t="shared" si="12"/>
        <v>32032.51793700071</v>
      </c>
      <c r="U14" s="396">
        <f t="shared" si="12"/>
        <v>35813.702039570111</v>
      </c>
      <c r="V14" s="396">
        <f t="shared" si="12"/>
        <v>39468.617212374775</v>
      </c>
      <c r="W14" s="396">
        <f t="shared" si="12"/>
        <v>42799.87018523521</v>
      </c>
      <c r="X14" s="396">
        <f t="shared" si="12"/>
        <v>47042.658492519302</v>
      </c>
      <c r="Y14" s="396">
        <f t="shared" si="12"/>
        <v>51363.131757885116</v>
      </c>
      <c r="Z14" s="396">
        <f t="shared" si="12"/>
        <v>56703.440076680592</v>
      </c>
      <c r="AA14" s="396">
        <f>Z14</f>
        <v>56703.440076680592</v>
      </c>
      <c r="AB14" s="396">
        <f t="shared" ref="AB14:AM14" si="13">AB13+AA14</f>
        <v>63511.462805977433</v>
      </c>
      <c r="AC14" s="396">
        <f t="shared" si="13"/>
        <v>69762.692706165355</v>
      </c>
      <c r="AD14" s="396">
        <f t="shared" si="13"/>
        <v>76238.300911730403</v>
      </c>
      <c r="AE14" s="396">
        <f t="shared" si="13"/>
        <v>82534.776796790364</v>
      </c>
      <c r="AF14" s="396">
        <f t="shared" si="13"/>
        <v>88787.34417065249</v>
      </c>
      <c r="AG14" s="396">
        <f t="shared" si="13"/>
        <v>94278.768186943387</v>
      </c>
      <c r="AH14" s="396">
        <f t="shared" si="13"/>
        <v>99784.759278540339</v>
      </c>
      <c r="AI14" s="396">
        <f t="shared" si="13"/>
        <v>105264.97291394477</v>
      </c>
      <c r="AJ14" s="396">
        <f t="shared" si="13"/>
        <v>108874.24033187788</v>
      </c>
      <c r="AK14" s="396">
        <f t="shared" si="13"/>
        <v>112752.01721489581</v>
      </c>
      <c r="AL14" s="396">
        <f t="shared" si="13"/>
        <v>116743.71965100558</v>
      </c>
      <c r="AM14" s="396">
        <f t="shared" si="13"/>
        <v>97505.610050036033</v>
      </c>
      <c r="AN14" s="396">
        <f>AM14</f>
        <v>97505.610050036033</v>
      </c>
      <c r="AO14" s="396">
        <f t="shared" ref="AO14:AZ14" si="14">AO13+AN14</f>
        <v>104038.10084142248</v>
      </c>
      <c r="AP14" s="396">
        <f t="shared" si="14"/>
        <v>110234.65486172642</v>
      </c>
      <c r="AQ14" s="396">
        <f t="shared" si="14"/>
        <v>115143.669173071</v>
      </c>
      <c r="AR14" s="396">
        <f t="shared" si="14"/>
        <v>120077.99340262522</v>
      </c>
      <c r="AS14" s="396">
        <f t="shared" si="14"/>
        <v>124653.03518989999</v>
      </c>
      <c r="AT14" s="396">
        <f t="shared" si="14"/>
        <v>127373.25232789578</v>
      </c>
      <c r="AU14" s="396">
        <f t="shared" si="14"/>
        <v>132047.96285028267</v>
      </c>
      <c r="AV14" s="396">
        <f t="shared" si="14"/>
        <v>136643.81967763361</v>
      </c>
      <c r="AW14" s="396">
        <f t="shared" si="14"/>
        <v>141142.74756366201</v>
      </c>
      <c r="AX14" s="396">
        <f t="shared" si="14"/>
        <v>145735.62963866373</v>
      </c>
      <c r="AY14" s="396">
        <f t="shared" si="14"/>
        <v>149961.46124015347</v>
      </c>
      <c r="AZ14" s="396">
        <f t="shared" si="14"/>
        <v>154659.16704916878</v>
      </c>
      <c r="BA14" s="396">
        <f>AZ14</f>
        <v>154659.16704916878</v>
      </c>
      <c r="BB14" s="396">
        <f t="shared" ref="BB14:BM14" si="15">BB13+BA14</f>
        <v>159610.76786151069</v>
      </c>
      <c r="BC14" s="396">
        <f t="shared" si="15"/>
        <v>163901.2774680391</v>
      </c>
      <c r="BD14" s="396">
        <f t="shared" si="15"/>
        <v>168347.27350000333</v>
      </c>
      <c r="BE14" s="396">
        <f t="shared" si="15"/>
        <v>181887.88219981332</v>
      </c>
      <c r="BF14" s="396">
        <f t="shared" si="15"/>
        <v>187446.8312882212</v>
      </c>
      <c r="BG14" s="396">
        <f t="shared" si="15"/>
        <v>192220.52299573034</v>
      </c>
      <c r="BH14" s="396">
        <f t="shared" si="15"/>
        <v>197282.88643025301</v>
      </c>
      <c r="BI14" s="396">
        <f t="shared" si="15"/>
        <v>202446.62823870304</v>
      </c>
      <c r="BJ14" s="396">
        <f t="shared" si="15"/>
        <v>207512.39222723522</v>
      </c>
      <c r="BK14" s="396">
        <f t="shared" si="15"/>
        <v>212307.46314192459</v>
      </c>
      <c r="BL14" s="396">
        <f t="shared" si="15"/>
        <v>217155.95896400581</v>
      </c>
      <c r="BM14" s="396">
        <f t="shared" si="15"/>
        <v>222302.62836308964</v>
      </c>
      <c r="BN14" s="396">
        <f>BM14</f>
        <v>222302.62836308964</v>
      </c>
      <c r="BO14" s="396"/>
    </row>
    <row r="15" spans="1:67" x14ac:dyDescent="0.25">
      <c r="A15" s="392"/>
      <c r="B15" s="397"/>
      <c r="C15" s="397"/>
      <c r="D15" s="397"/>
      <c r="E15" s="397"/>
      <c r="F15" s="397"/>
      <c r="G15" s="397"/>
      <c r="H15" s="397"/>
      <c r="I15" s="397"/>
      <c r="J15" s="397"/>
      <c r="K15" s="397"/>
      <c r="L15" s="397"/>
      <c r="M15" s="397"/>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7"/>
      <c r="AK15" s="397"/>
      <c r="AL15" s="397"/>
      <c r="AM15" s="397"/>
      <c r="AN15" s="397"/>
      <c r="AO15" s="397"/>
      <c r="AP15" s="397"/>
      <c r="AQ15" s="397"/>
      <c r="AR15" s="397"/>
      <c r="AS15" s="397"/>
      <c r="AT15" s="397"/>
      <c r="AU15" s="397"/>
      <c r="AV15" s="397"/>
      <c r="AW15" s="397"/>
      <c r="AX15" s="397"/>
      <c r="AY15" s="397"/>
      <c r="AZ15" s="397"/>
      <c r="BA15" s="397"/>
      <c r="BB15" s="397"/>
      <c r="BC15" s="397"/>
      <c r="BD15" s="397"/>
      <c r="BE15" s="397"/>
      <c r="BF15" s="397"/>
      <c r="BG15" s="397"/>
      <c r="BH15" s="397"/>
      <c r="BI15" s="397"/>
      <c r="BJ15" s="397"/>
      <c r="BK15" s="397"/>
      <c r="BL15" s="397"/>
      <c r="BM15" s="397"/>
      <c r="BN15" s="397"/>
      <c r="BO15" s="397"/>
    </row>
    <row r="16" spans="1:67" x14ac:dyDescent="0.25">
      <c r="A16" s="392" t="s">
        <v>433</v>
      </c>
      <c r="B16" s="396">
        <v>0</v>
      </c>
      <c r="C16" s="396">
        <f>B14*C18/12</f>
        <v>0</v>
      </c>
      <c r="D16" s="396">
        <f t="shared" ref="D16:M16" si="16">C14*D18/12</f>
        <v>0</v>
      </c>
      <c r="E16" s="396">
        <f t="shared" si="16"/>
        <v>0</v>
      </c>
      <c r="F16" s="396">
        <f t="shared" si="16"/>
        <v>0</v>
      </c>
      <c r="G16" s="396">
        <f t="shared" si="16"/>
        <v>0</v>
      </c>
      <c r="H16" s="396">
        <f t="shared" si="16"/>
        <v>0</v>
      </c>
      <c r="I16" s="396">
        <f t="shared" si="16"/>
        <v>0</v>
      </c>
      <c r="J16" s="396">
        <f t="shared" si="16"/>
        <v>4.1660999524470554</v>
      </c>
      <c r="K16" s="396">
        <f t="shared" si="16"/>
        <v>4.0089554501765425</v>
      </c>
      <c r="L16" s="396">
        <f t="shared" si="16"/>
        <v>1.4580870918361475</v>
      </c>
      <c r="M16" s="396">
        <f t="shared" si="16"/>
        <v>0.64204497683978967</v>
      </c>
      <c r="N16" s="396">
        <f>SUM(B16:M16)</f>
        <v>10.275187471299537</v>
      </c>
      <c r="O16" s="396">
        <f>N14*O18/12</f>
        <v>2.6910981804226641</v>
      </c>
      <c r="P16" s="396">
        <f t="shared" ref="P16:BM16" si="17">O14*P18/12</f>
        <v>4.9314277771604003</v>
      </c>
      <c r="Q16" s="396">
        <f t="shared" si="17"/>
        <v>7.056720561818179</v>
      </c>
      <c r="R16" s="396">
        <f t="shared" si="17"/>
        <v>9.2564314335272577</v>
      </c>
      <c r="S16" s="396">
        <f t="shared" si="17"/>
        <v>11.440053558918665</v>
      </c>
      <c r="T16" s="396">
        <f t="shared" si="17"/>
        <v>13.506619932843106</v>
      </c>
      <c r="U16" s="396">
        <f t="shared" si="17"/>
        <v>15.215446020075335</v>
      </c>
      <c r="V16" s="396">
        <f t="shared" si="17"/>
        <v>17.0115084687958</v>
      </c>
      <c r="W16" s="396">
        <f t="shared" si="17"/>
        <v>18.747593175878016</v>
      </c>
      <c r="X16" s="396">
        <f t="shared" si="17"/>
        <v>20.329938337986722</v>
      </c>
      <c r="Y16" s="396">
        <f t="shared" si="17"/>
        <v>22.345262783946666</v>
      </c>
      <c r="Z16" s="396">
        <f t="shared" si="17"/>
        <v>24.397487584995428</v>
      </c>
      <c r="AA16" s="396">
        <f>SUM(O16:Z16)</f>
        <v>166.92958781636821</v>
      </c>
      <c r="AB16" s="396">
        <f t="shared" si="17"/>
        <v>26.934134036423277</v>
      </c>
      <c r="AC16" s="396">
        <f t="shared" si="17"/>
        <v>30.167944832839279</v>
      </c>
      <c r="AD16" s="396">
        <f t="shared" si="17"/>
        <v>33.137279035428541</v>
      </c>
      <c r="AE16" s="396">
        <f t="shared" si="17"/>
        <v>64.802555774970855</v>
      </c>
      <c r="AF16" s="396">
        <f t="shared" si="17"/>
        <v>70.154560277271813</v>
      </c>
      <c r="AG16" s="396">
        <f t="shared" si="17"/>
        <v>75.469242545054627</v>
      </c>
      <c r="AH16" s="396">
        <f t="shared" si="17"/>
        <v>172.84440834272957</v>
      </c>
      <c r="AI16" s="396">
        <f t="shared" si="17"/>
        <v>182.93872534399065</v>
      </c>
      <c r="AJ16" s="396">
        <f t="shared" si="17"/>
        <v>192.98578367556544</v>
      </c>
      <c r="AK16" s="396">
        <f t="shared" si="17"/>
        <v>351.11942507030614</v>
      </c>
      <c r="AL16" s="396">
        <f t="shared" si="17"/>
        <v>363.62525551803895</v>
      </c>
      <c r="AM16" s="396">
        <f t="shared" si="17"/>
        <v>376.49849587449302</v>
      </c>
      <c r="AN16" s="396">
        <f>SUM(AB16:AM16)</f>
        <v>1940.6778103271122</v>
      </c>
      <c r="AO16" s="396">
        <f t="shared" si="17"/>
        <v>384.33461294722537</v>
      </c>
      <c r="AP16" s="396">
        <f t="shared" si="17"/>
        <v>410.0835141499403</v>
      </c>
      <c r="AQ16" s="396">
        <f t="shared" si="17"/>
        <v>434.50826457997164</v>
      </c>
      <c r="AR16" s="396">
        <f t="shared" si="17"/>
        <v>477.84622706824467</v>
      </c>
      <c r="AS16" s="396">
        <f t="shared" si="17"/>
        <v>498.32367262089468</v>
      </c>
      <c r="AT16" s="396">
        <f t="shared" si="17"/>
        <v>517.31009603808502</v>
      </c>
      <c r="AU16" s="396">
        <f t="shared" si="17"/>
        <v>528.59899716076757</v>
      </c>
      <c r="AV16" s="396">
        <f t="shared" si="17"/>
        <v>547.99904582867305</v>
      </c>
      <c r="AW16" s="396">
        <f t="shared" si="17"/>
        <v>567.07185166217948</v>
      </c>
      <c r="AX16" s="396">
        <f t="shared" si="17"/>
        <v>645.72807010375379</v>
      </c>
      <c r="AY16" s="396">
        <f t="shared" si="17"/>
        <v>666.74050559688658</v>
      </c>
      <c r="AZ16" s="396">
        <f t="shared" si="17"/>
        <v>686.07368517370207</v>
      </c>
      <c r="BA16" s="396">
        <f>SUM(AO16:AZ16)</f>
        <v>6364.6185429303232</v>
      </c>
      <c r="BB16" s="396">
        <f t="shared" si="17"/>
        <v>707.56568924994724</v>
      </c>
      <c r="BC16" s="396">
        <f t="shared" si="17"/>
        <v>730.21926296641141</v>
      </c>
      <c r="BD16" s="396">
        <f t="shared" si="17"/>
        <v>749.84834441627891</v>
      </c>
      <c r="BE16" s="396">
        <f t="shared" si="17"/>
        <v>770.18877626251526</v>
      </c>
      <c r="BF16" s="396">
        <f t="shared" si="17"/>
        <v>832.137061064146</v>
      </c>
      <c r="BG16" s="396">
        <f t="shared" si="17"/>
        <v>857.56925314361206</v>
      </c>
      <c r="BH16" s="396">
        <f t="shared" si="17"/>
        <v>832.95559964816493</v>
      </c>
      <c r="BI16" s="396">
        <f t="shared" si="17"/>
        <v>854.89250786442983</v>
      </c>
      <c r="BJ16" s="396">
        <f t="shared" si="17"/>
        <v>877.26872236771317</v>
      </c>
      <c r="BK16" s="396">
        <f t="shared" si="17"/>
        <v>761.57047947395313</v>
      </c>
      <c r="BL16" s="396">
        <f t="shared" si="17"/>
        <v>779.16838973086317</v>
      </c>
      <c r="BM16" s="396">
        <f t="shared" si="17"/>
        <v>796.96236939790117</v>
      </c>
      <c r="BN16" s="396">
        <f>SUM(BB16:BM16)</f>
        <v>9550.3464555859373</v>
      </c>
      <c r="BO16" s="396">
        <f>BN14*BO18</f>
        <v>7016.4267077100167</v>
      </c>
    </row>
    <row r="17" spans="1:68" x14ac:dyDescent="0.25">
      <c r="A17" s="392" t="s">
        <v>437</v>
      </c>
      <c r="B17" s="396">
        <f>B16</f>
        <v>0</v>
      </c>
      <c r="C17" s="396">
        <f>C16+B17</f>
        <v>0</v>
      </c>
      <c r="D17" s="396">
        <f t="shared" ref="D17:M17" si="18">D16+C17</f>
        <v>0</v>
      </c>
      <c r="E17" s="396">
        <f t="shared" si="18"/>
        <v>0</v>
      </c>
      <c r="F17" s="396">
        <f t="shared" si="18"/>
        <v>0</v>
      </c>
      <c r="G17" s="396">
        <f t="shared" si="18"/>
        <v>0</v>
      </c>
      <c r="H17" s="396">
        <f t="shared" si="18"/>
        <v>0</v>
      </c>
      <c r="I17" s="396">
        <f t="shared" si="18"/>
        <v>0</v>
      </c>
      <c r="J17" s="396">
        <f t="shared" si="18"/>
        <v>4.1660999524470554</v>
      </c>
      <c r="K17" s="396">
        <f t="shared" si="18"/>
        <v>8.1750554026235989</v>
      </c>
      <c r="L17" s="396">
        <f t="shared" si="18"/>
        <v>9.6331424944597472</v>
      </c>
      <c r="M17" s="396">
        <f t="shared" si="18"/>
        <v>10.275187471299537</v>
      </c>
      <c r="N17" s="396">
        <f>M17</f>
        <v>10.275187471299537</v>
      </c>
      <c r="O17" s="396">
        <f t="shared" ref="O17:Z17" si="19">O16+N17</f>
        <v>12.966285651722201</v>
      </c>
      <c r="P17" s="396">
        <f t="shared" si="19"/>
        <v>17.8977134288826</v>
      </c>
      <c r="Q17" s="396">
        <f t="shared" si="19"/>
        <v>24.954433990700778</v>
      </c>
      <c r="R17" s="396">
        <f t="shared" si="19"/>
        <v>34.210865424228032</v>
      </c>
      <c r="S17" s="396">
        <f t="shared" si="19"/>
        <v>45.650918983146695</v>
      </c>
      <c r="T17" s="396">
        <f t="shared" si="19"/>
        <v>59.157538915989804</v>
      </c>
      <c r="U17" s="396">
        <f t="shared" si="19"/>
        <v>74.372984936065137</v>
      </c>
      <c r="V17" s="396">
        <f t="shared" si="19"/>
        <v>91.384493404860933</v>
      </c>
      <c r="W17" s="396">
        <f t="shared" si="19"/>
        <v>110.13208658073896</v>
      </c>
      <c r="X17" s="396">
        <f t="shared" si="19"/>
        <v>130.46202491872569</v>
      </c>
      <c r="Y17" s="396">
        <f t="shared" si="19"/>
        <v>152.80728770267234</v>
      </c>
      <c r="Z17" s="396">
        <f t="shared" si="19"/>
        <v>177.20477528766776</v>
      </c>
      <c r="AA17" s="396">
        <f>Z17</f>
        <v>177.20477528766776</v>
      </c>
      <c r="AB17" s="396">
        <f>AB16+AA17</f>
        <v>204.13890932409103</v>
      </c>
      <c r="AC17" s="396">
        <f t="shared" ref="AC17:AM17" si="20">AC16+AB17</f>
        <v>234.30685415693031</v>
      </c>
      <c r="AD17" s="396">
        <f t="shared" si="20"/>
        <v>267.44413319235883</v>
      </c>
      <c r="AE17" s="396">
        <f t="shared" si="20"/>
        <v>332.2466889673297</v>
      </c>
      <c r="AF17" s="396">
        <f t="shared" si="20"/>
        <v>402.4012492446015</v>
      </c>
      <c r="AG17" s="396">
        <f t="shared" si="20"/>
        <v>477.87049178965611</v>
      </c>
      <c r="AH17" s="396">
        <f t="shared" si="20"/>
        <v>650.71490013238565</v>
      </c>
      <c r="AI17" s="396">
        <f t="shared" si="20"/>
        <v>833.65362547637631</v>
      </c>
      <c r="AJ17" s="396">
        <f t="shared" si="20"/>
        <v>1026.6394091519417</v>
      </c>
      <c r="AK17" s="396">
        <f t="shared" si="20"/>
        <v>1377.7588342222477</v>
      </c>
      <c r="AL17" s="396">
        <f t="shared" si="20"/>
        <v>1741.3840897402868</v>
      </c>
      <c r="AM17" s="396">
        <f t="shared" si="20"/>
        <v>2117.8825856147796</v>
      </c>
      <c r="AN17" s="396">
        <f>AM17</f>
        <v>2117.8825856147796</v>
      </c>
      <c r="AO17" s="396">
        <f t="shared" ref="AO17:AZ17" si="21">AO16+AN17</f>
        <v>2502.2171985620048</v>
      </c>
      <c r="AP17" s="396">
        <f t="shared" si="21"/>
        <v>2912.3007127119449</v>
      </c>
      <c r="AQ17" s="396">
        <f t="shared" si="21"/>
        <v>3346.8089772919166</v>
      </c>
      <c r="AR17" s="396">
        <f t="shared" si="21"/>
        <v>3824.6552043601614</v>
      </c>
      <c r="AS17" s="396">
        <f t="shared" si="21"/>
        <v>4322.9788769810557</v>
      </c>
      <c r="AT17" s="396">
        <f t="shared" si="21"/>
        <v>4840.2889730191409</v>
      </c>
      <c r="AU17" s="396">
        <f t="shared" si="21"/>
        <v>5368.8879701799087</v>
      </c>
      <c r="AV17" s="396">
        <f t="shared" si="21"/>
        <v>5916.8870160085817</v>
      </c>
      <c r="AW17" s="396">
        <f t="shared" si="21"/>
        <v>6483.9588676707608</v>
      </c>
      <c r="AX17" s="396">
        <f t="shared" si="21"/>
        <v>7129.6869377745143</v>
      </c>
      <c r="AY17" s="396">
        <f t="shared" si="21"/>
        <v>7796.4274433714008</v>
      </c>
      <c r="AZ17" s="396">
        <f t="shared" si="21"/>
        <v>8482.5011285451037</v>
      </c>
      <c r="BA17" s="396">
        <f>AZ17</f>
        <v>8482.5011285451037</v>
      </c>
      <c r="BB17" s="396">
        <f t="shared" ref="BB17:BM17" si="22">BB16+BA17</f>
        <v>9190.0668177950502</v>
      </c>
      <c r="BC17" s="396">
        <f t="shared" si="22"/>
        <v>9920.2860807614616</v>
      </c>
      <c r="BD17" s="396">
        <f t="shared" si="22"/>
        <v>10670.134425177741</v>
      </c>
      <c r="BE17" s="396">
        <f t="shared" si="22"/>
        <v>11440.323201440257</v>
      </c>
      <c r="BF17" s="396">
        <f t="shared" si="22"/>
        <v>12272.460262504403</v>
      </c>
      <c r="BG17" s="396">
        <f t="shared" si="22"/>
        <v>13130.029515648015</v>
      </c>
      <c r="BH17" s="396">
        <f t="shared" si="22"/>
        <v>13962.98511529618</v>
      </c>
      <c r="BI17" s="396">
        <f t="shared" si="22"/>
        <v>14817.87762316061</v>
      </c>
      <c r="BJ17" s="396">
        <f t="shared" si="22"/>
        <v>15695.146345528323</v>
      </c>
      <c r="BK17" s="396">
        <f t="shared" si="22"/>
        <v>16456.716825002277</v>
      </c>
      <c r="BL17" s="396">
        <f t="shared" si="22"/>
        <v>17235.885214733142</v>
      </c>
      <c r="BM17" s="396">
        <f t="shared" si="22"/>
        <v>18032.847584131043</v>
      </c>
      <c r="BN17" s="396">
        <f>BM17</f>
        <v>18032.847584131043</v>
      </c>
      <c r="BO17" s="396">
        <f>BN17</f>
        <v>18032.847584131043</v>
      </c>
    </row>
    <row r="18" spans="1:68" x14ac:dyDescent="0.25">
      <c r="A18" s="392" t="s">
        <v>434</v>
      </c>
      <c r="B18" s="447">
        <f>Staff7_Summary!D3</f>
        <v>2.18E-2</v>
      </c>
      <c r="C18" s="398">
        <f>B18</f>
        <v>2.18E-2</v>
      </c>
      <c r="D18" s="398">
        <f>C18</f>
        <v>2.18E-2</v>
      </c>
      <c r="E18" s="447">
        <f>Staff7_Summary!E3</f>
        <v>2.18E-2</v>
      </c>
      <c r="F18" s="398">
        <f>E18</f>
        <v>2.18E-2</v>
      </c>
      <c r="G18" s="398">
        <f>F18</f>
        <v>2.18E-2</v>
      </c>
      <c r="H18" s="447">
        <f>Staff7_Summary!F3</f>
        <v>5.7299999999999999E-3</v>
      </c>
      <c r="I18" s="398">
        <f>H18</f>
        <v>5.7299999999999999E-3</v>
      </c>
      <c r="J18" s="398">
        <f>I18</f>
        <v>5.7299999999999999E-3</v>
      </c>
      <c r="K18" s="447">
        <f>Staff7_Summary!G3</f>
        <v>5.6999999999999993E-3</v>
      </c>
      <c r="L18" s="398">
        <f>K18</f>
        <v>5.6999999999999993E-3</v>
      </c>
      <c r="M18" s="398">
        <f>L18</f>
        <v>5.6999999999999993E-3</v>
      </c>
      <c r="N18" s="397"/>
      <c r="O18" s="447">
        <f>Staff7_Summary!H3</f>
        <v>5.6999999999999993E-3</v>
      </c>
      <c r="P18" s="398">
        <f>O18</f>
        <v>5.6999999999999993E-3</v>
      </c>
      <c r="Q18" s="398">
        <f>P18</f>
        <v>5.6999999999999993E-3</v>
      </c>
      <c r="R18" s="447">
        <f>Staff7_Summary!I3</f>
        <v>5.6999999999999993E-3</v>
      </c>
      <c r="S18" s="398">
        <f>R18</f>
        <v>5.6999999999999993E-3</v>
      </c>
      <c r="T18" s="398">
        <f>S18</f>
        <v>5.6999999999999993E-3</v>
      </c>
      <c r="U18" s="447">
        <f>Staff7_Summary!J3</f>
        <v>5.6999999999999993E-3</v>
      </c>
      <c r="V18" s="398">
        <f>U18</f>
        <v>5.6999999999999993E-3</v>
      </c>
      <c r="W18" s="398">
        <f>V18</f>
        <v>5.6999999999999993E-3</v>
      </c>
      <c r="X18" s="447">
        <f>Staff7_Summary!K3</f>
        <v>5.6999999999999993E-3</v>
      </c>
      <c r="Y18" s="398">
        <f>X18</f>
        <v>5.6999999999999993E-3</v>
      </c>
      <c r="Z18" s="398">
        <f>Y18</f>
        <v>5.6999999999999993E-3</v>
      </c>
      <c r="AA18" s="397"/>
      <c r="AB18" s="447">
        <f>Staff7_Summary!L3</f>
        <v>5.6999999999999993E-3</v>
      </c>
      <c r="AC18" s="398">
        <f>AB18</f>
        <v>5.6999999999999993E-3</v>
      </c>
      <c r="AD18" s="398">
        <f>AC18</f>
        <v>5.6999999999999993E-3</v>
      </c>
      <c r="AE18" s="447">
        <f>Staff7_Summary!M3</f>
        <v>1.0200000000000001E-2</v>
      </c>
      <c r="AF18" s="398">
        <f>AE18</f>
        <v>1.0200000000000001E-2</v>
      </c>
      <c r="AG18" s="398">
        <f>AF18</f>
        <v>1.0200000000000001E-2</v>
      </c>
      <c r="AH18" s="447">
        <f>Staff7_Summary!N3</f>
        <v>2.2000000000000002E-2</v>
      </c>
      <c r="AI18" s="398">
        <f>AH18</f>
        <v>2.2000000000000002E-2</v>
      </c>
      <c r="AJ18" s="398">
        <f>AI18</f>
        <v>2.2000000000000002E-2</v>
      </c>
      <c r="AK18" s="447">
        <f>Staff7_Summary!O3</f>
        <v>3.8699999999999998E-2</v>
      </c>
      <c r="AL18" s="398">
        <f>AK18</f>
        <v>3.8699999999999998E-2</v>
      </c>
      <c r="AM18" s="398">
        <f>AL18</f>
        <v>3.8699999999999998E-2</v>
      </c>
      <c r="AN18" s="397"/>
      <c r="AO18" s="447">
        <f>Staff7_Summary!P3</f>
        <v>4.7300000000000002E-2</v>
      </c>
      <c r="AP18" s="398">
        <f>AO18</f>
        <v>4.7300000000000002E-2</v>
      </c>
      <c r="AQ18" s="398">
        <f>AP18</f>
        <v>4.7300000000000002E-2</v>
      </c>
      <c r="AR18" s="447">
        <f>Staff7_Summary!Q3</f>
        <v>4.9800000000000004E-2</v>
      </c>
      <c r="AS18" s="398">
        <f>AR18</f>
        <v>4.9800000000000004E-2</v>
      </c>
      <c r="AT18" s="398">
        <f>AS18</f>
        <v>4.9800000000000004E-2</v>
      </c>
      <c r="AU18" s="447">
        <f>Staff7_Summary!R3</f>
        <v>4.9800000000000004E-2</v>
      </c>
      <c r="AV18" s="398">
        <f>AU18</f>
        <v>4.9800000000000004E-2</v>
      </c>
      <c r="AW18" s="398">
        <f>AV18</f>
        <v>4.9800000000000004E-2</v>
      </c>
      <c r="AX18" s="447">
        <f>Staff7_Summary!S3</f>
        <v>5.4900000000000004E-2</v>
      </c>
      <c r="AY18" s="398">
        <f>AX18</f>
        <v>5.4900000000000004E-2</v>
      </c>
      <c r="AZ18" s="398">
        <f>AY18</f>
        <v>5.4900000000000004E-2</v>
      </c>
      <c r="BA18" s="397"/>
      <c r="BB18" s="447">
        <f>Staff7_Summary!T3</f>
        <v>5.4900000000000004E-2</v>
      </c>
      <c r="BC18" s="398">
        <f>BB18</f>
        <v>5.4900000000000004E-2</v>
      </c>
      <c r="BD18" s="398">
        <f>BC18</f>
        <v>5.4900000000000004E-2</v>
      </c>
      <c r="BE18" s="447">
        <f>Staff7_Summary!U3</f>
        <v>5.4900000000000004E-2</v>
      </c>
      <c r="BF18" s="398">
        <f>BE18</f>
        <v>5.4900000000000004E-2</v>
      </c>
      <c r="BG18" s="398">
        <f>BF18</f>
        <v>5.4900000000000004E-2</v>
      </c>
      <c r="BH18" s="447">
        <f>Staff7_Summary!V3</f>
        <v>5.2000000000000005E-2</v>
      </c>
      <c r="BI18" s="398">
        <f>BH18</f>
        <v>5.2000000000000005E-2</v>
      </c>
      <c r="BJ18" s="398">
        <f>BI18</f>
        <v>5.2000000000000005E-2</v>
      </c>
      <c r="BK18" s="447">
        <f>Staff7_Summary!W3</f>
        <v>4.4039999999999996E-2</v>
      </c>
      <c r="BL18" s="398">
        <f>BK18</f>
        <v>4.4039999999999996E-2</v>
      </c>
      <c r="BM18" s="398">
        <f>BL18</f>
        <v>4.4039999999999996E-2</v>
      </c>
      <c r="BN18" s="397"/>
      <c r="BO18" s="398">
        <f>(Staff7_Summary!X3+Staff7_Summary!Y3+Staff7_Summary!Z3+Staff7_Summary!AA3)/4</f>
        <v>3.15625E-2</v>
      </c>
    </row>
    <row r="19" spans="1:68" x14ac:dyDescent="0.25">
      <c r="A19" s="392"/>
      <c r="B19" s="397"/>
      <c r="C19" s="397"/>
      <c r="D19" s="397"/>
      <c r="E19" s="397"/>
      <c r="F19" s="397"/>
      <c r="G19" s="397"/>
      <c r="H19" s="397"/>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397"/>
      <c r="AM19" s="397"/>
      <c r="AN19" s="397"/>
      <c r="AO19" s="397"/>
      <c r="AP19" s="397"/>
      <c r="AQ19" s="397"/>
      <c r="AR19" s="397"/>
      <c r="AS19" s="397"/>
      <c r="AT19" s="397"/>
      <c r="AU19" s="397"/>
      <c r="AV19" s="397"/>
      <c r="AW19" s="397"/>
      <c r="AX19" s="397"/>
      <c r="AY19" s="397"/>
      <c r="AZ19" s="397"/>
      <c r="BA19" s="397"/>
      <c r="BB19" s="397"/>
      <c r="BC19" s="397"/>
      <c r="BD19" s="397"/>
      <c r="BE19" s="397"/>
      <c r="BF19" s="397"/>
      <c r="BG19" s="397"/>
      <c r="BH19" s="397"/>
      <c r="BI19" s="397"/>
      <c r="BJ19" s="397"/>
      <c r="BK19" s="397"/>
      <c r="BL19" s="397"/>
      <c r="BM19" s="397"/>
      <c r="BN19" s="397"/>
      <c r="BO19" s="397"/>
    </row>
    <row r="20" spans="1:68" s="315" customFormat="1" x14ac:dyDescent="0.25">
      <c r="A20" s="392" t="s">
        <v>447</v>
      </c>
      <c r="B20" s="400">
        <f>B13+B16</f>
        <v>0</v>
      </c>
      <c r="C20" s="400">
        <f t="shared" ref="C20:N20" si="23">C13+C16</f>
        <v>0</v>
      </c>
      <c r="D20" s="400">
        <f t="shared" si="23"/>
        <v>0</v>
      </c>
      <c r="E20" s="400">
        <f t="shared" si="23"/>
        <v>0</v>
      </c>
      <c r="F20" s="400">
        <f t="shared" si="23"/>
        <v>0</v>
      </c>
      <c r="G20" s="400">
        <f t="shared" si="23"/>
        <v>0</v>
      </c>
      <c r="H20" s="400">
        <f t="shared" si="23"/>
        <v>0</v>
      </c>
      <c r="I20" s="400">
        <f t="shared" si="23"/>
        <v>8724.8166543393836</v>
      </c>
      <c r="J20" s="400">
        <f t="shared" si="23"/>
        <v>-280.74434348895142</v>
      </c>
      <c r="K20" s="400">
        <f t="shared" si="23"/>
        <v>-5366.2402200032875</v>
      </c>
      <c r="L20" s="400">
        <f t="shared" si="23"/>
        <v>-1716.5253129004959</v>
      </c>
      <c r="M20" s="400">
        <f t="shared" si="23"/>
        <v>4314.4382630460505</v>
      </c>
      <c r="N20" s="400">
        <f t="shared" si="23"/>
        <v>5675.7450409926987</v>
      </c>
      <c r="O20" s="400">
        <f>O13+O16</f>
        <v>4719.1744597335528</v>
      </c>
      <c r="P20" s="400">
        <f t="shared" ref="P20:AA20" si="24">P13+P16</f>
        <v>4479.2320270566952</v>
      </c>
      <c r="Q20" s="400">
        <f t="shared" si="24"/>
        <v>4638.0269767914569</v>
      </c>
      <c r="R20" s="400">
        <f t="shared" si="24"/>
        <v>4606.3556427838557</v>
      </c>
      <c r="S20" s="400">
        <f t="shared" si="24"/>
        <v>4362.1061039261667</v>
      </c>
      <c r="T20" s="400">
        <f t="shared" si="24"/>
        <v>3611.0352246322745</v>
      </c>
      <c r="U20" s="400">
        <f t="shared" si="24"/>
        <v>3796.3995485894784</v>
      </c>
      <c r="V20" s="400">
        <f t="shared" si="24"/>
        <v>3671.9266812734613</v>
      </c>
      <c r="W20" s="400">
        <f t="shared" si="24"/>
        <v>3350.0005660363149</v>
      </c>
      <c r="X20" s="400">
        <f t="shared" si="24"/>
        <v>4263.1182456220804</v>
      </c>
      <c r="Y20" s="400">
        <f t="shared" si="24"/>
        <v>4342.818528149759</v>
      </c>
      <c r="Z20" s="400">
        <f t="shared" si="24"/>
        <v>5364.7058063804698</v>
      </c>
      <c r="AA20" s="400">
        <f t="shared" si="24"/>
        <v>51204.899810975563</v>
      </c>
      <c r="AB20" s="400">
        <f>AB13+AB16</f>
        <v>6834.9568633332628</v>
      </c>
      <c r="AC20" s="400">
        <f t="shared" ref="AC20:AN20" si="25">AC13+AC16</f>
        <v>6281.3978450207596</v>
      </c>
      <c r="AD20" s="400">
        <f t="shared" si="25"/>
        <v>6508.7454846004712</v>
      </c>
      <c r="AE20" s="400">
        <f t="shared" si="25"/>
        <v>6361.2784408349335</v>
      </c>
      <c r="AF20" s="400">
        <f t="shared" si="25"/>
        <v>6322.7219341394002</v>
      </c>
      <c r="AG20" s="400">
        <f t="shared" si="25"/>
        <v>5566.8932588359576</v>
      </c>
      <c r="AH20" s="400">
        <f t="shared" si="25"/>
        <v>5678.835499939687</v>
      </c>
      <c r="AI20" s="400">
        <f t="shared" si="25"/>
        <v>5663.1523607484269</v>
      </c>
      <c r="AJ20" s="400">
        <f t="shared" si="25"/>
        <v>3802.2532016086698</v>
      </c>
      <c r="AK20" s="400">
        <f t="shared" si="25"/>
        <v>4228.8963080882404</v>
      </c>
      <c r="AL20" s="400">
        <f t="shared" si="25"/>
        <v>4355.3276916278037</v>
      </c>
      <c r="AM20" s="400">
        <f t="shared" si="25"/>
        <v>-18861.611105095057</v>
      </c>
      <c r="AN20" s="400">
        <f t="shared" si="25"/>
        <v>42742.847783682555</v>
      </c>
      <c r="AO20" s="400">
        <f>AO13+AO16</f>
        <v>6916.8254043336665</v>
      </c>
      <c r="AP20" s="400">
        <f t="shared" ref="AP20:BA20" si="26">AP13+AP16</f>
        <v>6606.6375344538874</v>
      </c>
      <c r="AQ20" s="400">
        <f t="shared" si="26"/>
        <v>5343.5225759245495</v>
      </c>
      <c r="AR20" s="400">
        <f t="shared" si="26"/>
        <v>5412.1704566224562</v>
      </c>
      <c r="AS20" s="400">
        <f t="shared" si="26"/>
        <v>5073.3654598956691</v>
      </c>
      <c r="AT20" s="400">
        <f t="shared" si="26"/>
        <v>3237.5272340338797</v>
      </c>
      <c r="AU20" s="400">
        <f t="shared" si="26"/>
        <v>5203.3095195476644</v>
      </c>
      <c r="AV20" s="400">
        <f t="shared" si="26"/>
        <v>5143.8558731796102</v>
      </c>
      <c r="AW20" s="400">
        <f t="shared" si="26"/>
        <v>5065.9997376905822</v>
      </c>
      <c r="AX20" s="400">
        <f t="shared" si="26"/>
        <v>5238.6101451054865</v>
      </c>
      <c r="AY20" s="400">
        <f t="shared" si="26"/>
        <v>4892.5721070866257</v>
      </c>
      <c r="AZ20" s="400">
        <f t="shared" si="26"/>
        <v>5383.7794941890279</v>
      </c>
      <c r="BA20" s="400">
        <f t="shared" si="26"/>
        <v>63518.175542063116</v>
      </c>
      <c r="BB20" s="400">
        <f>BB13+BB16</f>
        <v>5659.1665015918525</v>
      </c>
      <c r="BC20" s="400">
        <f t="shared" ref="BC20:BO20" si="27">BC13+BC16</f>
        <v>5020.7288694948238</v>
      </c>
      <c r="BD20" s="400">
        <f t="shared" si="27"/>
        <v>5195.8443763805062</v>
      </c>
      <c r="BE20" s="400">
        <f t="shared" si="27"/>
        <v>14310.797476072497</v>
      </c>
      <c r="BF20" s="400">
        <f t="shared" si="27"/>
        <v>6391.0861494720266</v>
      </c>
      <c r="BG20" s="400">
        <f t="shared" si="27"/>
        <v>5631.2609606527567</v>
      </c>
      <c r="BH20" s="400">
        <f t="shared" si="27"/>
        <v>5895.3190341708505</v>
      </c>
      <c r="BI20" s="400">
        <f t="shared" si="27"/>
        <v>6018.6343163144611</v>
      </c>
      <c r="BJ20" s="400">
        <f t="shared" si="27"/>
        <v>5943.0327108998936</v>
      </c>
      <c r="BK20" s="400">
        <f t="shared" si="27"/>
        <v>5556.6413941633136</v>
      </c>
      <c r="BL20" s="400">
        <f t="shared" si="27"/>
        <v>5627.6642118120781</v>
      </c>
      <c r="BM20" s="400">
        <f t="shared" si="27"/>
        <v>5943.6317684817186</v>
      </c>
      <c r="BN20" s="400">
        <f t="shared" si="27"/>
        <v>77193.807769506791</v>
      </c>
      <c r="BO20" s="400">
        <f t="shared" si="27"/>
        <v>7016.4267077100167</v>
      </c>
    </row>
    <row r="21" spans="1:68" s="315" customFormat="1" x14ac:dyDescent="0.25">
      <c r="A21" s="394" t="s">
        <v>448</v>
      </c>
      <c r="B21" s="409">
        <f>B20</f>
        <v>0</v>
      </c>
      <c r="C21" s="409">
        <f>C20+B21</f>
        <v>0</v>
      </c>
      <c r="D21" s="409">
        <f t="shared" ref="D21:M21" si="28">D20+C21</f>
        <v>0</v>
      </c>
      <c r="E21" s="409">
        <f t="shared" si="28"/>
        <v>0</v>
      </c>
      <c r="F21" s="409">
        <f t="shared" si="28"/>
        <v>0</v>
      </c>
      <c r="G21" s="409">
        <f t="shared" si="28"/>
        <v>0</v>
      </c>
      <c r="H21" s="409">
        <f t="shared" si="28"/>
        <v>0</v>
      </c>
      <c r="I21" s="409">
        <f t="shared" si="28"/>
        <v>8724.8166543393836</v>
      </c>
      <c r="J21" s="409">
        <f t="shared" si="28"/>
        <v>8444.0723108504317</v>
      </c>
      <c r="K21" s="409">
        <f t="shared" si="28"/>
        <v>3077.8320908471442</v>
      </c>
      <c r="L21" s="409">
        <f t="shared" si="28"/>
        <v>1361.3067779466483</v>
      </c>
      <c r="M21" s="409">
        <f t="shared" si="28"/>
        <v>5675.7450409926987</v>
      </c>
      <c r="N21" s="410">
        <f>M21</f>
        <v>5675.7450409926987</v>
      </c>
      <c r="O21" s="409">
        <f t="shared" ref="O21:Z21" si="29">O20+N21</f>
        <v>10394.919500726251</v>
      </c>
      <c r="P21" s="409">
        <f t="shared" si="29"/>
        <v>14874.151527782946</v>
      </c>
      <c r="Q21" s="409">
        <f t="shared" si="29"/>
        <v>19512.178504574404</v>
      </c>
      <c r="R21" s="409">
        <f t="shared" si="29"/>
        <v>24118.534147358259</v>
      </c>
      <c r="S21" s="409">
        <f t="shared" si="29"/>
        <v>28480.640251284425</v>
      </c>
      <c r="T21" s="409">
        <f t="shared" si="29"/>
        <v>32091.675475916702</v>
      </c>
      <c r="U21" s="409">
        <f t="shared" si="29"/>
        <v>35888.075024506179</v>
      </c>
      <c r="V21" s="409">
        <f t="shared" si="29"/>
        <v>39560.001705779643</v>
      </c>
      <c r="W21" s="409">
        <f t="shared" si="29"/>
        <v>42910.00227181596</v>
      </c>
      <c r="X21" s="409">
        <f t="shared" si="29"/>
        <v>47173.120517438037</v>
      </c>
      <c r="Y21" s="409">
        <f t="shared" si="29"/>
        <v>51515.939045587795</v>
      </c>
      <c r="Z21" s="409">
        <f t="shared" si="29"/>
        <v>56880.644851968267</v>
      </c>
      <c r="AA21" s="410">
        <f>Z21</f>
        <v>56880.644851968267</v>
      </c>
      <c r="AB21" s="409">
        <f t="shared" ref="AB21:AM21" si="30">AB20+AA21</f>
        <v>63715.601715301527</v>
      </c>
      <c r="AC21" s="409">
        <f t="shared" si="30"/>
        <v>69996.999560322292</v>
      </c>
      <c r="AD21" s="409">
        <f t="shared" si="30"/>
        <v>76505.745044922762</v>
      </c>
      <c r="AE21" s="409">
        <f t="shared" si="30"/>
        <v>82867.023485757702</v>
      </c>
      <c r="AF21" s="409">
        <f t="shared" si="30"/>
        <v>89189.745419897095</v>
      </c>
      <c r="AG21" s="409">
        <f t="shared" si="30"/>
        <v>94756.638678733056</v>
      </c>
      <c r="AH21" s="409">
        <f t="shared" si="30"/>
        <v>100435.47417867274</v>
      </c>
      <c r="AI21" s="409">
        <f t="shared" si="30"/>
        <v>106098.62653942117</v>
      </c>
      <c r="AJ21" s="409">
        <f t="shared" si="30"/>
        <v>109900.87974102984</v>
      </c>
      <c r="AK21" s="409">
        <f t="shared" si="30"/>
        <v>114129.77604911808</v>
      </c>
      <c r="AL21" s="409">
        <f t="shared" si="30"/>
        <v>118485.10374074588</v>
      </c>
      <c r="AM21" s="409">
        <f t="shared" si="30"/>
        <v>99623.492635650822</v>
      </c>
      <c r="AN21" s="410">
        <f>AM21</f>
        <v>99623.492635650822</v>
      </c>
      <c r="AO21" s="409">
        <f t="shared" ref="AO21:AZ21" si="31">AO20+AN21</f>
        <v>106540.31803998449</v>
      </c>
      <c r="AP21" s="409">
        <f t="shared" si="31"/>
        <v>113146.95557443837</v>
      </c>
      <c r="AQ21" s="409">
        <f t="shared" si="31"/>
        <v>118490.47815036292</v>
      </c>
      <c r="AR21" s="409">
        <f t="shared" si="31"/>
        <v>123902.64860698537</v>
      </c>
      <c r="AS21" s="409">
        <f t="shared" si="31"/>
        <v>128976.01406688103</v>
      </c>
      <c r="AT21" s="409">
        <f t="shared" si="31"/>
        <v>132213.54130091492</v>
      </c>
      <c r="AU21" s="409">
        <f t="shared" si="31"/>
        <v>137416.8508204626</v>
      </c>
      <c r="AV21" s="409">
        <f t="shared" si="31"/>
        <v>142560.70669364222</v>
      </c>
      <c r="AW21" s="409">
        <f t="shared" si="31"/>
        <v>147626.7064313328</v>
      </c>
      <c r="AX21" s="409">
        <f t="shared" si="31"/>
        <v>152865.31657643829</v>
      </c>
      <c r="AY21" s="409">
        <f t="shared" si="31"/>
        <v>157757.88868352491</v>
      </c>
      <c r="AZ21" s="409">
        <f t="shared" si="31"/>
        <v>163141.66817771393</v>
      </c>
      <c r="BA21" s="410">
        <f>AZ21</f>
        <v>163141.66817771393</v>
      </c>
      <c r="BB21" s="409">
        <f t="shared" ref="BB21:BM21" si="32">BB20+BA21</f>
        <v>168800.83467930579</v>
      </c>
      <c r="BC21" s="409">
        <f t="shared" si="32"/>
        <v>173821.56354880062</v>
      </c>
      <c r="BD21" s="409">
        <f t="shared" si="32"/>
        <v>179017.40792518112</v>
      </c>
      <c r="BE21" s="409">
        <f t="shared" si="32"/>
        <v>193328.20540125362</v>
      </c>
      <c r="BF21" s="409">
        <f t="shared" si="32"/>
        <v>199719.29155072564</v>
      </c>
      <c r="BG21" s="409">
        <f t="shared" si="32"/>
        <v>205350.5525113784</v>
      </c>
      <c r="BH21" s="409">
        <f t="shared" si="32"/>
        <v>211245.87154554925</v>
      </c>
      <c r="BI21" s="409">
        <f t="shared" si="32"/>
        <v>217264.5058618637</v>
      </c>
      <c r="BJ21" s="409">
        <f t="shared" si="32"/>
        <v>223207.53857276359</v>
      </c>
      <c r="BK21" s="409">
        <f t="shared" si="32"/>
        <v>228764.17996692689</v>
      </c>
      <c r="BL21" s="409">
        <f t="shared" si="32"/>
        <v>234391.84417873897</v>
      </c>
      <c r="BM21" s="409">
        <f t="shared" si="32"/>
        <v>240335.47594722069</v>
      </c>
      <c r="BN21" s="410">
        <f>BM21</f>
        <v>240335.47594722069</v>
      </c>
      <c r="BO21" s="410">
        <f>BN21+BO20</f>
        <v>247351.90265493072</v>
      </c>
    </row>
    <row r="22" spans="1:68" x14ac:dyDescent="0.25">
      <c r="A22" s="401" t="s">
        <v>439</v>
      </c>
      <c r="B22" s="396"/>
      <c r="C22" s="396"/>
      <c r="D22" s="396"/>
      <c r="E22" s="396"/>
      <c r="F22" s="396"/>
      <c r="G22" s="396"/>
      <c r="H22" s="396"/>
      <c r="I22" s="396"/>
      <c r="J22" s="396"/>
      <c r="K22" s="396"/>
      <c r="L22" s="396"/>
      <c r="M22" s="396"/>
      <c r="N22" s="396"/>
      <c r="O22" s="396"/>
      <c r="P22" s="396"/>
      <c r="Q22" s="396"/>
      <c r="R22" s="396"/>
      <c r="S22" s="396"/>
      <c r="T22" s="396"/>
      <c r="U22" s="396"/>
      <c r="V22" s="396"/>
      <c r="W22" s="396"/>
      <c r="X22" s="396"/>
      <c r="Y22" s="396"/>
      <c r="Z22" s="396"/>
      <c r="AA22" s="396"/>
      <c r="AB22" s="396"/>
      <c r="AC22" s="396"/>
      <c r="AD22" s="396"/>
      <c r="AE22" s="396"/>
      <c r="AF22" s="396"/>
      <c r="AG22" s="396"/>
      <c r="AH22" s="396"/>
      <c r="AI22" s="396"/>
      <c r="AJ22" s="396"/>
      <c r="AK22" s="396"/>
      <c r="AL22" s="396"/>
      <c r="AM22" s="396"/>
      <c r="AN22" s="396"/>
      <c r="AO22" s="396"/>
      <c r="AP22" s="396"/>
      <c r="AQ22" s="396"/>
      <c r="AR22" s="396"/>
      <c r="AS22" s="396"/>
      <c r="AT22" s="396"/>
      <c r="AU22" s="396"/>
      <c r="AV22" s="396"/>
      <c r="AW22" s="396"/>
      <c r="AX22" s="396"/>
      <c r="AY22" s="396"/>
      <c r="AZ22" s="396"/>
      <c r="BA22" s="396"/>
      <c r="BB22" s="396"/>
      <c r="BC22" s="396"/>
      <c r="BD22" s="396"/>
      <c r="BE22" s="396"/>
      <c r="BF22" s="396"/>
      <c r="BG22" s="396"/>
      <c r="BH22" s="396"/>
      <c r="BI22" s="396"/>
      <c r="BJ22" s="396"/>
      <c r="BK22" s="396"/>
      <c r="BL22" s="396"/>
      <c r="BM22" s="396"/>
      <c r="BN22" s="396"/>
      <c r="BO22" s="396"/>
    </row>
    <row r="23" spans="1:68" x14ac:dyDescent="0.25">
      <c r="A23" s="315" t="s">
        <v>418</v>
      </c>
      <c r="B23" s="396">
        <f>('Upstream Recovery'!E128+'Upstream Recovery'!F128)/12*1000*'Upstream Allocation'!$R$32</f>
        <v>20043.585488351684</v>
      </c>
      <c r="C23" s="396">
        <f>B23</f>
        <v>20043.585488351684</v>
      </c>
      <c r="D23" s="396">
        <f t="shared" ref="D23:M23" si="33">C23</f>
        <v>20043.585488351684</v>
      </c>
      <c r="E23" s="396">
        <f t="shared" si="33"/>
        <v>20043.585488351684</v>
      </c>
      <c r="F23" s="396">
        <f t="shared" si="33"/>
        <v>20043.585488351684</v>
      </c>
      <c r="G23" s="396">
        <f t="shared" si="33"/>
        <v>20043.585488351684</v>
      </c>
      <c r="H23" s="396">
        <f t="shared" si="33"/>
        <v>20043.585488351684</v>
      </c>
      <c r="I23" s="396">
        <f t="shared" si="33"/>
        <v>20043.585488351684</v>
      </c>
      <c r="J23" s="396">
        <f t="shared" si="33"/>
        <v>20043.585488351684</v>
      </c>
      <c r="K23" s="396">
        <f t="shared" si="33"/>
        <v>20043.585488351684</v>
      </c>
      <c r="L23" s="396">
        <f t="shared" si="33"/>
        <v>20043.585488351684</v>
      </c>
      <c r="M23" s="396">
        <f t="shared" si="33"/>
        <v>20043.585488351684</v>
      </c>
      <c r="N23" s="396">
        <f>SUM(B23:M23)</f>
        <v>240523.02586022016</v>
      </c>
      <c r="O23" s="396">
        <f>'Upstream Recovery'!G128/12*1000*'Upstream Allocation'!$R$32</f>
        <v>13104.055787241525</v>
      </c>
      <c r="P23" s="396">
        <f>O23</f>
        <v>13104.055787241525</v>
      </c>
      <c r="Q23" s="396">
        <f t="shared" ref="Q23:Z23" si="34">P23</f>
        <v>13104.055787241525</v>
      </c>
      <c r="R23" s="396">
        <f t="shared" si="34"/>
        <v>13104.055787241525</v>
      </c>
      <c r="S23" s="396">
        <f t="shared" si="34"/>
        <v>13104.055787241525</v>
      </c>
      <c r="T23" s="396">
        <f t="shared" si="34"/>
        <v>13104.055787241525</v>
      </c>
      <c r="U23" s="396">
        <f t="shared" si="34"/>
        <v>13104.055787241525</v>
      </c>
      <c r="V23" s="396">
        <f t="shared" si="34"/>
        <v>13104.055787241525</v>
      </c>
      <c r="W23" s="396">
        <f t="shared" si="34"/>
        <v>13104.055787241525</v>
      </c>
      <c r="X23" s="396">
        <f t="shared" si="34"/>
        <v>13104.055787241525</v>
      </c>
      <c r="Y23" s="396">
        <f t="shared" si="34"/>
        <v>13104.055787241525</v>
      </c>
      <c r="Z23" s="396">
        <f t="shared" si="34"/>
        <v>13104.055787241525</v>
      </c>
      <c r="AA23" s="396">
        <f>SUM(O23:Z23)</f>
        <v>157248.6694468983</v>
      </c>
      <c r="AB23" s="396">
        <f>'Upstream Recovery'!H128/12*1000*'Upstream Allocation'!$R$32</f>
        <v>12882.626182961869</v>
      </c>
      <c r="AC23" s="396">
        <f>AB23</f>
        <v>12882.626182961869</v>
      </c>
      <c r="AD23" s="396">
        <f t="shared" ref="AD23:AM23" si="35">AC23</f>
        <v>12882.626182961869</v>
      </c>
      <c r="AE23" s="396">
        <f t="shared" si="35"/>
        <v>12882.626182961869</v>
      </c>
      <c r="AF23" s="396">
        <f t="shared" si="35"/>
        <v>12882.626182961869</v>
      </c>
      <c r="AG23" s="396">
        <f t="shared" si="35"/>
        <v>12882.626182961869</v>
      </c>
      <c r="AH23" s="396">
        <f t="shared" si="35"/>
        <v>12882.626182961869</v>
      </c>
      <c r="AI23" s="396">
        <f t="shared" si="35"/>
        <v>12882.626182961869</v>
      </c>
      <c r="AJ23" s="396">
        <f t="shared" si="35"/>
        <v>12882.626182961869</v>
      </c>
      <c r="AK23" s="396">
        <f t="shared" si="35"/>
        <v>12882.626182961869</v>
      </c>
      <c r="AL23" s="396">
        <f t="shared" si="35"/>
        <v>12882.626182961869</v>
      </c>
      <c r="AM23" s="396">
        <f t="shared" si="35"/>
        <v>12882.626182961869</v>
      </c>
      <c r="AN23" s="396">
        <f>SUM(AB23:AM23)</f>
        <v>154591.51419554243</v>
      </c>
      <c r="AO23" s="396">
        <f>'Upstream Recovery'!I128/12*1000*'Upstream Allocation'!$R$32</f>
        <v>12661.196578682213</v>
      </c>
      <c r="AP23" s="396">
        <f>AO23</f>
        <v>12661.196578682213</v>
      </c>
      <c r="AQ23" s="396">
        <f t="shared" ref="AQ23:BM23" si="36">AP23</f>
        <v>12661.196578682213</v>
      </c>
      <c r="AR23" s="396">
        <f t="shared" si="36"/>
        <v>12661.196578682213</v>
      </c>
      <c r="AS23" s="396">
        <f t="shared" si="36"/>
        <v>12661.196578682213</v>
      </c>
      <c r="AT23" s="396">
        <f t="shared" si="36"/>
        <v>12661.196578682213</v>
      </c>
      <c r="AU23" s="396">
        <f t="shared" si="36"/>
        <v>12661.196578682213</v>
      </c>
      <c r="AV23" s="396">
        <f t="shared" si="36"/>
        <v>12661.196578682213</v>
      </c>
      <c r="AW23" s="396">
        <f t="shared" si="36"/>
        <v>12661.196578682213</v>
      </c>
      <c r="AX23" s="396">
        <f t="shared" si="36"/>
        <v>12661.196578682213</v>
      </c>
      <c r="AY23" s="396">
        <f t="shared" si="36"/>
        <v>12661.196578682213</v>
      </c>
      <c r="AZ23" s="396">
        <f t="shared" si="36"/>
        <v>12661.196578682213</v>
      </c>
      <c r="BA23" s="396">
        <f>SUM(AO23:AZ23)</f>
        <v>151934.35894418656</v>
      </c>
      <c r="BB23" s="396">
        <f>'Upstream Recovery'!J128/12*1000*'Upstream Allocation'!$R$32</f>
        <v>12439.766974402555</v>
      </c>
      <c r="BC23" s="396">
        <f>BB23</f>
        <v>12439.766974402555</v>
      </c>
      <c r="BD23" s="396">
        <f t="shared" si="36"/>
        <v>12439.766974402555</v>
      </c>
      <c r="BE23" s="396">
        <f t="shared" si="36"/>
        <v>12439.766974402555</v>
      </c>
      <c r="BF23" s="396">
        <f t="shared" si="36"/>
        <v>12439.766974402555</v>
      </c>
      <c r="BG23" s="396">
        <f t="shared" si="36"/>
        <v>12439.766974402555</v>
      </c>
      <c r="BH23" s="396">
        <f t="shared" si="36"/>
        <v>12439.766974402555</v>
      </c>
      <c r="BI23" s="396">
        <f t="shared" si="36"/>
        <v>12439.766974402555</v>
      </c>
      <c r="BJ23" s="396">
        <f t="shared" si="36"/>
        <v>12439.766974402555</v>
      </c>
      <c r="BK23" s="396">
        <f t="shared" si="36"/>
        <v>12439.766974402555</v>
      </c>
      <c r="BL23" s="396">
        <f t="shared" si="36"/>
        <v>12439.766974402555</v>
      </c>
      <c r="BM23" s="396">
        <f t="shared" si="36"/>
        <v>12439.766974402555</v>
      </c>
      <c r="BN23" s="396">
        <f>SUM(BB23:BM23)</f>
        <v>149277.20369283069</v>
      </c>
      <c r="BO23" s="396"/>
      <c r="BP23" s="408"/>
    </row>
    <row r="24" spans="1:68" x14ac:dyDescent="0.25">
      <c r="A24" s="315" t="s">
        <v>419</v>
      </c>
      <c r="B24" s="396">
        <f>'S&amp;TVA Q4 2020'!B44</f>
        <v>0</v>
      </c>
      <c r="C24" s="396">
        <f>'S&amp;TVA Q4 2020'!C44</f>
        <v>0</v>
      </c>
      <c r="D24" s="396">
        <f>'S&amp;TVA Q4 2020'!D44</f>
        <v>0</v>
      </c>
      <c r="E24" s="396">
        <f>'S&amp;TVA Q4 2020'!E44</f>
        <v>0</v>
      </c>
      <c r="F24" s="396">
        <f>'S&amp;TVA Q4 2020'!F44</f>
        <v>0</v>
      </c>
      <c r="G24" s="396">
        <f>'S&amp;TVA Q4 2020'!G44</f>
        <v>0</v>
      </c>
      <c r="H24" s="396">
        <f>'S&amp;TVA Q4 2020'!H44</f>
        <v>0</v>
      </c>
      <c r="I24" s="396">
        <f>'S&amp;TVA Q4 2020'!I44</f>
        <v>0</v>
      </c>
      <c r="J24" s="396">
        <f>'S&amp;TVA Q4 2020'!J44</f>
        <v>7687.74</v>
      </c>
      <c r="K24" s="396">
        <f>'S&amp;TVA Q4 2020'!K44</f>
        <v>12362.109999999999</v>
      </c>
      <c r="L24" s="396">
        <f>'S&amp;TVA Q4 2020'!L44</f>
        <v>12354.59</v>
      </c>
      <c r="M24" s="396">
        <f>'S&amp;TVA Q4 2020'!M44</f>
        <v>12367.12</v>
      </c>
      <c r="N24" s="396">
        <f>SUM(B24:M24)</f>
        <v>44771.56</v>
      </c>
      <c r="O24" s="396">
        <f>'S&amp;TVA 2021'!B46</f>
        <v>12367.12</v>
      </c>
      <c r="P24" s="396">
        <f>'S&amp;TVA 2021'!C46</f>
        <v>12367.12</v>
      </c>
      <c r="Q24" s="396">
        <f>'S&amp;TVA 2021'!D46</f>
        <v>12367.12</v>
      </c>
      <c r="R24" s="396">
        <f>'S&amp;TVA 2021'!E46</f>
        <v>12367.12</v>
      </c>
      <c r="S24" s="396">
        <f>'S&amp;TVA 2021'!F46</f>
        <v>12367.12</v>
      </c>
      <c r="T24" s="396">
        <f>'S&amp;TVA 2021'!G46</f>
        <v>12367.12</v>
      </c>
      <c r="U24" s="396">
        <f>'S&amp;TVA 2021'!H46</f>
        <v>12367.12</v>
      </c>
      <c r="V24" s="396">
        <f>'S&amp;TVA 2021'!I46</f>
        <v>12367.12</v>
      </c>
      <c r="W24" s="396">
        <f>'S&amp;TVA 2021'!J46</f>
        <v>12367.12</v>
      </c>
      <c r="X24" s="396">
        <f>'S&amp;TVA 2021'!K46</f>
        <v>12367.12</v>
      </c>
      <c r="Y24" s="396">
        <f>'S&amp;TVA 2021'!L46</f>
        <v>12367.12</v>
      </c>
      <c r="Z24" s="396">
        <f>'S&amp;TVA 2021'!M46</f>
        <v>12367.12</v>
      </c>
      <c r="AA24" s="396">
        <f>SUM(O24:Z24)</f>
        <v>148405.43999999997</v>
      </c>
      <c r="AB24" s="396">
        <f>'S&amp;TVA 2022'!B46</f>
        <v>12367.12</v>
      </c>
      <c r="AC24" s="396">
        <f>'S&amp;TVA 2022'!C46</f>
        <v>12367.12</v>
      </c>
      <c r="AD24" s="396">
        <f>'S&amp;TVA 2022'!D46</f>
        <v>12367.12</v>
      </c>
      <c r="AE24" s="396">
        <f>'S&amp;TVA 2022'!E46</f>
        <v>12367.12</v>
      </c>
      <c r="AF24" s="396">
        <f>'S&amp;TVA 2022'!F46</f>
        <v>12367.12</v>
      </c>
      <c r="AG24" s="396">
        <f>'S&amp;TVA 2022'!G46</f>
        <v>12367.12</v>
      </c>
      <c r="AH24" s="396">
        <f>'S&amp;TVA 2022'!H46</f>
        <v>12367.12</v>
      </c>
      <c r="AI24" s="396">
        <f>'S&amp;TVA 2022'!I46</f>
        <v>12367.12</v>
      </c>
      <c r="AJ24" s="396">
        <f>'S&amp;TVA 2022'!J46</f>
        <v>13655.79</v>
      </c>
      <c r="AK24" s="396">
        <f>'S&amp;TVA 2022'!K46</f>
        <v>13660.99</v>
      </c>
      <c r="AL24" s="396">
        <f>'S&amp;TVA 2022'!L46</f>
        <v>13683.79</v>
      </c>
      <c r="AM24" s="396">
        <f>'S&amp;TVA 2022'!M46</f>
        <v>31962.620000000003</v>
      </c>
      <c r="AN24" s="396">
        <f>SUM(AB24:AM24)</f>
        <v>171900.15</v>
      </c>
      <c r="AO24" s="396">
        <f>'S&amp;TVA 2023'!B47</f>
        <v>14930.08</v>
      </c>
      <c r="AP24" s="396">
        <f>'S&amp;TVA 2023'!C47</f>
        <v>12367.12</v>
      </c>
      <c r="AQ24" s="396">
        <f>'S&amp;TVA 2023'!D47</f>
        <v>13648.6</v>
      </c>
      <c r="AR24" s="396">
        <f>'S&amp;TVA 2023'!E47</f>
        <v>13648.6</v>
      </c>
      <c r="AS24" s="396">
        <f>'S&amp;TVA 2023'!F47</f>
        <v>13648.6</v>
      </c>
      <c r="AT24" s="396">
        <f>'S&amp;TVA 2023'!G47</f>
        <v>14930.08</v>
      </c>
      <c r="AU24" s="396">
        <f>'S&amp;TVA 2023'!H47</f>
        <v>13648.6</v>
      </c>
      <c r="AV24" s="396">
        <f>'S&amp;TVA 2023'!I47</f>
        <v>13648.6</v>
      </c>
      <c r="AW24" s="396">
        <f>'S&amp;TVA 2023'!J47</f>
        <v>13648.6</v>
      </c>
      <c r="AX24" s="396">
        <f>'S&amp;TVA 2023'!K47</f>
        <v>13648.6</v>
      </c>
      <c r="AY24" s="396">
        <f>'S&amp;TVA 2023'!L47</f>
        <v>13648.6</v>
      </c>
      <c r="AZ24" s="396">
        <f>'S&amp;TVA 2023'!M47</f>
        <v>13648.6</v>
      </c>
      <c r="BA24" s="396">
        <f>SUM(AO24:AZ24)</f>
        <v>165064.68000000002</v>
      </c>
      <c r="BB24" s="396">
        <f>'S&amp;TVA 2024'!B57</f>
        <v>13648.6</v>
      </c>
      <c r="BC24" s="396">
        <f>'S&amp;TVA 2024'!C57</f>
        <v>13648.6</v>
      </c>
      <c r="BD24" s="396">
        <f>'S&amp;TVA 2024'!D57</f>
        <v>13648.6</v>
      </c>
      <c r="BE24" s="396">
        <f>'S&amp;TVA 2024'!E57</f>
        <v>13648.6</v>
      </c>
      <c r="BF24" s="396">
        <f>'S&amp;TVA 2024'!F57</f>
        <v>13648.6</v>
      </c>
      <c r="BG24" s="396">
        <f>'S&amp;TVA 2024'!G57</f>
        <v>13648.6</v>
      </c>
      <c r="BH24" s="396">
        <f>'S&amp;TVA 2024'!H57</f>
        <v>13648.6</v>
      </c>
      <c r="BI24" s="396">
        <f>'S&amp;TVA 2024'!I57</f>
        <v>13648.6</v>
      </c>
      <c r="BJ24" s="396">
        <f>'S&amp;TVA 2024'!J57</f>
        <v>13648.6</v>
      </c>
      <c r="BK24" s="396">
        <f>'S&amp;TVA 2024'!K57</f>
        <v>13648.6</v>
      </c>
      <c r="BL24" s="396">
        <f>'S&amp;TVA 2024'!L57</f>
        <v>13648.6</v>
      </c>
      <c r="BM24" s="396">
        <f>'S&amp;TVA 2024'!M57</f>
        <v>13648.6</v>
      </c>
      <c r="BN24" s="396">
        <f>SUM(BB24:BM24)</f>
        <v>163783.20000000004</v>
      </c>
      <c r="BO24" s="396"/>
      <c r="BP24" s="411"/>
    </row>
    <row r="25" spans="1:68" x14ac:dyDescent="0.25">
      <c r="B25" s="396"/>
      <c r="C25" s="396"/>
      <c r="D25" s="396"/>
      <c r="E25" s="396"/>
      <c r="F25" s="396"/>
      <c r="G25" s="396"/>
      <c r="H25" s="396"/>
      <c r="I25" s="396"/>
      <c r="J25" s="396"/>
      <c r="K25" s="396"/>
      <c r="L25" s="396"/>
      <c r="M25" s="396"/>
      <c r="N25" s="396"/>
      <c r="O25" s="396"/>
      <c r="P25" s="396"/>
      <c r="Q25" s="396"/>
      <c r="R25" s="396"/>
      <c r="S25" s="396"/>
      <c r="T25" s="396"/>
      <c r="U25" s="396"/>
      <c r="V25" s="396"/>
      <c r="W25" s="396"/>
      <c r="X25" s="396"/>
      <c r="Y25" s="396"/>
      <c r="Z25" s="396"/>
      <c r="AA25" s="396"/>
      <c r="AB25" s="396"/>
      <c r="AC25" s="396"/>
      <c r="AD25" s="396"/>
      <c r="AE25" s="396"/>
      <c r="AF25" s="396"/>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6"/>
      <c r="BC25" s="396"/>
      <c r="BD25" s="396"/>
      <c r="BE25" s="396"/>
      <c r="BF25" s="396"/>
      <c r="BG25" s="396"/>
      <c r="BH25" s="396"/>
      <c r="BI25" s="396"/>
      <c r="BJ25" s="396"/>
      <c r="BK25" s="396"/>
      <c r="BL25" s="396"/>
      <c r="BM25" s="396"/>
      <c r="BN25" s="396"/>
      <c r="BO25" s="396"/>
    </row>
    <row r="26" spans="1:68" x14ac:dyDescent="0.25">
      <c r="A26" s="315" t="s">
        <v>417</v>
      </c>
      <c r="B26" s="396">
        <f>B23-B24</f>
        <v>20043.585488351684</v>
      </c>
      <c r="C26" s="396">
        <f t="shared" ref="C26:M26" si="37">C23-C24</f>
        <v>20043.585488351684</v>
      </c>
      <c r="D26" s="396">
        <f t="shared" si="37"/>
        <v>20043.585488351684</v>
      </c>
      <c r="E26" s="396">
        <f t="shared" si="37"/>
        <v>20043.585488351684</v>
      </c>
      <c r="F26" s="396">
        <f t="shared" si="37"/>
        <v>20043.585488351684</v>
      </c>
      <c r="G26" s="396">
        <f t="shared" si="37"/>
        <v>20043.585488351684</v>
      </c>
      <c r="H26" s="396">
        <f t="shared" si="37"/>
        <v>20043.585488351684</v>
      </c>
      <c r="I26" s="396">
        <f t="shared" si="37"/>
        <v>20043.585488351684</v>
      </c>
      <c r="J26" s="396">
        <f t="shared" si="37"/>
        <v>12355.845488351684</v>
      </c>
      <c r="K26" s="396">
        <f t="shared" si="37"/>
        <v>7681.4754883516853</v>
      </c>
      <c r="L26" s="396">
        <f t="shared" si="37"/>
        <v>7688.9954883516839</v>
      </c>
      <c r="M26" s="396">
        <f t="shared" si="37"/>
        <v>7676.4654883516832</v>
      </c>
      <c r="N26" s="396">
        <f>SUM(B26:M26)</f>
        <v>195751.4658602202</v>
      </c>
      <c r="O26" s="396">
        <f>O23-O24</f>
        <v>736.93578724152394</v>
      </c>
      <c r="P26" s="396">
        <f t="shared" ref="P26:Z26" si="38">P23-P24</f>
        <v>736.93578724152394</v>
      </c>
      <c r="Q26" s="396">
        <f t="shared" si="38"/>
        <v>736.93578724152394</v>
      </c>
      <c r="R26" s="396">
        <f t="shared" si="38"/>
        <v>736.93578724152394</v>
      </c>
      <c r="S26" s="396">
        <f t="shared" si="38"/>
        <v>736.93578724152394</v>
      </c>
      <c r="T26" s="396">
        <f t="shared" si="38"/>
        <v>736.93578724152394</v>
      </c>
      <c r="U26" s="396">
        <f t="shared" si="38"/>
        <v>736.93578724152394</v>
      </c>
      <c r="V26" s="396">
        <f t="shared" si="38"/>
        <v>736.93578724152394</v>
      </c>
      <c r="W26" s="396">
        <f t="shared" si="38"/>
        <v>736.93578724152394</v>
      </c>
      <c r="X26" s="396">
        <f t="shared" si="38"/>
        <v>736.93578724152394</v>
      </c>
      <c r="Y26" s="396">
        <f t="shared" si="38"/>
        <v>736.93578724152394</v>
      </c>
      <c r="Z26" s="396">
        <f t="shared" si="38"/>
        <v>736.93578724152394</v>
      </c>
      <c r="AA26" s="396">
        <f>SUM(O26:Z26)</f>
        <v>8843.2294468982873</v>
      </c>
      <c r="AB26" s="396">
        <f>AB23-AB24</f>
        <v>515.50618296186803</v>
      </c>
      <c r="AC26" s="396">
        <f t="shared" ref="AC26:AM26" si="39">AC23-AC24</f>
        <v>515.50618296186803</v>
      </c>
      <c r="AD26" s="396">
        <f t="shared" si="39"/>
        <v>515.50618296186803</v>
      </c>
      <c r="AE26" s="396">
        <f t="shared" si="39"/>
        <v>515.50618296186803</v>
      </c>
      <c r="AF26" s="396">
        <f t="shared" si="39"/>
        <v>515.50618296186803</v>
      </c>
      <c r="AG26" s="396">
        <f t="shared" si="39"/>
        <v>515.50618296186803</v>
      </c>
      <c r="AH26" s="396">
        <f t="shared" si="39"/>
        <v>515.50618296186803</v>
      </c>
      <c r="AI26" s="396">
        <f t="shared" si="39"/>
        <v>515.50618296186803</v>
      </c>
      <c r="AJ26" s="396">
        <f t="shared" si="39"/>
        <v>-773.16381703813204</v>
      </c>
      <c r="AK26" s="396">
        <f t="shared" si="39"/>
        <v>-778.36381703813095</v>
      </c>
      <c r="AL26" s="396">
        <f t="shared" si="39"/>
        <v>-801.16381703813204</v>
      </c>
      <c r="AM26" s="396">
        <f t="shared" si="39"/>
        <v>-19079.993817038136</v>
      </c>
      <c r="AN26" s="396">
        <f>SUM(AB26:AM26)</f>
        <v>-17308.635804457586</v>
      </c>
      <c r="AO26" s="396">
        <f>AO23-AO24</f>
        <v>-2268.883421317787</v>
      </c>
      <c r="AP26" s="396">
        <f t="shared" ref="AP26:AZ26" si="40">AP23-AP24</f>
        <v>294.07657868221213</v>
      </c>
      <c r="AQ26" s="396">
        <f t="shared" si="40"/>
        <v>-987.40342131778743</v>
      </c>
      <c r="AR26" s="396">
        <f t="shared" si="40"/>
        <v>-987.40342131778743</v>
      </c>
      <c r="AS26" s="396">
        <f t="shared" si="40"/>
        <v>-987.40342131778743</v>
      </c>
      <c r="AT26" s="396">
        <f t="shared" si="40"/>
        <v>-2268.883421317787</v>
      </c>
      <c r="AU26" s="396">
        <f t="shared" si="40"/>
        <v>-987.40342131778743</v>
      </c>
      <c r="AV26" s="396">
        <f t="shared" si="40"/>
        <v>-987.40342131778743</v>
      </c>
      <c r="AW26" s="396">
        <f t="shared" si="40"/>
        <v>-987.40342131778743</v>
      </c>
      <c r="AX26" s="396">
        <f t="shared" si="40"/>
        <v>-987.40342131778743</v>
      </c>
      <c r="AY26" s="396">
        <f t="shared" si="40"/>
        <v>-987.40342131778743</v>
      </c>
      <c r="AZ26" s="396">
        <f t="shared" si="40"/>
        <v>-987.40342131778743</v>
      </c>
      <c r="BA26" s="396">
        <f>SUM(AO26:AZ26)</f>
        <v>-13130.321055813449</v>
      </c>
      <c r="BB26" s="396">
        <f>BB23-BB24</f>
        <v>-1208.8330255974452</v>
      </c>
      <c r="BC26" s="396">
        <f t="shared" ref="BC26:BM26" si="41">BC23-BC24</f>
        <v>-1208.8330255974452</v>
      </c>
      <c r="BD26" s="396">
        <f t="shared" si="41"/>
        <v>-1208.8330255974452</v>
      </c>
      <c r="BE26" s="396">
        <f t="shared" si="41"/>
        <v>-1208.8330255974452</v>
      </c>
      <c r="BF26" s="396">
        <f t="shared" si="41"/>
        <v>-1208.8330255974452</v>
      </c>
      <c r="BG26" s="396">
        <f t="shared" si="41"/>
        <v>-1208.8330255974452</v>
      </c>
      <c r="BH26" s="396">
        <f t="shared" si="41"/>
        <v>-1208.8330255974452</v>
      </c>
      <c r="BI26" s="396">
        <f t="shared" si="41"/>
        <v>-1208.8330255974452</v>
      </c>
      <c r="BJ26" s="396">
        <f t="shared" si="41"/>
        <v>-1208.8330255974452</v>
      </c>
      <c r="BK26" s="396">
        <f t="shared" si="41"/>
        <v>-1208.8330255974452</v>
      </c>
      <c r="BL26" s="396">
        <f t="shared" si="41"/>
        <v>-1208.8330255974452</v>
      </c>
      <c r="BM26" s="396">
        <f t="shared" si="41"/>
        <v>-1208.8330255974452</v>
      </c>
      <c r="BN26" s="396">
        <f>SUM(BB26:BM26)</f>
        <v>-14505.996307169342</v>
      </c>
      <c r="BO26" s="396"/>
    </row>
    <row r="27" spans="1:68" x14ac:dyDescent="0.25">
      <c r="A27" s="392" t="s">
        <v>432</v>
      </c>
      <c r="B27" s="396">
        <f>B26</f>
        <v>20043.585488351684</v>
      </c>
      <c r="C27" s="396">
        <f>C26+B27</f>
        <v>40087.170976703368</v>
      </c>
      <c r="D27" s="396">
        <f t="shared" ref="D27:M27" si="42">D26+C27</f>
        <v>60130.756465055048</v>
      </c>
      <c r="E27" s="396">
        <f t="shared" si="42"/>
        <v>80174.341953406736</v>
      </c>
      <c r="F27" s="396">
        <f t="shared" si="42"/>
        <v>100217.92744175842</v>
      </c>
      <c r="G27" s="396">
        <f t="shared" si="42"/>
        <v>120261.51293011011</v>
      </c>
      <c r="H27" s="396">
        <f t="shared" si="42"/>
        <v>140305.0984184618</v>
      </c>
      <c r="I27" s="396">
        <f t="shared" si="42"/>
        <v>160348.68390681347</v>
      </c>
      <c r="J27" s="396">
        <f t="shared" si="42"/>
        <v>172704.52939516515</v>
      </c>
      <c r="K27" s="396">
        <f t="shared" si="42"/>
        <v>180386.00488351684</v>
      </c>
      <c r="L27" s="396">
        <f t="shared" si="42"/>
        <v>188075.00037186852</v>
      </c>
      <c r="M27" s="396">
        <f t="shared" si="42"/>
        <v>195751.4658602202</v>
      </c>
      <c r="N27" s="396">
        <f>M27</f>
        <v>195751.4658602202</v>
      </c>
      <c r="O27" s="396">
        <f t="shared" ref="O27:Z27" si="43">O26+N27</f>
        <v>196488.40164746172</v>
      </c>
      <c r="P27" s="396">
        <f t="shared" si="43"/>
        <v>197225.33743470325</v>
      </c>
      <c r="Q27" s="396">
        <f t="shared" si="43"/>
        <v>197962.27322194478</v>
      </c>
      <c r="R27" s="396">
        <f t="shared" si="43"/>
        <v>198699.20900918631</v>
      </c>
      <c r="S27" s="396">
        <f t="shared" si="43"/>
        <v>199436.14479642783</v>
      </c>
      <c r="T27" s="396">
        <f t="shared" si="43"/>
        <v>200173.08058366936</v>
      </c>
      <c r="U27" s="396">
        <f t="shared" si="43"/>
        <v>200910.01637091089</v>
      </c>
      <c r="V27" s="396">
        <f t="shared" si="43"/>
        <v>201646.95215815242</v>
      </c>
      <c r="W27" s="396">
        <f t="shared" si="43"/>
        <v>202383.88794539394</v>
      </c>
      <c r="X27" s="396">
        <f t="shared" si="43"/>
        <v>203120.82373263547</v>
      </c>
      <c r="Y27" s="396">
        <f t="shared" si="43"/>
        <v>203857.759519877</v>
      </c>
      <c r="Z27" s="396">
        <f t="shared" si="43"/>
        <v>204594.69530711853</v>
      </c>
      <c r="AA27" s="396">
        <f>Z27</f>
        <v>204594.69530711853</v>
      </c>
      <c r="AB27" s="396">
        <f t="shared" ref="AB27:AM27" si="44">AB26+AA27</f>
        <v>205110.20149008039</v>
      </c>
      <c r="AC27" s="396">
        <f t="shared" si="44"/>
        <v>205625.70767304226</v>
      </c>
      <c r="AD27" s="396">
        <f t="shared" si="44"/>
        <v>206141.21385600412</v>
      </c>
      <c r="AE27" s="396">
        <f t="shared" si="44"/>
        <v>206656.72003896598</v>
      </c>
      <c r="AF27" s="396">
        <f t="shared" si="44"/>
        <v>207172.22622192785</v>
      </c>
      <c r="AG27" s="396">
        <f t="shared" si="44"/>
        <v>207687.73240488971</v>
      </c>
      <c r="AH27" s="396">
        <f t="shared" si="44"/>
        <v>208203.23858785158</v>
      </c>
      <c r="AI27" s="396">
        <f t="shared" si="44"/>
        <v>208718.74477081344</v>
      </c>
      <c r="AJ27" s="396">
        <f t="shared" si="44"/>
        <v>207945.58095377532</v>
      </c>
      <c r="AK27" s="396">
        <f t="shared" si="44"/>
        <v>207167.21713673719</v>
      </c>
      <c r="AL27" s="396">
        <f t="shared" si="44"/>
        <v>206366.05331969907</v>
      </c>
      <c r="AM27" s="396">
        <f t="shared" si="44"/>
        <v>187286.05950266094</v>
      </c>
      <c r="AN27" s="396">
        <f>AM27</f>
        <v>187286.05950266094</v>
      </c>
      <c r="AO27" s="396">
        <f t="shared" ref="AO27:AZ27" si="45">AO26+AN27</f>
        <v>185017.17608134315</v>
      </c>
      <c r="AP27" s="396">
        <f t="shared" si="45"/>
        <v>185311.25266002535</v>
      </c>
      <c r="AQ27" s="396">
        <f t="shared" si="45"/>
        <v>184323.84923870757</v>
      </c>
      <c r="AR27" s="396">
        <f t="shared" si="45"/>
        <v>183336.44581738979</v>
      </c>
      <c r="AS27" s="396">
        <f t="shared" si="45"/>
        <v>182349.04239607201</v>
      </c>
      <c r="AT27" s="396">
        <f t="shared" si="45"/>
        <v>180080.15897475422</v>
      </c>
      <c r="AU27" s="396">
        <f t="shared" si="45"/>
        <v>179092.75555343644</v>
      </c>
      <c r="AV27" s="396">
        <f t="shared" si="45"/>
        <v>178105.35213211866</v>
      </c>
      <c r="AW27" s="396">
        <f t="shared" si="45"/>
        <v>177117.94871080088</v>
      </c>
      <c r="AX27" s="396">
        <f t="shared" si="45"/>
        <v>176130.5452894831</v>
      </c>
      <c r="AY27" s="396">
        <f t="shared" si="45"/>
        <v>175143.14186816532</v>
      </c>
      <c r="AZ27" s="396">
        <f t="shared" si="45"/>
        <v>174155.73844684754</v>
      </c>
      <c r="BA27" s="396">
        <f>AZ27</f>
        <v>174155.73844684754</v>
      </c>
      <c r="BB27" s="396">
        <f t="shared" ref="BB27:BM27" si="46">BB26+BA27</f>
        <v>172946.90542125009</v>
      </c>
      <c r="BC27" s="396">
        <f t="shared" si="46"/>
        <v>171738.07239565265</v>
      </c>
      <c r="BD27" s="396">
        <f t="shared" si="46"/>
        <v>170529.23937005521</v>
      </c>
      <c r="BE27" s="396">
        <f t="shared" si="46"/>
        <v>169320.40634445776</v>
      </c>
      <c r="BF27" s="396">
        <f t="shared" si="46"/>
        <v>168111.57331886032</v>
      </c>
      <c r="BG27" s="396">
        <f t="shared" si="46"/>
        <v>166902.74029326288</v>
      </c>
      <c r="BH27" s="396">
        <f t="shared" si="46"/>
        <v>165693.90726766543</v>
      </c>
      <c r="BI27" s="396">
        <f t="shared" si="46"/>
        <v>164485.07424206799</v>
      </c>
      <c r="BJ27" s="396">
        <f t="shared" si="46"/>
        <v>163276.24121647055</v>
      </c>
      <c r="BK27" s="396">
        <f t="shared" si="46"/>
        <v>162067.4081908731</v>
      </c>
      <c r="BL27" s="396">
        <f t="shared" si="46"/>
        <v>160858.57516527566</v>
      </c>
      <c r="BM27" s="396">
        <f t="shared" si="46"/>
        <v>159649.74213967822</v>
      </c>
      <c r="BN27" s="396">
        <f>BM27</f>
        <v>159649.74213967822</v>
      </c>
      <c r="BO27" s="396"/>
    </row>
    <row r="28" spans="1:68" x14ac:dyDescent="0.25">
      <c r="A28" s="392"/>
      <c r="B28" s="397"/>
      <c r="C28" s="397"/>
      <c r="D28" s="397"/>
      <c r="E28" s="397"/>
      <c r="F28" s="397"/>
      <c r="G28" s="397"/>
      <c r="H28" s="397"/>
      <c r="I28" s="397"/>
      <c r="J28" s="397"/>
      <c r="K28" s="397"/>
      <c r="L28" s="397"/>
      <c r="M28" s="397"/>
      <c r="N28" s="397"/>
      <c r="O28" s="397"/>
      <c r="P28" s="397"/>
      <c r="Q28" s="397"/>
      <c r="R28" s="397"/>
      <c r="S28" s="397"/>
      <c r="T28" s="397"/>
      <c r="U28" s="397"/>
      <c r="V28" s="397"/>
      <c r="W28" s="397"/>
      <c r="X28" s="397"/>
      <c r="Y28" s="397"/>
      <c r="Z28" s="397"/>
      <c r="AA28" s="397"/>
      <c r="AB28" s="397"/>
      <c r="AC28" s="397"/>
      <c r="AD28" s="397"/>
      <c r="AE28" s="397"/>
      <c r="AF28" s="397"/>
      <c r="AG28" s="397"/>
      <c r="AH28" s="397"/>
      <c r="AI28" s="397"/>
      <c r="AJ28" s="397"/>
      <c r="AK28" s="397"/>
      <c r="AL28" s="397"/>
      <c r="AM28" s="397"/>
      <c r="AN28" s="397"/>
      <c r="AO28" s="397"/>
      <c r="AP28" s="397"/>
      <c r="AQ28" s="397"/>
      <c r="AR28" s="397"/>
      <c r="AS28" s="397"/>
      <c r="AT28" s="397"/>
      <c r="AU28" s="397"/>
      <c r="AV28" s="397"/>
      <c r="AW28" s="397"/>
      <c r="AX28" s="397"/>
      <c r="AY28" s="397"/>
      <c r="AZ28" s="397"/>
      <c r="BA28" s="397"/>
      <c r="BB28" s="397"/>
      <c r="BC28" s="397"/>
      <c r="BD28" s="397"/>
      <c r="BE28" s="397"/>
      <c r="BF28" s="397"/>
      <c r="BG28" s="397"/>
      <c r="BH28" s="397"/>
      <c r="BI28" s="397"/>
      <c r="BJ28" s="397"/>
      <c r="BK28" s="397"/>
      <c r="BL28" s="397"/>
      <c r="BM28" s="397"/>
      <c r="BN28" s="397"/>
      <c r="BO28" s="397"/>
    </row>
    <row r="29" spans="1:68" x14ac:dyDescent="0.25">
      <c r="A29" s="392" t="s">
        <v>433</v>
      </c>
      <c r="B29" s="396">
        <v>0</v>
      </c>
      <c r="C29" s="396">
        <f>B27*C31/12</f>
        <v>36.412513637172225</v>
      </c>
      <c r="D29" s="396">
        <f t="shared" ref="D29:M29" si="47">C27*D31/12</f>
        <v>72.82502727434445</v>
      </c>
      <c r="E29" s="396">
        <f t="shared" si="47"/>
        <v>109.23754091151666</v>
      </c>
      <c r="F29" s="396">
        <f t="shared" si="47"/>
        <v>145.6500545486889</v>
      </c>
      <c r="G29" s="396">
        <f t="shared" si="47"/>
        <v>182.06256818586112</v>
      </c>
      <c r="H29" s="396">
        <f t="shared" si="47"/>
        <v>57.424872424127578</v>
      </c>
      <c r="I29" s="396">
        <f t="shared" si="47"/>
        <v>66.995684494815507</v>
      </c>
      <c r="J29" s="396">
        <f t="shared" si="47"/>
        <v>76.566496565503428</v>
      </c>
      <c r="K29" s="396">
        <f t="shared" si="47"/>
        <v>82.034651462703437</v>
      </c>
      <c r="L29" s="396">
        <f t="shared" si="47"/>
        <v>85.683352319670476</v>
      </c>
      <c r="M29" s="396">
        <f t="shared" si="47"/>
        <v>89.335625176637549</v>
      </c>
      <c r="N29" s="396">
        <f>SUM(B29:M29)</f>
        <v>1004.2283870010414</v>
      </c>
      <c r="O29" s="396">
        <f>N27*O31/12</f>
        <v>92.981946283604586</v>
      </c>
      <c r="P29" s="396">
        <f t="shared" ref="P29:Z29" si="48">O27*P31/12</f>
        <v>93.33199078254431</v>
      </c>
      <c r="Q29" s="396">
        <f t="shared" si="48"/>
        <v>93.682035281484033</v>
      </c>
      <c r="R29" s="396">
        <f t="shared" si="48"/>
        <v>94.032079780423757</v>
      </c>
      <c r="S29" s="396">
        <f t="shared" si="48"/>
        <v>94.382124279363481</v>
      </c>
      <c r="T29" s="396">
        <f t="shared" si="48"/>
        <v>94.732168778303219</v>
      </c>
      <c r="U29" s="396">
        <f t="shared" si="48"/>
        <v>95.082213277242943</v>
      </c>
      <c r="V29" s="396">
        <f t="shared" si="48"/>
        <v>95.432257776182666</v>
      </c>
      <c r="W29" s="396">
        <f t="shared" si="48"/>
        <v>95.78230227512239</v>
      </c>
      <c r="X29" s="396">
        <f t="shared" si="48"/>
        <v>96.132346774062114</v>
      </c>
      <c r="Y29" s="396">
        <f t="shared" si="48"/>
        <v>96.482391273001838</v>
      </c>
      <c r="Z29" s="396">
        <f t="shared" si="48"/>
        <v>96.832435771941562</v>
      </c>
      <c r="AA29" s="396">
        <f>SUM(O29:Z29)</f>
        <v>1138.8862923332772</v>
      </c>
      <c r="AB29" s="396">
        <f t="shared" ref="AB29:BM29" si="49">AA27*AB31/12</f>
        <v>97.182480270881285</v>
      </c>
      <c r="AC29" s="396">
        <f t="shared" si="49"/>
        <v>97.427345707788177</v>
      </c>
      <c r="AD29" s="396">
        <f t="shared" si="49"/>
        <v>97.672211144695055</v>
      </c>
      <c r="AE29" s="396">
        <f t="shared" si="49"/>
        <v>175.22003177760351</v>
      </c>
      <c r="AF29" s="396">
        <f t="shared" si="49"/>
        <v>175.65821203312112</v>
      </c>
      <c r="AG29" s="396">
        <f t="shared" si="49"/>
        <v>176.09639228863867</v>
      </c>
      <c r="AH29" s="396">
        <f t="shared" si="49"/>
        <v>380.76084274229788</v>
      </c>
      <c r="AI29" s="396">
        <f t="shared" si="49"/>
        <v>381.70593741106126</v>
      </c>
      <c r="AJ29" s="396">
        <f t="shared" si="49"/>
        <v>382.65103207982469</v>
      </c>
      <c r="AK29" s="396">
        <f t="shared" si="49"/>
        <v>670.62449857592537</v>
      </c>
      <c r="AL29" s="396">
        <f t="shared" si="49"/>
        <v>668.11427526597743</v>
      </c>
      <c r="AM29" s="396">
        <f t="shared" si="49"/>
        <v>665.53052195602947</v>
      </c>
      <c r="AN29" s="396">
        <f>SUM(AB29:AM29)</f>
        <v>3968.6437812538443</v>
      </c>
      <c r="AO29" s="396">
        <f t="shared" si="49"/>
        <v>738.21921787298845</v>
      </c>
      <c r="AP29" s="396">
        <f t="shared" si="49"/>
        <v>729.27603572062753</v>
      </c>
      <c r="AQ29" s="396">
        <f t="shared" si="49"/>
        <v>730.43518756826654</v>
      </c>
      <c r="AR29" s="396">
        <f t="shared" si="49"/>
        <v>764.94397434063649</v>
      </c>
      <c r="AS29" s="396">
        <f t="shared" si="49"/>
        <v>760.84625014216772</v>
      </c>
      <c r="AT29" s="396">
        <f t="shared" si="49"/>
        <v>756.74852594369895</v>
      </c>
      <c r="AU29" s="396">
        <f t="shared" si="49"/>
        <v>747.3326597452301</v>
      </c>
      <c r="AV29" s="396">
        <f t="shared" si="49"/>
        <v>743.23493554676133</v>
      </c>
      <c r="AW29" s="396">
        <f t="shared" si="49"/>
        <v>739.13721134829245</v>
      </c>
      <c r="AX29" s="396">
        <f t="shared" si="49"/>
        <v>810.31461535191409</v>
      </c>
      <c r="AY29" s="396">
        <f t="shared" si="49"/>
        <v>805.79724469938526</v>
      </c>
      <c r="AZ29" s="396">
        <f t="shared" si="49"/>
        <v>801.27987404685643</v>
      </c>
      <c r="BA29" s="396">
        <f>SUM(AO29:AZ29)</f>
        <v>9127.5657323268242</v>
      </c>
      <c r="BB29" s="396">
        <f t="shared" si="49"/>
        <v>796.76250339432761</v>
      </c>
      <c r="BC29" s="396">
        <f t="shared" si="49"/>
        <v>791.23209230221926</v>
      </c>
      <c r="BD29" s="396">
        <f t="shared" si="49"/>
        <v>785.70168121011091</v>
      </c>
      <c r="BE29" s="396">
        <f t="shared" si="49"/>
        <v>780.17127011800267</v>
      </c>
      <c r="BF29" s="396">
        <f t="shared" si="49"/>
        <v>774.64085902589431</v>
      </c>
      <c r="BG29" s="396">
        <f t="shared" si="49"/>
        <v>769.11044793378596</v>
      </c>
      <c r="BH29" s="396">
        <f t="shared" si="49"/>
        <v>723.24520793747251</v>
      </c>
      <c r="BI29" s="396">
        <f t="shared" si="49"/>
        <v>718.00693149321694</v>
      </c>
      <c r="BJ29" s="396">
        <f t="shared" si="49"/>
        <v>712.76865504896125</v>
      </c>
      <c r="BK29" s="396">
        <f t="shared" si="49"/>
        <v>599.22380526444681</v>
      </c>
      <c r="BL29" s="396">
        <f t="shared" si="49"/>
        <v>594.78738806050421</v>
      </c>
      <c r="BM29" s="396">
        <f t="shared" si="49"/>
        <v>590.35097085656162</v>
      </c>
      <c r="BN29" s="396">
        <f>SUM(BB29:BM29)</f>
        <v>8636.0018126455034</v>
      </c>
      <c r="BO29" s="396">
        <f>BN27*BO31</f>
        <v>5038.9449862835936</v>
      </c>
    </row>
    <row r="30" spans="1:68" x14ac:dyDescent="0.25">
      <c r="A30" s="392" t="s">
        <v>437</v>
      </c>
      <c r="B30" s="396">
        <f>B29</f>
        <v>0</v>
      </c>
      <c r="C30" s="396">
        <f>C29+B30</f>
        <v>36.412513637172225</v>
      </c>
      <c r="D30" s="396">
        <f t="shared" ref="D30:M30" si="50">D29+C30</f>
        <v>109.23754091151667</v>
      </c>
      <c r="E30" s="396">
        <f t="shared" si="50"/>
        <v>218.47508182303335</v>
      </c>
      <c r="F30" s="396">
        <f t="shared" si="50"/>
        <v>364.12513637172225</v>
      </c>
      <c r="G30" s="396">
        <f t="shared" si="50"/>
        <v>546.1877045575834</v>
      </c>
      <c r="H30" s="396">
        <f t="shared" si="50"/>
        <v>603.61257698171096</v>
      </c>
      <c r="I30" s="396">
        <f t="shared" si="50"/>
        <v>670.60826147652642</v>
      </c>
      <c r="J30" s="396">
        <f t="shared" si="50"/>
        <v>747.17475804202991</v>
      </c>
      <c r="K30" s="396">
        <f t="shared" si="50"/>
        <v>829.20940950473334</v>
      </c>
      <c r="L30" s="396">
        <f t="shared" si="50"/>
        <v>914.89276182440381</v>
      </c>
      <c r="M30" s="396">
        <f t="shared" si="50"/>
        <v>1004.2283870010414</v>
      </c>
      <c r="N30" s="396">
        <f>M30</f>
        <v>1004.2283870010414</v>
      </c>
      <c r="O30" s="396">
        <f t="shared" ref="O30:Z30" si="51">O29+N30</f>
        <v>1097.2103332846459</v>
      </c>
      <c r="P30" s="396">
        <f t="shared" si="51"/>
        <v>1190.5423240671903</v>
      </c>
      <c r="Q30" s="396">
        <f t="shared" si="51"/>
        <v>1284.2243593486744</v>
      </c>
      <c r="R30" s="396">
        <f t="shared" si="51"/>
        <v>1378.2564391290982</v>
      </c>
      <c r="S30" s="396">
        <f t="shared" si="51"/>
        <v>1472.6385634084618</v>
      </c>
      <c r="T30" s="396">
        <f t="shared" si="51"/>
        <v>1567.3707321867651</v>
      </c>
      <c r="U30" s="396">
        <f t="shared" si="51"/>
        <v>1662.4529454640081</v>
      </c>
      <c r="V30" s="396">
        <f t="shared" si="51"/>
        <v>1757.8852032401908</v>
      </c>
      <c r="W30" s="396">
        <f t="shared" si="51"/>
        <v>1853.6675055153132</v>
      </c>
      <c r="X30" s="396">
        <f t="shared" si="51"/>
        <v>1949.7998522893754</v>
      </c>
      <c r="Y30" s="396">
        <f t="shared" si="51"/>
        <v>2046.2822435623773</v>
      </c>
      <c r="Z30" s="396">
        <f t="shared" si="51"/>
        <v>2143.1146793343187</v>
      </c>
      <c r="AA30" s="396">
        <f>Z30</f>
        <v>2143.1146793343187</v>
      </c>
      <c r="AB30" s="396">
        <f t="shared" ref="AB30:AM30" si="52">AB29+AA30</f>
        <v>2240.2971596051998</v>
      </c>
      <c r="AC30" s="396">
        <f t="shared" si="52"/>
        <v>2337.7245053129882</v>
      </c>
      <c r="AD30" s="396">
        <f t="shared" si="52"/>
        <v>2435.3967164576834</v>
      </c>
      <c r="AE30" s="396">
        <f t="shared" si="52"/>
        <v>2610.6167482352871</v>
      </c>
      <c r="AF30" s="396">
        <f t="shared" si="52"/>
        <v>2786.274960268408</v>
      </c>
      <c r="AG30" s="396">
        <f t="shared" si="52"/>
        <v>2962.3713525570465</v>
      </c>
      <c r="AH30" s="396">
        <f t="shared" si="52"/>
        <v>3343.1321952993444</v>
      </c>
      <c r="AI30" s="396">
        <f t="shared" si="52"/>
        <v>3724.8381327104057</v>
      </c>
      <c r="AJ30" s="396">
        <f t="shared" si="52"/>
        <v>4107.4891647902305</v>
      </c>
      <c r="AK30" s="396">
        <f t="shared" si="52"/>
        <v>4778.1136633661554</v>
      </c>
      <c r="AL30" s="396">
        <f t="shared" si="52"/>
        <v>5446.2279386321325</v>
      </c>
      <c r="AM30" s="396">
        <f t="shared" si="52"/>
        <v>6111.7584605881621</v>
      </c>
      <c r="AN30" s="396">
        <f>AM30</f>
        <v>6111.7584605881621</v>
      </c>
      <c r="AO30" s="396">
        <f t="shared" ref="AO30:AZ30" si="53">AO29+AN30</f>
        <v>6849.9776784611504</v>
      </c>
      <c r="AP30" s="396">
        <f t="shared" si="53"/>
        <v>7579.2537141817775</v>
      </c>
      <c r="AQ30" s="396">
        <f t="shared" si="53"/>
        <v>8309.6889017500434</v>
      </c>
      <c r="AR30" s="396">
        <f t="shared" si="53"/>
        <v>9074.6328760906799</v>
      </c>
      <c r="AS30" s="396">
        <f t="shared" si="53"/>
        <v>9835.4791262328472</v>
      </c>
      <c r="AT30" s="396">
        <f t="shared" si="53"/>
        <v>10592.227652176545</v>
      </c>
      <c r="AU30" s="396">
        <f t="shared" si="53"/>
        <v>11339.560311921776</v>
      </c>
      <c r="AV30" s="396">
        <f t="shared" si="53"/>
        <v>12082.795247468537</v>
      </c>
      <c r="AW30" s="396">
        <f t="shared" si="53"/>
        <v>12821.932458816829</v>
      </c>
      <c r="AX30" s="396">
        <f t="shared" si="53"/>
        <v>13632.247074168743</v>
      </c>
      <c r="AY30" s="396">
        <f t="shared" si="53"/>
        <v>14438.044318868127</v>
      </c>
      <c r="AZ30" s="396">
        <f t="shared" si="53"/>
        <v>15239.324192914984</v>
      </c>
      <c r="BA30" s="396">
        <f>AZ30</f>
        <v>15239.324192914984</v>
      </c>
      <c r="BB30" s="396">
        <f t="shared" ref="BB30:BM30" si="54">BB29+BA30</f>
        <v>16036.086696309312</v>
      </c>
      <c r="BC30" s="396">
        <f t="shared" si="54"/>
        <v>16827.31878861153</v>
      </c>
      <c r="BD30" s="396">
        <f t="shared" si="54"/>
        <v>17613.02046982164</v>
      </c>
      <c r="BE30" s="396">
        <f t="shared" si="54"/>
        <v>18393.191739939644</v>
      </c>
      <c r="BF30" s="396">
        <f t="shared" si="54"/>
        <v>19167.832598965539</v>
      </c>
      <c r="BG30" s="396">
        <f t="shared" si="54"/>
        <v>19936.943046899323</v>
      </c>
      <c r="BH30" s="396">
        <f t="shared" si="54"/>
        <v>20660.188254836794</v>
      </c>
      <c r="BI30" s="396">
        <f t="shared" si="54"/>
        <v>21378.195186330009</v>
      </c>
      <c r="BJ30" s="396">
        <f t="shared" si="54"/>
        <v>22090.963841378969</v>
      </c>
      <c r="BK30" s="396">
        <f t="shared" si="54"/>
        <v>22690.187646643415</v>
      </c>
      <c r="BL30" s="396">
        <f t="shared" si="54"/>
        <v>23284.975034703919</v>
      </c>
      <c r="BM30" s="396">
        <f t="shared" si="54"/>
        <v>23875.326005560481</v>
      </c>
      <c r="BN30" s="396">
        <f>BM30</f>
        <v>23875.326005560481</v>
      </c>
      <c r="BO30" s="396"/>
    </row>
    <row r="31" spans="1:68" x14ac:dyDescent="0.25">
      <c r="A31" s="392" t="s">
        <v>434</v>
      </c>
      <c r="B31" s="398">
        <f>B18</f>
        <v>2.18E-2</v>
      </c>
      <c r="C31" s="398">
        <f t="shared" ref="C31:BM31" si="55">C18</f>
        <v>2.18E-2</v>
      </c>
      <c r="D31" s="398">
        <f t="shared" si="55"/>
        <v>2.18E-2</v>
      </c>
      <c r="E31" s="398">
        <f t="shared" si="55"/>
        <v>2.18E-2</v>
      </c>
      <c r="F31" s="398">
        <f t="shared" si="55"/>
        <v>2.18E-2</v>
      </c>
      <c r="G31" s="398">
        <f t="shared" si="55"/>
        <v>2.18E-2</v>
      </c>
      <c r="H31" s="398">
        <f t="shared" si="55"/>
        <v>5.7299999999999999E-3</v>
      </c>
      <c r="I31" s="398">
        <f t="shared" si="55"/>
        <v>5.7299999999999999E-3</v>
      </c>
      <c r="J31" s="398">
        <f t="shared" si="55"/>
        <v>5.7299999999999999E-3</v>
      </c>
      <c r="K31" s="398">
        <f t="shared" si="55"/>
        <v>5.6999999999999993E-3</v>
      </c>
      <c r="L31" s="398">
        <f t="shared" si="55"/>
        <v>5.6999999999999993E-3</v>
      </c>
      <c r="M31" s="398">
        <f t="shared" si="55"/>
        <v>5.6999999999999993E-3</v>
      </c>
      <c r="N31" s="398"/>
      <c r="O31" s="398">
        <f t="shared" si="55"/>
        <v>5.6999999999999993E-3</v>
      </c>
      <c r="P31" s="398">
        <f t="shared" si="55"/>
        <v>5.6999999999999993E-3</v>
      </c>
      <c r="Q31" s="398">
        <f t="shared" si="55"/>
        <v>5.6999999999999993E-3</v>
      </c>
      <c r="R31" s="398">
        <f t="shared" si="55"/>
        <v>5.6999999999999993E-3</v>
      </c>
      <c r="S31" s="398">
        <f t="shared" si="55"/>
        <v>5.6999999999999993E-3</v>
      </c>
      <c r="T31" s="398">
        <f t="shared" si="55"/>
        <v>5.6999999999999993E-3</v>
      </c>
      <c r="U31" s="398">
        <f t="shared" si="55"/>
        <v>5.6999999999999993E-3</v>
      </c>
      <c r="V31" s="398">
        <f t="shared" si="55"/>
        <v>5.6999999999999993E-3</v>
      </c>
      <c r="W31" s="398">
        <f t="shared" si="55"/>
        <v>5.6999999999999993E-3</v>
      </c>
      <c r="X31" s="398">
        <f t="shared" si="55"/>
        <v>5.6999999999999993E-3</v>
      </c>
      <c r="Y31" s="398">
        <f t="shared" si="55"/>
        <v>5.6999999999999993E-3</v>
      </c>
      <c r="Z31" s="398">
        <f t="shared" si="55"/>
        <v>5.6999999999999993E-3</v>
      </c>
      <c r="AA31" s="398"/>
      <c r="AB31" s="398">
        <f t="shared" si="55"/>
        <v>5.6999999999999993E-3</v>
      </c>
      <c r="AC31" s="398">
        <f t="shared" si="55"/>
        <v>5.6999999999999993E-3</v>
      </c>
      <c r="AD31" s="398">
        <f t="shared" si="55"/>
        <v>5.6999999999999993E-3</v>
      </c>
      <c r="AE31" s="398">
        <f t="shared" si="55"/>
        <v>1.0200000000000001E-2</v>
      </c>
      <c r="AF31" s="398">
        <f t="shared" si="55"/>
        <v>1.0200000000000001E-2</v>
      </c>
      <c r="AG31" s="398">
        <f t="shared" si="55"/>
        <v>1.0200000000000001E-2</v>
      </c>
      <c r="AH31" s="398">
        <f t="shared" si="55"/>
        <v>2.2000000000000002E-2</v>
      </c>
      <c r="AI31" s="398">
        <f t="shared" si="55"/>
        <v>2.2000000000000002E-2</v>
      </c>
      <c r="AJ31" s="398">
        <f t="shared" si="55"/>
        <v>2.2000000000000002E-2</v>
      </c>
      <c r="AK31" s="398">
        <f t="shared" si="55"/>
        <v>3.8699999999999998E-2</v>
      </c>
      <c r="AL31" s="398">
        <f t="shared" si="55"/>
        <v>3.8699999999999998E-2</v>
      </c>
      <c r="AM31" s="398">
        <f t="shared" si="55"/>
        <v>3.8699999999999998E-2</v>
      </c>
      <c r="AN31" s="398"/>
      <c r="AO31" s="398">
        <f t="shared" si="55"/>
        <v>4.7300000000000002E-2</v>
      </c>
      <c r="AP31" s="398">
        <f t="shared" si="55"/>
        <v>4.7300000000000002E-2</v>
      </c>
      <c r="AQ31" s="398">
        <f t="shared" si="55"/>
        <v>4.7300000000000002E-2</v>
      </c>
      <c r="AR31" s="398">
        <f t="shared" si="55"/>
        <v>4.9800000000000004E-2</v>
      </c>
      <c r="AS31" s="398">
        <f t="shared" si="55"/>
        <v>4.9800000000000004E-2</v>
      </c>
      <c r="AT31" s="398">
        <f t="shared" si="55"/>
        <v>4.9800000000000004E-2</v>
      </c>
      <c r="AU31" s="398">
        <f t="shared" si="55"/>
        <v>4.9800000000000004E-2</v>
      </c>
      <c r="AV31" s="398">
        <f t="shared" si="55"/>
        <v>4.9800000000000004E-2</v>
      </c>
      <c r="AW31" s="398">
        <f t="shared" si="55"/>
        <v>4.9800000000000004E-2</v>
      </c>
      <c r="AX31" s="398">
        <f t="shared" si="55"/>
        <v>5.4900000000000004E-2</v>
      </c>
      <c r="AY31" s="398">
        <f t="shared" si="55"/>
        <v>5.4900000000000004E-2</v>
      </c>
      <c r="AZ31" s="398">
        <f t="shared" si="55"/>
        <v>5.4900000000000004E-2</v>
      </c>
      <c r="BA31" s="398"/>
      <c r="BB31" s="398">
        <f t="shared" si="55"/>
        <v>5.4900000000000004E-2</v>
      </c>
      <c r="BC31" s="398">
        <f t="shared" si="55"/>
        <v>5.4900000000000004E-2</v>
      </c>
      <c r="BD31" s="398">
        <f t="shared" si="55"/>
        <v>5.4900000000000004E-2</v>
      </c>
      <c r="BE31" s="398">
        <f t="shared" si="55"/>
        <v>5.4900000000000004E-2</v>
      </c>
      <c r="BF31" s="398">
        <f t="shared" si="55"/>
        <v>5.4900000000000004E-2</v>
      </c>
      <c r="BG31" s="398">
        <f t="shared" si="55"/>
        <v>5.4900000000000004E-2</v>
      </c>
      <c r="BH31" s="398">
        <f t="shared" si="55"/>
        <v>5.2000000000000005E-2</v>
      </c>
      <c r="BI31" s="398">
        <f t="shared" si="55"/>
        <v>5.2000000000000005E-2</v>
      </c>
      <c r="BJ31" s="398">
        <f t="shared" si="55"/>
        <v>5.2000000000000005E-2</v>
      </c>
      <c r="BK31" s="398">
        <f t="shared" si="55"/>
        <v>4.4039999999999996E-2</v>
      </c>
      <c r="BL31" s="398">
        <f t="shared" si="55"/>
        <v>4.4039999999999996E-2</v>
      </c>
      <c r="BM31" s="398">
        <f t="shared" si="55"/>
        <v>4.4039999999999996E-2</v>
      </c>
      <c r="BN31" s="397"/>
      <c r="BO31" s="398">
        <f>BO18</f>
        <v>3.15625E-2</v>
      </c>
    </row>
    <row r="32" spans="1:68" x14ac:dyDescent="0.25">
      <c r="A32" s="392"/>
      <c r="B32" s="397"/>
      <c r="C32" s="397"/>
      <c r="D32" s="397"/>
      <c r="E32" s="397"/>
      <c r="F32" s="397"/>
      <c r="G32" s="397"/>
      <c r="H32" s="397"/>
      <c r="I32" s="397"/>
      <c r="J32" s="397"/>
      <c r="K32" s="397"/>
      <c r="L32" s="397"/>
      <c r="M32" s="397"/>
      <c r="N32" s="397"/>
      <c r="O32" s="397"/>
      <c r="P32" s="397"/>
      <c r="Q32" s="397"/>
      <c r="R32" s="397"/>
      <c r="S32" s="397"/>
      <c r="T32" s="397"/>
      <c r="U32" s="397"/>
      <c r="V32" s="397"/>
      <c r="W32" s="397"/>
      <c r="X32" s="397"/>
      <c r="Y32" s="397"/>
      <c r="Z32" s="397"/>
      <c r="AA32" s="397"/>
      <c r="AB32" s="397"/>
      <c r="AC32" s="397"/>
      <c r="AD32" s="397"/>
      <c r="AE32" s="397"/>
      <c r="AF32" s="397"/>
      <c r="AG32" s="397"/>
      <c r="AH32" s="397"/>
      <c r="AI32" s="397"/>
      <c r="AJ32" s="397"/>
      <c r="AK32" s="397"/>
      <c r="AL32" s="397"/>
      <c r="AM32" s="397"/>
      <c r="AN32" s="397"/>
      <c r="AO32" s="397"/>
      <c r="AP32" s="397"/>
      <c r="AQ32" s="397"/>
      <c r="AR32" s="397"/>
      <c r="AS32" s="397"/>
      <c r="AT32" s="397"/>
      <c r="AU32" s="397"/>
      <c r="AV32" s="397"/>
      <c r="AW32" s="397"/>
      <c r="AX32" s="397"/>
      <c r="AY32" s="397"/>
      <c r="AZ32" s="397"/>
      <c r="BA32" s="397"/>
      <c r="BB32" s="397"/>
      <c r="BC32" s="397"/>
      <c r="BD32" s="397"/>
      <c r="BE32" s="397"/>
      <c r="BF32" s="397"/>
      <c r="BG32" s="397"/>
      <c r="BH32" s="397"/>
      <c r="BI32" s="397"/>
      <c r="BJ32" s="397"/>
      <c r="BK32" s="397"/>
      <c r="BL32" s="397"/>
      <c r="BM32" s="397"/>
      <c r="BN32" s="397"/>
      <c r="BO32" s="397"/>
    </row>
    <row r="33" spans="1:68" s="315" customFormat="1" x14ac:dyDescent="0.25">
      <c r="A33" s="392" t="s">
        <v>449</v>
      </c>
      <c r="B33" s="400">
        <f>B26+B29</f>
        <v>20043.585488351684</v>
      </c>
      <c r="C33" s="400">
        <f t="shared" ref="C33:N33" si="56">C26+C29</f>
        <v>20079.998001988857</v>
      </c>
      <c r="D33" s="400">
        <f t="shared" si="56"/>
        <v>20116.41051562603</v>
      </c>
      <c r="E33" s="400">
        <f t="shared" si="56"/>
        <v>20152.8230292632</v>
      </c>
      <c r="F33" s="400">
        <f t="shared" si="56"/>
        <v>20189.235542900373</v>
      </c>
      <c r="G33" s="400">
        <f t="shared" si="56"/>
        <v>20225.648056537546</v>
      </c>
      <c r="H33" s="400">
        <f t="shared" si="56"/>
        <v>20101.01036077581</v>
      </c>
      <c r="I33" s="400">
        <f t="shared" si="56"/>
        <v>20110.581172846498</v>
      </c>
      <c r="J33" s="400">
        <f t="shared" si="56"/>
        <v>12432.411984917188</v>
      </c>
      <c r="K33" s="400">
        <f t="shared" si="56"/>
        <v>7763.5101398143888</v>
      </c>
      <c r="L33" s="400">
        <f t="shared" si="56"/>
        <v>7774.678840671354</v>
      </c>
      <c r="M33" s="400">
        <f t="shared" si="56"/>
        <v>7765.8011135283205</v>
      </c>
      <c r="N33" s="400">
        <f t="shared" si="56"/>
        <v>196755.69424722122</v>
      </c>
      <c r="O33" s="400">
        <f>O26+O29</f>
        <v>829.91773352512848</v>
      </c>
      <c r="P33" s="400">
        <f t="shared" ref="P33:AA33" si="57">P26+P29</f>
        <v>830.26777802406821</v>
      </c>
      <c r="Q33" s="400">
        <f t="shared" si="57"/>
        <v>830.61782252300793</v>
      </c>
      <c r="R33" s="400">
        <f t="shared" si="57"/>
        <v>830.96786702194765</v>
      </c>
      <c r="S33" s="400">
        <f t="shared" si="57"/>
        <v>831.31791152088738</v>
      </c>
      <c r="T33" s="400">
        <f t="shared" si="57"/>
        <v>831.66795601982722</v>
      </c>
      <c r="U33" s="400">
        <f t="shared" si="57"/>
        <v>832.01800051876694</v>
      </c>
      <c r="V33" s="400">
        <f t="shared" si="57"/>
        <v>832.36804501770666</v>
      </c>
      <c r="W33" s="400">
        <f t="shared" si="57"/>
        <v>832.71808951664639</v>
      </c>
      <c r="X33" s="400">
        <f t="shared" si="57"/>
        <v>833.06813401558611</v>
      </c>
      <c r="Y33" s="400">
        <f t="shared" si="57"/>
        <v>833.41817851452583</v>
      </c>
      <c r="Z33" s="400">
        <f t="shared" si="57"/>
        <v>833.76822301346556</v>
      </c>
      <c r="AA33" s="400">
        <f t="shared" si="57"/>
        <v>9982.1157392315654</v>
      </c>
      <c r="AB33" s="400">
        <f>AB26+AB29</f>
        <v>612.68866323274938</v>
      </c>
      <c r="AC33" s="400">
        <f t="shared" ref="AC33:AN33" si="58">AC26+AC29</f>
        <v>612.9335286696562</v>
      </c>
      <c r="AD33" s="400">
        <f t="shared" si="58"/>
        <v>613.17839410656313</v>
      </c>
      <c r="AE33" s="400">
        <f t="shared" si="58"/>
        <v>690.72621473947152</v>
      </c>
      <c r="AF33" s="400">
        <f t="shared" si="58"/>
        <v>691.16439499498915</v>
      </c>
      <c r="AG33" s="400">
        <f t="shared" si="58"/>
        <v>691.60257525050667</v>
      </c>
      <c r="AH33" s="400">
        <f t="shared" si="58"/>
        <v>896.26702570416592</v>
      </c>
      <c r="AI33" s="400">
        <f t="shared" si="58"/>
        <v>897.21212037292935</v>
      </c>
      <c r="AJ33" s="400">
        <f t="shared" si="58"/>
        <v>-390.51278495830735</v>
      </c>
      <c r="AK33" s="400">
        <f t="shared" si="58"/>
        <v>-107.73931846220557</v>
      </c>
      <c r="AL33" s="400">
        <f t="shared" si="58"/>
        <v>-133.04954177215461</v>
      </c>
      <c r="AM33" s="400">
        <f t="shared" si="58"/>
        <v>-18414.463295082107</v>
      </c>
      <c r="AN33" s="400">
        <f t="shared" si="58"/>
        <v>-13339.992023203742</v>
      </c>
      <c r="AO33" s="400">
        <f>AO26+AO29</f>
        <v>-1530.6642034447987</v>
      </c>
      <c r="AP33" s="400">
        <f t="shared" ref="AP33:BA33" si="59">AP26+AP29</f>
        <v>1023.3526144028397</v>
      </c>
      <c r="AQ33" s="400">
        <f t="shared" si="59"/>
        <v>-256.96823374952089</v>
      </c>
      <c r="AR33" s="400">
        <f t="shared" si="59"/>
        <v>-222.45944697715095</v>
      </c>
      <c r="AS33" s="400">
        <f t="shared" si="59"/>
        <v>-226.55717117561971</v>
      </c>
      <c r="AT33" s="400">
        <f t="shared" si="59"/>
        <v>-1512.134895374088</v>
      </c>
      <c r="AU33" s="400">
        <f t="shared" si="59"/>
        <v>-240.07076157255733</v>
      </c>
      <c r="AV33" s="400">
        <f t="shared" si="59"/>
        <v>-244.1684857710261</v>
      </c>
      <c r="AW33" s="400">
        <f t="shared" si="59"/>
        <v>-248.26620996949498</v>
      </c>
      <c r="AX33" s="400">
        <f t="shared" si="59"/>
        <v>-177.08880596587335</v>
      </c>
      <c r="AY33" s="400">
        <f t="shared" si="59"/>
        <v>-181.60617661840217</v>
      </c>
      <c r="AZ33" s="400">
        <f t="shared" si="59"/>
        <v>-186.123547270931</v>
      </c>
      <c r="BA33" s="400">
        <f t="shared" si="59"/>
        <v>-4002.7553234866245</v>
      </c>
      <c r="BB33" s="400">
        <f>BB26+BB29</f>
        <v>-412.07052220311755</v>
      </c>
      <c r="BC33" s="400">
        <f t="shared" ref="BC33:BO33" si="60">BC26+BC29</f>
        <v>-417.6009332952259</v>
      </c>
      <c r="BD33" s="400">
        <f t="shared" si="60"/>
        <v>-423.13134438733425</v>
      </c>
      <c r="BE33" s="400">
        <f t="shared" si="60"/>
        <v>-428.66175547944249</v>
      </c>
      <c r="BF33" s="400">
        <f t="shared" si="60"/>
        <v>-434.19216657155084</v>
      </c>
      <c r="BG33" s="400">
        <f t="shared" si="60"/>
        <v>-439.72257766365919</v>
      </c>
      <c r="BH33" s="400">
        <f t="shared" si="60"/>
        <v>-485.58781765997264</v>
      </c>
      <c r="BI33" s="400">
        <f t="shared" si="60"/>
        <v>-490.82609410422822</v>
      </c>
      <c r="BJ33" s="400">
        <f t="shared" si="60"/>
        <v>-496.06437054848391</v>
      </c>
      <c r="BK33" s="400">
        <f t="shared" si="60"/>
        <v>-609.60922033299835</v>
      </c>
      <c r="BL33" s="400">
        <f t="shared" si="60"/>
        <v>-614.04563753694094</v>
      </c>
      <c r="BM33" s="400">
        <f t="shared" si="60"/>
        <v>-618.48205474088354</v>
      </c>
      <c r="BN33" s="400">
        <f t="shared" si="60"/>
        <v>-5869.9944945238385</v>
      </c>
      <c r="BO33" s="400">
        <f t="shared" si="60"/>
        <v>5038.9449862835936</v>
      </c>
    </row>
    <row r="34" spans="1:68" s="315" customFormat="1" x14ac:dyDescent="0.25">
      <c r="A34" s="394" t="s">
        <v>450</v>
      </c>
      <c r="B34" s="409">
        <f>B33</f>
        <v>20043.585488351684</v>
      </c>
      <c r="C34" s="409">
        <f>C33+B34</f>
        <v>40123.583490340541</v>
      </c>
      <c r="D34" s="409">
        <f t="shared" ref="D34:M34" si="61">D33+C34</f>
        <v>60239.994005966568</v>
      </c>
      <c r="E34" s="409">
        <f t="shared" si="61"/>
        <v>80392.81703522976</v>
      </c>
      <c r="F34" s="409">
        <f t="shared" si="61"/>
        <v>100582.05257813013</v>
      </c>
      <c r="G34" s="409">
        <f t="shared" si="61"/>
        <v>120807.70063466768</v>
      </c>
      <c r="H34" s="409">
        <f t="shared" si="61"/>
        <v>140908.71099544349</v>
      </c>
      <c r="I34" s="409">
        <f t="shared" si="61"/>
        <v>161019.29216828998</v>
      </c>
      <c r="J34" s="409">
        <f t="shared" si="61"/>
        <v>173451.70415320716</v>
      </c>
      <c r="K34" s="409">
        <f t="shared" si="61"/>
        <v>181215.21429302153</v>
      </c>
      <c r="L34" s="409">
        <f t="shared" si="61"/>
        <v>188989.89313369288</v>
      </c>
      <c r="M34" s="409">
        <f t="shared" si="61"/>
        <v>196755.6942472212</v>
      </c>
      <c r="N34" s="410">
        <f>M34</f>
        <v>196755.6942472212</v>
      </c>
      <c r="O34" s="409">
        <f t="shared" ref="O34:Z34" si="62">O33+N34</f>
        <v>197585.61198074633</v>
      </c>
      <c r="P34" s="409">
        <f t="shared" si="62"/>
        <v>198415.8797587704</v>
      </c>
      <c r="Q34" s="409">
        <f t="shared" si="62"/>
        <v>199246.4975812934</v>
      </c>
      <c r="R34" s="409">
        <f t="shared" si="62"/>
        <v>200077.46544831534</v>
      </c>
      <c r="S34" s="409">
        <f t="shared" si="62"/>
        <v>200908.78335983623</v>
      </c>
      <c r="T34" s="409">
        <f t="shared" si="62"/>
        <v>201740.45131585607</v>
      </c>
      <c r="U34" s="409">
        <f t="shared" si="62"/>
        <v>202572.46931637483</v>
      </c>
      <c r="V34" s="409">
        <f t="shared" si="62"/>
        <v>203404.83736139254</v>
      </c>
      <c r="W34" s="409">
        <f t="shared" si="62"/>
        <v>204237.55545090919</v>
      </c>
      <c r="X34" s="409">
        <f t="shared" si="62"/>
        <v>205070.62358492479</v>
      </c>
      <c r="Y34" s="409">
        <f t="shared" si="62"/>
        <v>205904.04176343931</v>
      </c>
      <c r="Z34" s="409">
        <f t="shared" si="62"/>
        <v>206737.80998645278</v>
      </c>
      <c r="AA34" s="410">
        <f>Z34</f>
        <v>206737.80998645278</v>
      </c>
      <c r="AB34" s="409">
        <f t="shared" ref="AB34:AM34" si="63">AB33+AA34</f>
        <v>207350.49864968553</v>
      </c>
      <c r="AC34" s="409">
        <f t="shared" si="63"/>
        <v>207963.43217835517</v>
      </c>
      <c r="AD34" s="409">
        <f t="shared" si="63"/>
        <v>208576.61057246174</v>
      </c>
      <c r="AE34" s="409">
        <f t="shared" si="63"/>
        <v>209267.3367872012</v>
      </c>
      <c r="AF34" s="409">
        <f t="shared" si="63"/>
        <v>209958.5011821962</v>
      </c>
      <c r="AG34" s="409">
        <f t="shared" si="63"/>
        <v>210650.10375744669</v>
      </c>
      <c r="AH34" s="409">
        <f t="shared" si="63"/>
        <v>211546.37078315087</v>
      </c>
      <c r="AI34" s="409">
        <f t="shared" si="63"/>
        <v>212443.58290352378</v>
      </c>
      <c r="AJ34" s="409">
        <f t="shared" si="63"/>
        <v>212053.07011856549</v>
      </c>
      <c r="AK34" s="409">
        <f t="shared" si="63"/>
        <v>211945.33080010329</v>
      </c>
      <c r="AL34" s="409">
        <f t="shared" si="63"/>
        <v>211812.28125833112</v>
      </c>
      <c r="AM34" s="409">
        <f t="shared" si="63"/>
        <v>193397.81796324902</v>
      </c>
      <c r="AN34" s="410">
        <f>AM34</f>
        <v>193397.81796324902</v>
      </c>
      <c r="AO34" s="409">
        <f t="shared" ref="AO34:AZ34" si="64">AO33+AN34</f>
        <v>191867.15375980423</v>
      </c>
      <c r="AP34" s="409">
        <f t="shared" si="64"/>
        <v>192890.50637420706</v>
      </c>
      <c r="AQ34" s="409">
        <f t="shared" si="64"/>
        <v>192633.53814045753</v>
      </c>
      <c r="AR34" s="409">
        <f t="shared" si="64"/>
        <v>192411.07869348038</v>
      </c>
      <c r="AS34" s="409">
        <f t="shared" si="64"/>
        <v>192184.52152230477</v>
      </c>
      <c r="AT34" s="409">
        <f t="shared" si="64"/>
        <v>190672.38662693067</v>
      </c>
      <c r="AU34" s="409">
        <f t="shared" si="64"/>
        <v>190432.3158653581</v>
      </c>
      <c r="AV34" s="409">
        <f t="shared" si="64"/>
        <v>190188.14737958708</v>
      </c>
      <c r="AW34" s="409">
        <f t="shared" si="64"/>
        <v>189939.88116961758</v>
      </c>
      <c r="AX34" s="409">
        <f t="shared" si="64"/>
        <v>189762.79236365171</v>
      </c>
      <c r="AY34" s="409">
        <f t="shared" si="64"/>
        <v>189581.18618703331</v>
      </c>
      <c r="AZ34" s="409">
        <f t="shared" si="64"/>
        <v>189395.06263976239</v>
      </c>
      <c r="BA34" s="410">
        <f>AZ34</f>
        <v>189395.06263976239</v>
      </c>
      <c r="BB34" s="409">
        <f t="shared" ref="BB34:BM34" si="65">BB33+BA34</f>
        <v>188982.99211755928</v>
      </c>
      <c r="BC34" s="409">
        <f t="shared" si="65"/>
        <v>188565.39118426404</v>
      </c>
      <c r="BD34" s="409">
        <f t="shared" si="65"/>
        <v>188142.2598398767</v>
      </c>
      <c r="BE34" s="409">
        <f t="shared" si="65"/>
        <v>187713.59808439726</v>
      </c>
      <c r="BF34" s="409">
        <f t="shared" si="65"/>
        <v>187279.4059178257</v>
      </c>
      <c r="BG34" s="409">
        <f t="shared" si="65"/>
        <v>186839.68334016204</v>
      </c>
      <c r="BH34" s="409">
        <f t="shared" si="65"/>
        <v>186354.09552250206</v>
      </c>
      <c r="BI34" s="409">
        <f t="shared" si="65"/>
        <v>185863.26942839782</v>
      </c>
      <c r="BJ34" s="409">
        <f t="shared" si="65"/>
        <v>185367.20505784932</v>
      </c>
      <c r="BK34" s="409">
        <f t="shared" si="65"/>
        <v>184757.59583751633</v>
      </c>
      <c r="BL34" s="409">
        <f t="shared" si="65"/>
        <v>184143.55019997939</v>
      </c>
      <c r="BM34" s="409">
        <f t="shared" si="65"/>
        <v>183525.0681452385</v>
      </c>
      <c r="BN34" s="410">
        <f>BM34</f>
        <v>183525.0681452385</v>
      </c>
      <c r="BO34" s="410">
        <f>BN34+BO33</f>
        <v>188564.01313152211</v>
      </c>
    </row>
    <row r="35" spans="1:68" x14ac:dyDescent="0.25">
      <c r="A35" s="401" t="s">
        <v>451</v>
      </c>
      <c r="B35" s="396"/>
      <c r="C35" s="396"/>
      <c r="D35" s="396"/>
      <c r="E35" s="396"/>
      <c r="F35" s="396"/>
      <c r="G35" s="396"/>
      <c r="H35" s="396"/>
      <c r="I35" s="396"/>
      <c r="J35" s="396"/>
      <c r="K35" s="396"/>
      <c r="L35" s="396"/>
      <c r="M35" s="396"/>
      <c r="N35" s="396"/>
      <c r="O35" s="396"/>
      <c r="P35" s="396"/>
      <c r="Q35" s="396"/>
      <c r="R35" s="396"/>
      <c r="S35" s="396"/>
      <c r="T35" s="396"/>
      <c r="U35" s="396"/>
      <c r="V35" s="396"/>
      <c r="W35" s="396"/>
      <c r="X35" s="396"/>
      <c r="Y35" s="396"/>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c r="AY35" s="396"/>
      <c r="AZ35" s="396"/>
      <c r="BA35" s="396"/>
      <c r="BB35" s="396"/>
      <c r="BC35" s="396"/>
      <c r="BD35" s="396"/>
      <c r="BE35" s="396"/>
      <c r="BF35" s="396"/>
      <c r="BG35" s="396"/>
      <c r="BH35" s="396"/>
      <c r="BI35" s="396"/>
      <c r="BJ35" s="396"/>
      <c r="BK35" s="396"/>
      <c r="BL35" s="396"/>
      <c r="BM35" s="396"/>
      <c r="BN35" s="396"/>
      <c r="BO35" s="396"/>
    </row>
    <row r="36" spans="1:68" x14ac:dyDescent="0.25">
      <c r="A36" s="315" t="s">
        <v>398</v>
      </c>
      <c r="B36" s="396">
        <f t="shared" ref="B36:M36" si="66">B9+B23</f>
        <v>20043.585488351684</v>
      </c>
      <c r="C36" s="396">
        <f t="shared" si="66"/>
        <v>20043.585488351684</v>
      </c>
      <c r="D36" s="396">
        <f t="shared" si="66"/>
        <v>20043.585488351684</v>
      </c>
      <c r="E36" s="396">
        <f t="shared" si="66"/>
        <v>20043.585488351684</v>
      </c>
      <c r="F36" s="396">
        <f t="shared" si="66"/>
        <v>20043.585488351684</v>
      </c>
      <c r="G36" s="396">
        <f t="shared" si="66"/>
        <v>20043.585488351684</v>
      </c>
      <c r="H36" s="396">
        <f t="shared" si="66"/>
        <v>20043.585488351684</v>
      </c>
      <c r="I36" s="396">
        <f t="shared" si="66"/>
        <v>28768.402142691069</v>
      </c>
      <c r="J36" s="396">
        <f t="shared" si="66"/>
        <v>29635.885044910283</v>
      </c>
      <c r="K36" s="396">
        <f t="shared" si="66"/>
        <v>30556.15631289822</v>
      </c>
      <c r="L36" s="396">
        <f t="shared" si="66"/>
        <v>34198.762088359348</v>
      </c>
      <c r="M36" s="396">
        <f t="shared" si="66"/>
        <v>40246.641706420894</v>
      </c>
      <c r="N36" s="396">
        <f>SUM(B36:M36)</f>
        <v>303710.94571374159</v>
      </c>
      <c r="O36" s="396">
        <f t="shared" ref="O36:Z36" si="67">O9+O23</f>
        <v>33709.799148794657</v>
      </c>
      <c r="P36" s="396">
        <f t="shared" si="67"/>
        <v>33467.616386521062</v>
      </c>
      <c r="Q36" s="396">
        <f t="shared" si="67"/>
        <v>33624.286043471162</v>
      </c>
      <c r="R36" s="396">
        <f t="shared" si="67"/>
        <v>33590.414998591856</v>
      </c>
      <c r="S36" s="396">
        <f t="shared" si="67"/>
        <v>33343.981837608771</v>
      </c>
      <c r="T36" s="396">
        <f t="shared" si="67"/>
        <v>32590.844391940955</v>
      </c>
      <c r="U36" s="396">
        <f t="shared" si="67"/>
        <v>32774.499889810926</v>
      </c>
      <c r="V36" s="396">
        <f t="shared" si="67"/>
        <v>32648.230960046189</v>
      </c>
      <c r="W36" s="396">
        <f t="shared" si="67"/>
        <v>32324.56876010196</v>
      </c>
      <c r="X36" s="396">
        <f t="shared" si="67"/>
        <v>33236.104094525617</v>
      </c>
      <c r="Y36" s="396">
        <f t="shared" si="67"/>
        <v>33313.789052607339</v>
      </c>
      <c r="Z36" s="396">
        <f t="shared" si="67"/>
        <v>34333.624106037001</v>
      </c>
      <c r="AA36" s="396">
        <f>SUM(O36:Z36)</f>
        <v>398957.75967005751</v>
      </c>
      <c r="AB36" s="396">
        <f t="shared" ref="AB36:AM36" si="68">AB9+AB23</f>
        <v>35579.90891225871</v>
      </c>
      <c r="AC36" s="396">
        <f t="shared" si="68"/>
        <v>35023.116083149791</v>
      </c>
      <c r="AD36" s="396">
        <f t="shared" si="68"/>
        <v>35247.494388526909</v>
      </c>
      <c r="AE36" s="396">
        <f t="shared" si="68"/>
        <v>35068.36206802183</v>
      </c>
      <c r="AF36" s="396">
        <f t="shared" si="68"/>
        <v>35024.453556823995</v>
      </c>
      <c r="AG36" s="396">
        <f t="shared" si="68"/>
        <v>34263.310199252774</v>
      </c>
      <c r="AH36" s="396">
        <f t="shared" si="68"/>
        <v>34277.877274558829</v>
      </c>
      <c r="AI36" s="396">
        <f t="shared" si="68"/>
        <v>34252.099818366303</v>
      </c>
      <c r="AJ36" s="396">
        <f t="shared" si="68"/>
        <v>34027.593600894972</v>
      </c>
      <c r="AK36" s="396">
        <f t="shared" si="68"/>
        <v>34296.103065979805</v>
      </c>
      <c r="AL36" s="396">
        <f t="shared" si="68"/>
        <v>34410.028619071636</v>
      </c>
      <c r="AM36" s="396">
        <f t="shared" si="68"/>
        <v>34613.97658199232</v>
      </c>
      <c r="AN36" s="396">
        <f>SUM(AB36:AM36)</f>
        <v>416084.32416889782</v>
      </c>
      <c r="AO36" s="396">
        <f t="shared" ref="AO36:AZ36" si="69">AO9+AO23</f>
        <v>38375.827370068655</v>
      </c>
      <c r="AP36" s="396">
        <f t="shared" si="69"/>
        <v>34747.010598986162</v>
      </c>
      <c r="AQ36" s="396">
        <f t="shared" si="69"/>
        <v>35105.910890026789</v>
      </c>
      <c r="AR36" s="396">
        <f t="shared" si="69"/>
        <v>35131.220808236423</v>
      </c>
      <c r="AS36" s="396">
        <f t="shared" si="69"/>
        <v>34780.91836595699</v>
      </c>
      <c r="AT36" s="396">
        <f t="shared" si="69"/>
        <v>34571.873716678005</v>
      </c>
      <c r="AU36" s="396">
        <f t="shared" si="69"/>
        <v>34872.267101069112</v>
      </c>
      <c r="AV36" s="396">
        <f t="shared" si="69"/>
        <v>34792.753406033145</v>
      </c>
      <c r="AW36" s="396">
        <f t="shared" si="69"/>
        <v>34695.824464710611</v>
      </c>
      <c r="AX36" s="396">
        <f t="shared" si="69"/>
        <v>34789.778653683941</v>
      </c>
      <c r="AY36" s="396">
        <f t="shared" si="69"/>
        <v>34422.728180171951</v>
      </c>
      <c r="AZ36" s="396">
        <f t="shared" si="69"/>
        <v>34894.602387697538</v>
      </c>
      <c r="BA36" s="396">
        <f>SUM(AO36:AZ36)</f>
        <v>421180.71594331937</v>
      </c>
      <c r="BB36" s="396">
        <f t="shared" ref="BB36:BM36" si="70">BB9+BB23</f>
        <v>34927.067786744461</v>
      </c>
      <c r="BC36" s="396">
        <f t="shared" si="70"/>
        <v>34265.976580930961</v>
      </c>
      <c r="BD36" s="396">
        <f t="shared" si="70"/>
        <v>34421.463006366779</v>
      </c>
      <c r="BE36" s="396">
        <f t="shared" si="70"/>
        <v>43516.075674212538</v>
      </c>
      <c r="BF36" s="396">
        <f t="shared" si="70"/>
        <v>35534.416062810429</v>
      </c>
      <c r="BG36" s="396">
        <f t="shared" si="70"/>
        <v>34749.158681911693</v>
      </c>
      <c r="BH36" s="396">
        <f t="shared" si="70"/>
        <v>35037.830408925234</v>
      </c>
      <c r="BI36" s="396">
        <f t="shared" si="70"/>
        <v>35139.208782852584</v>
      </c>
      <c r="BJ36" s="396">
        <f t="shared" si="70"/>
        <v>35041.230962934729</v>
      </c>
      <c r="BK36" s="396">
        <f t="shared" si="70"/>
        <v>34770.537889091909</v>
      </c>
      <c r="BL36" s="396">
        <f t="shared" si="70"/>
        <v>34823.962796483771</v>
      </c>
      <c r="BM36" s="396">
        <f t="shared" si="70"/>
        <v>35122.13637348637</v>
      </c>
      <c r="BN36" s="396">
        <f>SUM(BB36:BM36)</f>
        <v>427349.06500675145</v>
      </c>
      <c r="BO36" s="396"/>
    </row>
    <row r="37" spans="1:68" x14ac:dyDescent="0.25">
      <c r="A37" s="315" t="s">
        <v>419</v>
      </c>
      <c r="B37" s="396">
        <f t="shared" ref="B37:M37" si="71">B11+B24</f>
        <v>0</v>
      </c>
      <c r="C37" s="396">
        <f t="shared" si="71"/>
        <v>0</v>
      </c>
      <c r="D37" s="396">
        <f t="shared" si="71"/>
        <v>0</v>
      </c>
      <c r="E37" s="396">
        <f t="shared" si="71"/>
        <v>0</v>
      </c>
      <c r="F37" s="396">
        <f t="shared" si="71"/>
        <v>0</v>
      </c>
      <c r="G37" s="396">
        <f t="shared" si="71"/>
        <v>0</v>
      </c>
      <c r="H37" s="396">
        <f t="shared" si="71"/>
        <v>0</v>
      </c>
      <c r="I37" s="396">
        <f t="shared" si="71"/>
        <v>0</v>
      </c>
      <c r="J37" s="396">
        <f t="shared" si="71"/>
        <v>17564.949999999997</v>
      </c>
      <c r="K37" s="396">
        <f t="shared" si="71"/>
        <v>28244.93</v>
      </c>
      <c r="L37" s="396">
        <f t="shared" si="71"/>
        <v>28227.75</v>
      </c>
      <c r="M37" s="396">
        <f t="shared" si="71"/>
        <v>28256.38</v>
      </c>
      <c r="N37" s="396">
        <f t="shared" ref="N37:N38" si="72">SUM(B37:M37)</f>
        <v>102294.01000000001</v>
      </c>
      <c r="O37" s="396">
        <f t="shared" ref="O37:Z37" si="73">O11+O24</f>
        <v>28256.38</v>
      </c>
      <c r="P37" s="396">
        <f t="shared" si="73"/>
        <v>28256.38</v>
      </c>
      <c r="Q37" s="396">
        <f t="shared" si="73"/>
        <v>28256.38</v>
      </c>
      <c r="R37" s="396">
        <f t="shared" si="73"/>
        <v>28256.38</v>
      </c>
      <c r="S37" s="396">
        <f t="shared" si="73"/>
        <v>28256.38</v>
      </c>
      <c r="T37" s="396">
        <f t="shared" si="73"/>
        <v>28256.38</v>
      </c>
      <c r="U37" s="396">
        <f t="shared" si="73"/>
        <v>28256.38</v>
      </c>
      <c r="V37" s="396">
        <f t="shared" si="73"/>
        <v>28256.38</v>
      </c>
      <c r="W37" s="396">
        <f t="shared" si="73"/>
        <v>28256.38</v>
      </c>
      <c r="X37" s="396">
        <f t="shared" si="73"/>
        <v>28256.38</v>
      </c>
      <c r="Y37" s="396">
        <f t="shared" si="73"/>
        <v>28256.38</v>
      </c>
      <c r="Z37" s="396">
        <f t="shared" si="73"/>
        <v>28256.38</v>
      </c>
      <c r="AA37" s="396">
        <f>SUM(O37:Z37)</f>
        <v>339076.56</v>
      </c>
      <c r="AB37" s="396">
        <f t="shared" ref="AB37:AM37" si="74">AB11+AB24</f>
        <v>28256.38</v>
      </c>
      <c r="AC37" s="396">
        <f t="shared" si="74"/>
        <v>28256.38</v>
      </c>
      <c r="AD37" s="396">
        <f t="shared" si="74"/>
        <v>28256.38</v>
      </c>
      <c r="AE37" s="396">
        <f t="shared" si="74"/>
        <v>28256.38</v>
      </c>
      <c r="AF37" s="396">
        <f t="shared" si="74"/>
        <v>28256.38</v>
      </c>
      <c r="AG37" s="396">
        <f t="shared" si="74"/>
        <v>28256.38</v>
      </c>
      <c r="AH37" s="396">
        <f t="shared" si="74"/>
        <v>28256.38</v>
      </c>
      <c r="AI37" s="396">
        <f t="shared" si="74"/>
        <v>28256.38</v>
      </c>
      <c r="AJ37" s="396">
        <f t="shared" si="74"/>
        <v>31191.49</v>
      </c>
      <c r="AK37" s="396">
        <f t="shared" si="74"/>
        <v>31196.690000000002</v>
      </c>
      <c r="AL37" s="396">
        <f t="shared" si="74"/>
        <v>31219.49</v>
      </c>
      <c r="AM37" s="396">
        <f t="shared" si="74"/>
        <v>72932.08</v>
      </c>
      <c r="AN37" s="396">
        <f>SUM(AB37:AM37)</f>
        <v>392590.79</v>
      </c>
      <c r="AO37" s="396">
        <f t="shared" ref="AO37:AZ37" si="75">AO11+AO24</f>
        <v>34112.22</v>
      </c>
      <c r="AP37" s="396">
        <f t="shared" si="75"/>
        <v>28256.38</v>
      </c>
      <c r="AQ37" s="396">
        <f t="shared" si="75"/>
        <v>31184.300000000003</v>
      </c>
      <c r="AR37" s="396">
        <f t="shared" si="75"/>
        <v>31184.300000000003</v>
      </c>
      <c r="AS37" s="396">
        <f t="shared" si="75"/>
        <v>31193.279999999999</v>
      </c>
      <c r="AT37" s="396">
        <f t="shared" si="75"/>
        <v>34120.54</v>
      </c>
      <c r="AU37" s="396">
        <f t="shared" si="75"/>
        <v>31184.959999999999</v>
      </c>
      <c r="AV37" s="396">
        <f t="shared" si="75"/>
        <v>31184.299999999996</v>
      </c>
      <c r="AW37" s="396">
        <f t="shared" si="75"/>
        <v>31184.299999999996</v>
      </c>
      <c r="AX37" s="396">
        <f t="shared" si="75"/>
        <v>31184.299999999996</v>
      </c>
      <c r="AY37" s="396">
        <f t="shared" si="75"/>
        <v>31184.299999999996</v>
      </c>
      <c r="AZ37" s="396">
        <f t="shared" si="75"/>
        <v>31184.299999999996</v>
      </c>
      <c r="BA37" s="396">
        <f>SUM(AO37:AZ37)</f>
        <v>377157.48</v>
      </c>
      <c r="BB37" s="396">
        <f t="shared" ref="BB37:BM37" si="76">BB11+BB24</f>
        <v>31184.299999999996</v>
      </c>
      <c r="BC37" s="396">
        <f t="shared" si="76"/>
        <v>31184.299999999996</v>
      </c>
      <c r="BD37" s="396">
        <f t="shared" si="76"/>
        <v>31184.299999999996</v>
      </c>
      <c r="BE37" s="396">
        <f t="shared" si="76"/>
        <v>31184.299999999996</v>
      </c>
      <c r="BF37" s="396">
        <f t="shared" si="76"/>
        <v>31184.299999999996</v>
      </c>
      <c r="BG37" s="396">
        <f t="shared" si="76"/>
        <v>31184.299999999996</v>
      </c>
      <c r="BH37" s="396">
        <f t="shared" si="76"/>
        <v>31184.299999999996</v>
      </c>
      <c r="BI37" s="396">
        <f t="shared" si="76"/>
        <v>31184.299999999996</v>
      </c>
      <c r="BJ37" s="396">
        <f t="shared" si="76"/>
        <v>31184.299999999996</v>
      </c>
      <c r="BK37" s="396">
        <f t="shared" si="76"/>
        <v>31184.299999999996</v>
      </c>
      <c r="BL37" s="396">
        <f t="shared" si="76"/>
        <v>31184.299999999996</v>
      </c>
      <c r="BM37" s="396">
        <f t="shared" si="76"/>
        <v>31184.299999999996</v>
      </c>
      <c r="BN37" s="396">
        <f>SUM(BB37:BM37)</f>
        <v>374211.59999999992</v>
      </c>
      <c r="BO37" s="396"/>
    </row>
    <row r="38" spans="1:68" x14ac:dyDescent="0.25">
      <c r="A38" s="315" t="s">
        <v>417</v>
      </c>
      <c r="B38" s="396">
        <f>B36-B37</f>
        <v>20043.585488351684</v>
      </c>
      <c r="C38" s="396">
        <f t="shared" ref="C38:M38" si="77">C36-C37</f>
        <v>20043.585488351684</v>
      </c>
      <c r="D38" s="396">
        <f t="shared" si="77"/>
        <v>20043.585488351684</v>
      </c>
      <c r="E38" s="396">
        <f t="shared" si="77"/>
        <v>20043.585488351684</v>
      </c>
      <c r="F38" s="396">
        <f t="shared" si="77"/>
        <v>20043.585488351684</v>
      </c>
      <c r="G38" s="396">
        <f t="shared" si="77"/>
        <v>20043.585488351684</v>
      </c>
      <c r="H38" s="396">
        <f t="shared" si="77"/>
        <v>20043.585488351684</v>
      </c>
      <c r="I38" s="396">
        <f t="shared" si="77"/>
        <v>28768.402142691069</v>
      </c>
      <c r="J38" s="396">
        <f t="shared" si="77"/>
        <v>12070.935044910286</v>
      </c>
      <c r="K38" s="396">
        <f t="shared" si="77"/>
        <v>2311.2263128982195</v>
      </c>
      <c r="L38" s="396">
        <f t="shared" si="77"/>
        <v>5971.0120883593481</v>
      </c>
      <c r="M38" s="396">
        <f t="shared" si="77"/>
        <v>11990.261706420893</v>
      </c>
      <c r="N38" s="396">
        <f t="shared" si="72"/>
        <v>201416.93571374161</v>
      </c>
      <c r="O38" s="396">
        <f>O36-O37</f>
        <v>5453.4191487946555</v>
      </c>
      <c r="P38" s="396">
        <f t="shared" ref="P38:Z38" si="78">P36-P37</f>
        <v>5211.2363865210609</v>
      </c>
      <c r="Q38" s="396">
        <f t="shared" si="78"/>
        <v>5367.906043471161</v>
      </c>
      <c r="R38" s="396">
        <f t="shared" si="78"/>
        <v>5334.0349985918547</v>
      </c>
      <c r="S38" s="396">
        <f t="shared" si="78"/>
        <v>5087.6018376087704</v>
      </c>
      <c r="T38" s="396">
        <f t="shared" si="78"/>
        <v>4334.4643919409536</v>
      </c>
      <c r="U38" s="396">
        <f t="shared" si="78"/>
        <v>4518.1198898109251</v>
      </c>
      <c r="V38" s="396">
        <f t="shared" si="78"/>
        <v>4391.8509600461875</v>
      </c>
      <c r="W38" s="396">
        <f t="shared" si="78"/>
        <v>4068.1887601019589</v>
      </c>
      <c r="X38" s="396">
        <f t="shared" si="78"/>
        <v>4979.7240945256162</v>
      </c>
      <c r="Y38" s="396">
        <f t="shared" si="78"/>
        <v>5057.4090526073378</v>
      </c>
      <c r="Z38" s="396">
        <f t="shared" si="78"/>
        <v>6077.2441060370002</v>
      </c>
      <c r="AA38" s="396">
        <f>SUM(O38:Z38)</f>
        <v>59881.199670057482</v>
      </c>
      <c r="AB38" s="396">
        <f>AB36-AB37</f>
        <v>7323.5289122587092</v>
      </c>
      <c r="AC38" s="396">
        <f t="shared" ref="AC38:AM38" si="79">AC36-AC37</f>
        <v>6766.7360831497899</v>
      </c>
      <c r="AD38" s="396">
        <f t="shared" si="79"/>
        <v>6991.1143885269084</v>
      </c>
      <c r="AE38" s="396">
        <f t="shared" si="79"/>
        <v>6811.982068021829</v>
      </c>
      <c r="AF38" s="396">
        <f t="shared" si="79"/>
        <v>6768.0735568239943</v>
      </c>
      <c r="AG38" s="396">
        <f t="shared" si="79"/>
        <v>6006.9301992527726</v>
      </c>
      <c r="AH38" s="396">
        <f t="shared" si="79"/>
        <v>6021.4972745588275</v>
      </c>
      <c r="AI38" s="396">
        <f t="shared" si="79"/>
        <v>5995.7198183663022</v>
      </c>
      <c r="AJ38" s="396">
        <f t="shared" si="79"/>
        <v>2836.1036008949704</v>
      </c>
      <c r="AK38" s="396">
        <f t="shared" si="79"/>
        <v>3099.4130659798029</v>
      </c>
      <c r="AL38" s="396">
        <f t="shared" si="79"/>
        <v>3190.5386190716345</v>
      </c>
      <c r="AM38" s="396">
        <f t="shared" si="79"/>
        <v>-38318.103418007682</v>
      </c>
      <c r="AN38" s="396">
        <f>SUM(AB38:AM38)</f>
        <v>23493.534168897866</v>
      </c>
      <c r="AO38" s="396">
        <f>AO36-AO37</f>
        <v>4263.6073700686538</v>
      </c>
      <c r="AP38" s="396">
        <f t="shared" ref="AP38:AZ38" si="80">AP36-AP37</f>
        <v>6490.6305989861612</v>
      </c>
      <c r="AQ38" s="396">
        <f t="shared" si="80"/>
        <v>3921.6108900267864</v>
      </c>
      <c r="AR38" s="396">
        <f t="shared" si="80"/>
        <v>3946.9208082364203</v>
      </c>
      <c r="AS38" s="396">
        <f t="shared" si="80"/>
        <v>3587.638365956991</v>
      </c>
      <c r="AT38" s="396">
        <f t="shared" si="80"/>
        <v>451.33371667800384</v>
      </c>
      <c r="AU38" s="396">
        <f t="shared" si="80"/>
        <v>3687.3071010691128</v>
      </c>
      <c r="AV38" s="396">
        <f t="shared" si="80"/>
        <v>3608.4534060331498</v>
      </c>
      <c r="AW38" s="396">
        <f t="shared" si="80"/>
        <v>3511.5244647106156</v>
      </c>
      <c r="AX38" s="396">
        <f t="shared" si="80"/>
        <v>3605.4786536839456</v>
      </c>
      <c r="AY38" s="396">
        <f t="shared" si="80"/>
        <v>3238.4281801719553</v>
      </c>
      <c r="AZ38" s="396">
        <f t="shared" si="80"/>
        <v>3710.3023876975421</v>
      </c>
      <c r="BA38" s="396">
        <f>SUM(AO38:AZ38)</f>
        <v>44023.235943319341</v>
      </c>
      <c r="BB38" s="396">
        <f>BB36-BB37</f>
        <v>3742.7677867444654</v>
      </c>
      <c r="BC38" s="396">
        <f t="shared" ref="BC38:BM38" si="81">BC36-BC37</f>
        <v>3081.6765809309654</v>
      </c>
      <c r="BD38" s="396">
        <f t="shared" si="81"/>
        <v>3237.1630063667835</v>
      </c>
      <c r="BE38" s="396">
        <f t="shared" si="81"/>
        <v>12331.775674212542</v>
      </c>
      <c r="BF38" s="396">
        <f t="shared" si="81"/>
        <v>4350.1160628104335</v>
      </c>
      <c r="BG38" s="396">
        <f t="shared" si="81"/>
        <v>3564.8586819116972</v>
      </c>
      <c r="BH38" s="396">
        <f t="shared" si="81"/>
        <v>3853.5304089252386</v>
      </c>
      <c r="BI38" s="396">
        <f t="shared" si="81"/>
        <v>3954.908782852588</v>
      </c>
      <c r="BJ38" s="396">
        <f t="shared" si="81"/>
        <v>3856.9309629347335</v>
      </c>
      <c r="BK38" s="396">
        <f t="shared" si="81"/>
        <v>3586.2378890919135</v>
      </c>
      <c r="BL38" s="396">
        <f t="shared" si="81"/>
        <v>3639.6627964837753</v>
      </c>
      <c r="BM38" s="396">
        <f t="shared" si="81"/>
        <v>3937.8363734863742</v>
      </c>
      <c r="BN38" s="396">
        <f>SUM(BB38:BM38)</f>
        <v>53137.46500675151</v>
      </c>
      <c r="BO38" s="396"/>
    </row>
    <row r="39" spans="1:68" x14ac:dyDescent="0.25">
      <c r="B39" s="396"/>
      <c r="C39" s="396"/>
      <c r="D39" s="396"/>
      <c r="E39" s="396"/>
      <c r="F39" s="396"/>
      <c r="G39" s="396"/>
      <c r="H39" s="396"/>
      <c r="I39" s="396"/>
      <c r="J39" s="396"/>
      <c r="K39" s="396"/>
      <c r="L39" s="396"/>
      <c r="M39" s="396"/>
      <c r="N39" s="396"/>
      <c r="O39" s="396"/>
      <c r="P39" s="396"/>
      <c r="Q39" s="396"/>
      <c r="R39" s="396"/>
      <c r="S39" s="396"/>
      <c r="T39" s="396"/>
      <c r="U39" s="396"/>
      <c r="V39" s="396"/>
      <c r="W39" s="396"/>
      <c r="X39" s="396"/>
      <c r="Y39" s="396"/>
      <c r="Z39" s="396"/>
      <c r="AA39" s="396"/>
      <c r="AB39" s="396"/>
      <c r="AC39" s="396"/>
      <c r="AD39" s="396"/>
      <c r="AE39" s="396"/>
      <c r="AF39" s="396"/>
      <c r="AG39" s="396"/>
      <c r="AH39" s="396"/>
      <c r="AI39" s="396"/>
      <c r="AJ39" s="396"/>
      <c r="AK39" s="396"/>
      <c r="AL39" s="396"/>
      <c r="AM39" s="396"/>
      <c r="AN39" s="396"/>
      <c r="AO39" s="396"/>
      <c r="AP39" s="396"/>
      <c r="AQ39" s="396"/>
      <c r="AR39" s="396"/>
      <c r="AS39" s="396"/>
      <c r="AT39" s="396"/>
      <c r="AU39" s="396"/>
      <c r="AV39" s="396"/>
      <c r="AW39" s="396"/>
      <c r="AX39" s="396"/>
      <c r="AY39" s="396"/>
      <c r="AZ39" s="396"/>
      <c r="BA39" s="396"/>
      <c r="BB39" s="396"/>
      <c r="BC39" s="396"/>
      <c r="BD39" s="396"/>
      <c r="BE39" s="396"/>
      <c r="BF39" s="396"/>
      <c r="BG39" s="396"/>
      <c r="BH39" s="396"/>
      <c r="BI39" s="396"/>
      <c r="BJ39" s="396"/>
      <c r="BK39" s="396"/>
      <c r="BL39" s="396"/>
      <c r="BM39" s="396"/>
      <c r="BN39" s="396"/>
      <c r="BO39" s="396"/>
    </row>
    <row r="40" spans="1:68" x14ac:dyDescent="0.25">
      <c r="A40" s="315" t="s">
        <v>433</v>
      </c>
      <c r="B40" s="396">
        <f t="shared" ref="B40:M40" si="82">B16+B29</f>
        <v>0</v>
      </c>
      <c r="C40" s="396">
        <f t="shared" si="82"/>
        <v>36.412513637172225</v>
      </c>
      <c r="D40" s="396">
        <f t="shared" si="82"/>
        <v>72.82502727434445</v>
      </c>
      <c r="E40" s="396">
        <f t="shared" si="82"/>
        <v>109.23754091151666</v>
      </c>
      <c r="F40" s="396">
        <f t="shared" si="82"/>
        <v>145.6500545486889</v>
      </c>
      <c r="G40" s="396">
        <f t="shared" si="82"/>
        <v>182.06256818586112</v>
      </c>
      <c r="H40" s="396">
        <f t="shared" si="82"/>
        <v>57.424872424127578</v>
      </c>
      <c r="I40" s="396">
        <f t="shared" si="82"/>
        <v>66.995684494815507</v>
      </c>
      <c r="J40" s="396">
        <f t="shared" si="82"/>
        <v>80.732596517950483</v>
      </c>
      <c r="K40" s="396">
        <f t="shared" si="82"/>
        <v>86.04360691287998</v>
      </c>
      <c r="L40" s="396">
        <f t="shared" si="82"/>
        <v>87.141439411506624</v>
      </c>
      <c r="M40" s="396">
        <f t="shared" si="82"/>
        <v>89.977670153477334</v>
      </c>
      <c r="N40" s="396">
        <f>SUM(B40:M40)</f>
        <v>1014.5035744723409</v>
      </c>
      <c r="O40" s="396">
        <f t="shared" ref="O40:BO40" si="83">O16+O29</f>
        <v>95.673044464027257</v>
      </c>
      <c r="P40" s="396">
        <f t="shared" si="83"/>
        <v>98.263418559704704</v>
      </c>
      <c r="Q40" s="396">
        <f t="shared" si="83"/>
        <v>100.73875584330221</v>
      </c>
      <c r="R40" s="396">
        <f t="shared" si="83"/>
        <v>103.28851121395101</v>
      </c>
      <c r="S40" s="396">
        <f t="shared" si="83"/>
        <v>105.82217783828214</v>
      </c>
      <c r="T40" s="396">
        <f t="shared" si="83"/>
        <v>108.23878871114633</v>
      </c>
      <c r="U40" s="396">
        <f t="shared" si="83"/>
        <v>110.29765929731828</v>
      </c>
      <c r="V40" s="396">
        <f t="shared" si="83"/>
        <v>112.44376624497846</v>
      </c>
      <c r="W40" s="396">
        <f t="shared" si="83"/>
        <v>114.52989545100041</v>
      </c>
      <c r="X40" s="396">
        <f t="shared" si="83"/>
        <v>116.46228511204883</v>
      </c>
      <c r="Y40" s="396">
        <f t="shared" si="83"/>
        <v>118.8276540569485</v>
      </c>
      <c r="Z40" s="396">
        <f t="shared" si="83"/>
        <v>121.22992335693699</v>
      </c>
      <c r="AA40" s="396">
        <f t="shared" si="83"/>
        <v>1305.8158801496454</v>
      </c>
      <c r="AB40" s="396">
        <f t="shared" si="83"/>
        <v>124.11661430730456</v>
      </c>
      <c r="AC40" s="396">
        <f t="shared" si="83"/>
        <v>127.59529054062746</v>
      </c>
      <c r="AD40" s="396">
        <f t="shared" si="83"/>
        <v>130.80949018012359</v>
      </c>
      <c r="AE40" s="396">
        <f t="shared" si="83"/>
        <v>240.02258755257435</v>
      </c>
      <c r="AF40" s="396">
        <f t="shared" si="83"/>
        <v>245.81277231039292</v>
      </c>
      <c r="AG40" s="396">
        <f t="shared" si="83"/>
        <v>251.56563483369331</v>
      </c>
      <c r="AH40" s="396">
        <f t="shared" si="83"/>
        <v>553.60525108502748</v>
      </c>
      <c r="AI40" s="396">
        <f t="shared" si="83"/>
        <v>564.64466275505197</v>
      </c>
      <c r="AJ40" s="396">
        <f t="shared" si="83"/>
        <v>575.6368157553901</v>
      </c>
      <c r="AK40" s="396">
        <f t="shared" si="83"/>
        <v>1021.7439236462315</v>
      </c>
      <c r="AL40" s="396">
        <f t="shared" si="83"/>
        <v>1031.7395307840163</v>
      </c>
      <c r="AM40" s="396">
        <f t="shared" si="83"/>
        <v>1042.0290178305224</v>
      </c>
      <c r="AN40" s="396">
        <f t="shared" si="83"/>
        <v>5909.321591580956</v>
      </c>
      <c r="AO40" s="396">
        <f t="shared" si="83"/>
        <v>1122.5538308202138</v>
      </c>
      <c r="AP40" s="396">
        <f t="shared" si="83"/>
        <v>1139.3595498705679</v>
      </c>
      <c r="AQ40" s="396">
        <f t="shared" si="83"/>
        <v>1164.9434521482381</v>
      </c>
      <c r="AR40" s="396">
        <f t="shared" si="83"/>
        <v>1242.7902014088811</v>
      </c>
      <c r="AS40" s="396">
        <f t="shared" si="83"/>
        <v>1259.1699227630625</v>
      </c>
      <c r="AT40" s="396">
        <f t="shared" si="83"/>
        <v>1274.058621981784</v>
      </c>
      <c r="AU40" s="396">
        <f t="shared" si="83"/>
        <v>1275.9316569059977</v>
      </c>
      <c r="AV40" s="396">
        <f t="shared" si="83"/>
        <v>1291.2339813754343</v>
      </c>
      <c r="AW40" s="396">
        <f t="shared" si="83"/>
        <v>1306.2090630104719</v>
      </c>
      <c r="AX40" s="396">
        <f t="shared" si="83"/>
        <v>1456.0426854556679</v>
      </c>
      <c r="AY40" s="396">
        <f t="shared" si="83"/>
        <v>1472.537750296272</v>
      </c>
      <c r="AZ40" s="396">
        <f t="shared" si="83"/>
        <v>1487.3535592205585</v>
      </c>
      <c r="BA40" s="396">
        <f t="shared" si="83"/>
        <v>15492.184275257147</v>
      </c>
      <c r="BB40" s="396">
        <f t="shared" si="83"/>
        <v>1504.3281926442748</v>
      </c>
      <c r="BC40" s="396">
        <f t="shared" si="83"/>
        <v>1521.4513552686308</v>
      </c>
      <c r="BD40" s="396">
        <f t="shared" si="83"/>
        <v>1535.5500256263899</v>
      </c>
      <c r="BE40" s="396">
        <f t="shared" si="83"/>
        <v>1550.3600463805178</v>
      </c>
      <c r="BF40" s="396">
        <f t="shared" si="83"/>
        <v>1606.7779200900404</v>
      </c>
      <c r="BG40" s="396">
        <f t="shared" si="83"/>
        <v>1626.679701077398</v>
      </c>
      <c r="BH40" s="396">
        <f t="shared" si="83"/>
        <v>1556.2008075856374</v>
      </c>
      <c r="BI40" s="396">
        <f t="shared" si="83"/>
        <v>1572.8994393576468</v>
      </c>
      <c r="BJ40" s="396">
        <f t="shared" si="83"/>
        <v>1590.0373774166744</v>
      </c>
      <c r="BK40" s="396">
        <f t="shared" si="83"/>
        <v>1360.7942847383999</v>
      </c>
      <c r="BL40" s="396">
        <f t="shared" si="83"/>
        <v>1373.9557777913674</v>
      </c>
      <c r="BM40" s="396">
        <f t="shared" si="83"/>
        <v>1387.3133402544627</v>
      </c>
      <c r="BN40" s="396">
        <f t="shared" si="83"/>
        <v>18186.348268231442</v>
      </c>
      <c r="BO40" s="396">
        <f t="shared" si="83"/>
        <v>12055.371693993609</v>
      </c>
    </row>
    <row r="41" spans="1:68" x14ac:dyDescent="0.25">
      <c r="B41" s="396"/>
      <c r="C41" s="396"/>
      <c r="D41" s="396"/>
      <c r="E41" s="396"/>
      <c r="F41" s="396"/>
      <c r="G41" s="396"/>
      <c r="H41" s="396"/>
      <c r="I41" s="396"/>
      <c r="J41" s="396"/>
      <c r="K41" s="396"/>
      <c r="L41" s="396"/>
      <c r="M41" s="396"/>
      <c r="N41" s="396"/>
      <c r="O41" s="396"/>
      <c r="P41" s="396"/>
      <c r="Q41" s="396"/>
      <c r="R41" s="396"/>
      <c r="S41" s="396"/>
      <c r="T41" s="396"/>
      <c r="U41" s="396"/>
      <c r="V41" s="396"/>
      <c r="W41" s="396"/>
      <c r="X41" s="396"/>
      <c r="Y41" s="396"/>
      <c r="Z41" s="396"/>
      <c r="AA41" s="396"/>
      <c r="AB41" s="396"/>
      <c r="AC41" s="396"/>
      <c r="AD41" s="396"/>
      <c r="AE41" s="396"/>
      <c r="AF41" s="396"/>
      <c r="AG41" s="396"/>
      <c r="AH41" s="396"/>
      <c r="AI41" s="396"/>
      <c r="AJ41" s="396"/>
      <c r="AK41" s="396"/>
      <c r="AL41" s="396"/>
      <c r="AM41" s="396"/>
      <c r="AN41" s="396"/>
      <c r="AO41" s="396"/>
      <c r="AP41" s="396"/>
      <c r="AQ41" s="396"/>
      <c r="AR41" s="396"/>
      <c r="AS41" s="396"/>
      <c r="AT41" s="396"/>
      <c r="AU41" s="396"/>
      <c r="AV41" s="396"/>
      <c r="AW41" s="396"/>
      <c r="AX41" s="396"/>
      <c r="AY41" s="396"/>
      <c r="AZ41" s="396"/>
      <c r="BA41" s="396"/>
      <c r="BB41" s="396"/>
      <c r="BC41" s="396"/>
      <c r="BD41" s="396"/>
      <c r="BE41" s="396"/>
      <c r="BF41" s="396"/>
      <c r="BG41" s="396"/>
      <c r="BH41" s="396"/>
      <c r="BI41" s="396"/>
      <c r="BJ41" s="396"/>
      <c r="BK41" s="396"/>
      <c r="BL41" s="396"/>
      <c r="BM41" s="396"/>
      <c r="BN41" s="396"/>
      <c r="BO41" s="396"/>
    </row>
    <row r="42" spans="1:68" s="315" customFormat="1" x14ac:dyDescent="0.25">
      <c r="A42" s="315" t="s">
        <v>435</v>
      </c>
      <c r="B42" s="400">
        <f>B38+B40</f>
        <v>20043.585488351684</v>
      </c>
      <c r="C42" s="400">
        <f t="shared" ref="C42:M42" si="84">C38+C40</f>
        <v>20079.998001988857</v>
      </c>
      <c r="D42" s="400">
        <f t="shared" si="84"/>
        <v>20116.41051562603</v>
      </c>
      <c r="E42" s="400">
        <f t="shared" si="84"/>
        <v>20152.8230292632</v>
      </c>
      <c r="F42" s="400">
        <f t="shared" si="84"/>
        <v>20189.235542900373</v>
      </c>
      <c r="G42" s="400">
        <f t="shared" si="84"/>
        <v>20225.648056537546</v>
      </c>
      <c r="H42" s="400">
        <f t="shared" si="84"/>
        <v>20101.01036077581</v>
      </c>
      <c r="I42" s="400">
        <f t="shared" si="84"/>
        <v>28835.397827185883</v>
      </c>
      <c r="J42" s="400">
        <f t="shared" si="84"/>
        <v>12151.667641428236</v>
      </c>
      <c r="K42" s="400">
        <f t="shared" si="84"/>
        <v>2397.2699198110995</v>
      </c>
      <c r="L42" s="400">
        <f t="shared" si="84"/>
        <v>6058.1535277708545</v>
      </c>
      <c r="M42" s="400">
        <f t="shared" si="84"/>
        <v>12080.239376574371</v>
      </c>
      <c r="N42" s="400">
        <f>SUM(B42:M42)</f>
        <v>202431.43928821397</v>
      </c>
      <c r="O42" s="400">
        <f>O38+O40</f>
        <v>5549.0921932586825</v>
      </c>
      <c r="P42" s="400">
        <f t="shared" ref="P42:AA42" si="85">P38+P40</f>
        <v>5309.4998050807653</v>
      </c>
      <c r="Q42" s="400">
        <f t="shared" si="85"/>
        <v>5468.6447993144629</v>
      </c>
      <c r="R42" s="400">
        <f t="shared" si="85"/>
        <v>5437.3235098058058</v>
      </c>
      <c r="S42" s="400">
        <f t="shared" si="85"/>
        <v>5193.4240154470526</v>
      </c>
      <c r="T42" s="400">
        <f t="shared" si="85"/>
        <v>4442.7031806520999</v>
      </c>
      <c r="U42" s="400">
        <f t="shared" si="85"/>
        <v>4628.4175491082433</v>
      </c>
      <c r="V42" s="400">
        <f t="shared" si="85"/>
        <v>4504.2947262911657</v>
      </c>
      <c r="W42" s="400">
        <f t="shared" si="85"/>
        <v>4182.7186555529597</v>
      </c>
      <c r="X42" s="400">
        <f t="shared" si="85"/>
        <v>5096.1863796376647</v>
      </c>
      <c r="Y42" s="400">
        <f t="shared" si="85"/>
        <v>5176.2367066642864</v>
      </c>
      <c r="Z42" s="400">
        <f t="shared" si="85"/>
        <v>6198.4740293939376</v>
      </c>
      <c r="AA42" s="400">
        <f t="shared" si="85"/>
        <v>61187.015550207128</v>
      </c>
      <c r="AB42" s="400">
        <f>AB38+AB40</f>
        <v>7447.6455265660134</v>
      </c>
      <c r="AC42" s="400">
        <f t="shared" ref="AC42:AN42" si="86">AC38+AC40</f>
        <v>6894.3313736904174</v>
      </c>
      <c r="AD42" s="400">
        <f t="shared" si="86"/>
        <v>7121.9238787070317</v>
      </c>
      <c r="AE42" s="400">
        <f t="shared" si="86"/>
        <v>7052.0046555744029</v>
      </c>
      <c r="AF42" s="400">
        <f t="shared" si="86"/>
        <v>7013.8863291343869</v>
      </c>
      <c r="AG42" s="400">
        <f t="shared" si="86"/>
        <v>6258.4958340864659</v>
      </c>
      <c r="AH42" s="400">
        <f t="shared" si="86"/>
        <v>6575.1025256438552</v>
      </c>
      <c r="AI42" s="400">
        <f t="shared" si="86"/>
        <v>6560.3644811213544</v>
      </c>
      <c r="AJ42" s="400">
        <f t="shared" si="86"/>
        <v>3411.7404166503607</v>
      </c>
      <c r="AK42" s="400">
        <f t="shared" si="86"/>
        <v>4121.1569896260344</v>
      </c>
      <c r="AL42" s="400">
        <f t="shared" si="86"/>
        <v>4222.2781498556506</v>
      </c>
      <c r="AM42" s="400">
        <f t="shared" si="86"/>
        <v>-37276.07440017716</v>
      </c>
      <c r="AN42" s="400">
        <f t="shared" si="86"/>
        <v>29402.855760478822</v>
      </c>
      <c r="AO42" s="400">
        <f>AO38+AO40</f>
        <v>5386.1612008888678</v>
      </c>
      <c r="AP42" s="400">
        <f t="shared" ref="AP42:BA42" si="87">AP38+AP40</f>
        <v>7629.9901488567293</v>
      </c>
      <c r="AQ42" s="400">
        <f t="shared" si="87"/>
        <v>5086.5543421750244</v>
      </c>
      <c r="AR42" s="400">
        <f t="shared" si="87"/>
        <v>5189.7110096453016</v>
      </c>
      <c r="AS42" s="400">
        <f t="shared" si="87"/>
        <v>4846.8082887200535</v>
      </c>
      <c r="AT42" s="400">
        <f t="shared" si="87"/>
        <v>1725.3923386597878</v>
      </c>
      <c r="AU42" s="400">
        <f t="shared" si="87"/>
        <v>4963.2387579751103</v>
      </c>
      <c r="AV42" s="400">
        <f t="shared" si="87"/>
        <v>4899.6873874085841</v>
      </c>
      <c r="AW42" s="400">
        <f t="shared" si="87"/>
        <v>4817.7335277210877</v>
      </c>
      <c r="AX42" s="400">
        <f t="shared" si="87"/>
        <v>5061.5213391396137</v>
      </c>
      <c r="AY42" s="400">
        <f t="shared" si="87"/>
        <v>4710.9659304682273</v>
      </c>
      <c r="AZ42" s="400">
        <f t="shared" si="87"/>
        <v>5197.6559469181011</v>
      </c>
      <c r="BA42" s="400">
        <f t="shared" si="87"/>
        <v>59515.420218576488</v>
      </c>
      <c r="BB42" s="400">
        <f>BB38+BB40</f>
        <v>5247.0959793887405</v>
      </c>
      <c r="BC42" s="400">
        <f t="shared" ref="BC42:BO42" si="88">BC38+BC40</f>
        <v>4603.1279361995967</v>
      </c>
      <c r="BD42" s="400">
        <f t="shared" si="88"/>
        <v>4772.713031993173</v>
      </c>
      <c r="BE42" s="400">
        <f t="shared" si="88"/>
        <v>13882.13572059306</v>
      </c>
      <c r="BF42" s="400">
        <f t="shared" si="88"/>
        <v>5956.8939829004739</v>
      </c>
      <c r="BG42" s="400">
        <f t="shared" si="88"/>
        <v>5191.5383829890952</v>
      </c>
      <c r="BH42" s="400">
        <f t="shared" si="88"/>
        <v>5409.731216510876</v>
      </c>
      <c r="BI42" s="400">
        <f t="shared" si="88"/>
        <v>5527.8082222102348</v>
      </c>
      <c r="BJ42" s="400">
        <f t="shared" si="88"/>
        <v>5446.9683403514082</v>
      </c>
      <c r="BK42" s="400">
        <f t="shared" si="88"/>
        <v>4947.0321738303137</v>
      </c>
      <c r="BL42" s="400">
        <f t="shared" si="88"/>
        <v>5013.6185742751422</v>
      </c>
      <c r="BM42" s="400">
        <f t="shared" si="88"/>
        <v>5325.1497137408369</v>
      </c>
      <c r="BN42" s="400">
        <f t="shared" si="88"/>
        <v>71323.813274982953</v>
      </c>
      <c r="BO42" s="400">
        <f t="shared" si="88"/>
        <v>12055.371693993609</v>
      </c>
    </row>
    <row r="43" spans="1:68" s="315" customFormat="1" x14ac:dyDescent="0.25">
      <c r="A43" s="394" t="s">
        <v>452</v>
      </c>
      <c r="B43" s="409">
        <f>B42</f>
        <v>20043.585488351684</v>
      </c>
      <c r="C43" s="409">
        <f>C42+B43</f>
        <v>40123.583490340541</v>
      </c>
      <c r="D43" s="409">
        <f t="shared" ref="D43:M43" si="89">D42+C43</f>
        <v>60239.994005966568</v>
      </c>
      <c r="E43" s="409">
        <f t="shared" si="89"/>
        <v>80392.81703522976</v>
      </c>
      <c r="F43" s="409">
        <f t="shared" si="89"/>
        <v>100582.05257813013</v>
      </c>
      <c r="G43" s="409">
        <f t="shared" si="89"/>
        <v>120807.70063466768</v>
      </c>
      <c r="H43" s="409">
        <f t="shared" si="89"/>
        <v>140908.71099544349</v>
      </c>
      <c r="I43" s="409">
        <f t="shared" si="89"/>
        <v>169744.10882262938</v>
      </c>
      <c r="J43" s="409">
        <f t="shared" si="89"/>
        <v>181895.77646405762</v>
      </c>
      <c r="K43" s="409">
        <f t="shared" si="89"/>
        <v>184293.04638386873</v>
      </c>
      <c r="L43" s="409">
        <f t="shared" si="89"/>
        <v>190351.19991163959</v>
      </c>
      <c r="M43" s="409">
        <f t="shared" si="89"/>
        <v>202431.43928821397</v>
      </c>
      <c r="N43" s="410">
        <f>M43</f>
        <v>202431.43928821397</v>
      </c>
      <c r="O43" s="409">
        <f>O42+N43</f>
        <v>207980.53148147266</v>
      </c>
      <c r="P43" s="409">
        <f t="shared" ref="P43:Z43" si="90">P42+O43</f>
        <v>213290.03128655342</v>
      </c>
      <c r="Q43" s="409">
        <f t="shared" si="90"/>
        <v>218758.67608586789</v>
      </c>
      <c r="R43" s="409">
        <f t="shared" si="90"/>
        <v>224195.9995956737</v>
      </c>
      <c r="S43" s="409">
        <f t="shared" si="90"/>
        <v>229389.42361112076</v>
      </c>
      <c r="T43" s="409">
        <f t="shared" si="90"/>
        <v>233832.12679177287</v>
      </c>
      <c r="U43" s="409">
        <f t="shared" si="90"/>
        <v>238460.54434088111</v>
      </c>
      <c r="V43" s="409">
        <f t="shared" si="90"/>
        <v>242964.83906717229</v>
      </c>
      <c r="W43" s="409">
        <f t="shared" si="90"/>
        <v>247147.55772272524</v>
      </c>
      <c r="X43" s="409">
        <f t="shared" si="90"/>
        <v>252243.74410236289</v>
      </c>
      <c r="Y43" s="409">
        <f t="shared" si="90"/>
        <v>257419.98080902718</v>
      </c>
      <c r="Z43" s="409">
        <f t="shared" si="90"/>
        <v>263618.45483842114</v>
      </c>
      <c r="AA43" s="410">
        <f>Z43</f>
        <v>263618.45483842114</v>
      </c>
      <c r="AB43" s="409">
        <f>AB42+AA43</f>
        <v>271066.10036498716</v>
      </c>
      <c r="AC43" s="409">
        <f t="shared" ref="AC43:AM43" si="91">AC42+AB43</f>
        <v>277960.43173867755</v>
      </c>
      <c r="AD43" s="409">
        <f t="shared" si="91"/>
        <v>285082.3556173846</v>
      </c>
      <c r="AE43" s="409">
        <f t="shared" si="91"/>
        <v>292134.36027295899</v>
      </c>
      <c r="AF43" s="409">
        <f t="shared" si="91"/>
        <v>299148.24660209339</v>
      </c>
      <c r="AG43" s="409">
        <f t="shared" si="91"/>
        <v>305406.74243617983</v>
      </c>
      <c r="AH43" s="409">
        <f t="shared" si="91"/>
        <v>311981.84496182366</v>
      </c>
      <c r="AI43" s="409">
        <f t="shared" si="91"/>
        <v>318542.20944294502</v>
      </c>
      <c r="AJ43" s="409">
        <f t="shared" si="91"/>
        <v>321953.94985959539</v>
      </c>
      <c r="AK43" s="409">
        <f t="shared" si="91"/>
        <v>326075.10684922145</v>
      </c>
      <c r="AL43" s="409">
        <f t="shared" si="91"/>
        <v>330297.38499907713</v>
      </c>
      <c r="AM43" s="409">
        <f t="shared" si="91"/>
        <v>293021.31059889996</v>
      </c>
      <c r="AN43" s="410">
        <f>AM43</f>
        <v>293021.31059889996</v>
      </c>
      <c r="AO43" s="409">
        <f>AO42+AN43</f>
        <v>298407.47179978882</v>
      </c>
      <c r="AP43" s="409">
        <f t="shared" ref="AP43:AZ43" si="92">AP42+AO43</f>
        <v>306037.46194864553</v>
      </c>
      <c r="AQ43" s="409">
        <f t="shared" si="92"/>
        <v>311124.01629082055</v>
      </c>
      <c r="AR43" s="409">
        <f t="shared" si="92"/>
        <v>316313.72730046586</v>
      </c>
      <c r="AS43" s="409">
        <f t="shared" si="92"/>
        <v>321160.53558918589</v>
      </c>
      <c r="AT43" s="409">
        <f t="shared" si="92"/>
        <v>322885.92792784568</v>
      </c>
      <c r="AU43" s="409">
        <f t="shared" si="92"/>
        <v>327849.16668582079</v>
      </c>
      <c r="AV43" s="409">
        <f t="shared" si="92"/>
        <v>332748.85407322936</v>
      </c>
      <c r="AW43" s="409">
        <f t="shared" si="92"/>
        <v>337566.58760095044</v>
      </c>
      <c r="AX43" s="409">
        <f t="shared" si="92"/>
        <v>342628.10894009005</v>
      </c>
      <c r="AY43" s="409">
        <f t="shared" si="92"/>
        <v>347339.07487055828</v>
      </c>
      <c r="AZ43" s="409">
        <f t="shared" si="92"/>
        <v>352536.7308174764</v>
      </c>
      <c r="BA43" s="410">
        <f>AZ43</f>
        <v>352536.7308174764</v>
      </c>
      <c r="BB43" s="409">
        <f>BB42+BA43</f>
        <v>357783.82679686515</v>
      </c>
      <c r="BC43" s="409">
        <f t="shared" ref="BC43:BM43" si="93">BC42+BB43</f>
        <v>362386.95473306475</v>
      </c>
      <c r="BD43" s="409">
        <f t="shared" si="93"/>
        <v>367159.66776505794</v>
      </c>
      <c r="BE43" s="409">
        <f t="shared" si="93"/>
        <v>381041.80348565098</v>
      </c>
      <c r="BF43" s="409">
        <f t="shared" si="93"/>
        <v>386998.69746855146</v>
      </c>
      <c r="BG43" s="409">
        <f t="shared" si="93"/>
        <v>392190.23585154058</v>
      </c>
      <c r="BH43" s="409">
        <f t="shared" si="93"/>
        <v>397599.96706805145</v>
      </c>
      <c r="BI43" s="409">
        <f t="shared" si="93"/>
        <v>403127.77529026166</v>
      </c>
      <c r="BJ43" s="409">
        <f t="shared" si="93"/>
        <v>408574.74363061308</v>
      </c>
      <c r="BK43" s="409">
        <f t="shared" si="93"/>
        <v>413521.7758044434</v>
      </c>
      <c r="BL43" s="409">
        <f t="shared" si="93"/>
        <v>418535.39437871857</v>
      </c>
      <c r="BM43" s="409">
        <f t="shared" si="93"/>
        <v>423860.54409245943</v>
      </c>
      <c r="BN43" s="410">
        <f>BM43</f>
        <v>423860.54409245943</v>
      </c>
      <c r="BO43" s="409">
        <f t="shared" ref="BO43" si="94">BO42+BN43</f>
        <v>435915.91578645306</v>
      </c>
      <c r="BP43" s="411"/>
    </row>
    <row r="46" spans="1:68" x14ac:dyDescent="0.25">
      <c r="N46" s="393"/>
      <c r="AA46" s="393"/>
      <c r="AN46" s="393"/>
      <c r="BA46" s="393"/>
      <c r="BN46" s="393"/>
      <c r="BO46" s="393"/>
    </row>
    <row r="47" spans="1:68" x14ac:dyDescent="0.25">
      <c r="BN47" s="393"/>
    </row>
  </sheetData>
  <mergeCells count="1">
    <mergeCell ref="A1:A2"/>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AC400-01F8-4D64-8E96-AED283BE8C2A}">
  <sheetPr>
    <tabColor rgb="FF00B0F0"/>
  </sheetPr>
  <dimension ref="A1:BP46"/>
  <sheetViews>
    <sheetView showGridLines="0" zoomScale="80" zoomScaleNormal="80" workbookViewId="0">
      <pane xSplit="1" ySplit="2" topLeftCell="N3" activePane="bottomRight" state="frozen"/>
      <selection activeCell="CB42" sqref="CB42"/>
      <selection pane="topRight" activeCell="CB42" sqref="CB42"/>
      <selection pane="bottomLeft" activeCell="CB42" sqref="CB42"/>
      <selection pane="bottomRight" activeCell="CB42" sqref="CB42"/>
    </sheetView>
  </sheetViews>
  <sheetFormatPr defaultRowHeight="15" outlineLevelCol="1" x14ac:dyDescent="0.25"/>
  <cols>
    <col min="1" max="1" width="26.7109375" style="315" customWidth="1"/>
    <col min="2" max="2" width="8.85546875" style="391" hidden="1" customWidth="1" outlineLevel="1"/>
    <col min="3" max="3" width="9.140625" style="391" hidden="1" customWidth="1" outlineLevel="1"/>
    <col min="4" max="9" width="10" style="391" hidden="1" customWidth="1" outlineLevel="1"/>
    <col min="10" max="10" width="10.85546875" style="391" hidden="1" customWidth="1" outlineLevel="1"/>
    <col min="11" max="11" width="10" style="391" hidden="1" customWidth="1" outlineLevel="1"/>
    <col min="12" max="12" width="10.5703125" style="391" hidden="1" customWidth="1" outlineLevel="1"/>
    <col min="13" max="13" width="10.28515625" style="391" hidden="1" customWidth="1" outlineLevel="1"/>
    <col min="14" max="14" width="10.7109375" style="391" bestFit="1" customWidth="1" collapsed="1"/>
    <col min="15" max="18" width="10" style="391" hidden="1" customWidth="1" outlineLevel="1"/>
    <col min="19" max="26" width="11.5703125" style="391" hidden="1" customWidth="1" outlineLevel="1"/>
    <col min="27" max="27" width="12.28515625" style="391" bestFit="1" customWidth="1" collapsed="1"/>
    <col min="28" max="39" width="11.5703125" style="391" hidden="1" customWidth="1" outlineLevel="1"/>
    <col min="40" max="40" width="12.28515625" style="391" bestFit="1" customWidth="1" collapsed="1"/>
    <col min="41" max="52" width="11.5703125" style="391" hidden="1" customWidth="1" outlineLevel="1"/>
    <col min="53" max="53" width="12.28515625" style="391" bestFit="1" customWidth="1" collapsed="1"/>
    <col min="54" max="65" width="11.5703125" style="391" hidden="1" customWidth="1" outlineLevel="1"/>
    <col min="66" max="66" width="12.28515625" style="391" bestFit="1" customWidth="1" collapsed="1"/>
    <col min="67" max="67" width="12.28515625" style="391" bestFit="1" customWidth="1"/>
    <col min="72" max="72" width="8" bestFit="1" customWidth="1"/>
  </cols>
  <sheetData>
    <row r="1" spans="1:67" s="315" customFormat="1" ht="21" customHeight="1" x14ac:dyDescent="0.25">
      <c r="A1" s="508" t="s">
        <v>351</v>
      </c>
      <c r="B1" s="395">
        <v>2020</v>
      </c>
      <c r="C1" s="395">
        <v>2020</v>
      </c>
      <c r="D1" s="395">
        <v>2020</v>
      </c>
      <c r="E1" s="395">
        <v>2020</v>
      </c>
      <c r="F1" s="395">
        <v>2020</v>
      </c>
      <c r="G1" s="395">
        <v>2020</v>
      </c>
      <c r="H1" s="395">
        <v>2020</v>
      </c>
      <c r="I1" s="395">
        <v>2020</v>
      </c>
      <c r="J1" s="395">
        <v>2020</v>
      </c>
      <c r="K1" s="395">
        <v>2020</v>
      </c>
      <c r="L1" s="395">
        <v>2020</v>
      </c>
      <c r="M1" s="395">
        <v>2020</v>
      </c>
      <c r="N1" s="395">
        <v>2020</v>
      </c>
      <c r="O1" s="395">
        <v>2021</v>
      </c>
      <c r="P1" s="395">
        <v>2021</v>
      </c>
      <c r="Q1" s="395">
        <v>2021</v>
      </c>
      <c r="R1" s="395">
        <v>2021</v>
      </c>
      <c r="S1" s="395">
        <v>2021</v>
      </c>
      <c r="T1" s="395">
        <v>2021</v>
      </c>
      <c r="U1" s="395">
        <v>2021</v>
      </c>
      <c r="V1" s="395">
        <v>2021</v>
      </c>
      <c r="W1" s="395">
        <v>2021</v>
      </c>
      <c r="X1" s="395">
        <v>2021</v>
      </c>
      <c r="Y1" s="395">
        <v>2021</v>
      </c>
      <c r="Z1" s="395">
        <v>2021</v>
      </c>
      <c r="AA1" s="395">
        <v>2021</v>
      </c>
      <c r="AB1" s="395">
        <v>2022</v>
      </c>
      <c r="AC1" s="395">
        <v>2022</v>
      </c>
      <c r="AD1" s="395">
        <v>2022</v>
      </c>
      <c r="AE1" s="395">
        <v>2022</v>
      </c>
      <c r="AF1" s="395">
        <v>2022</v>
      </c>
      <c r="AG1" s="395">
        <v>2022</v>
      </c>
      <c r="AH1" s="395">
        <v>2022</v>
      </c>
      <c r="AI1" s="395">
        <v>2022</v>
      </c>
      <c r="AJ1" s="395">
        <v>2022</v>
      </c>
      <c r="AK1" s="395">
        <v>2022</v>
      </c>
      <c r="AL1" s="395">
        <v>2022</v>
      </c>
      <c r="AM1" s="395">
        <v>2022</v>
      </c>
      <c r="AN1" s="395">
        <v>2022</v>
      </c>
      <c r="AO1" s="395">
        <v>2023</v>
      </c>
      <c r="AP1" s="395">
        <v>2023</v>
      </c>
      <c r="AQ1" s="395">
        <v>2023</v>
      </c>
      <c r="AR1" s="395">
        <v>2023</v>
      </c>
      <c r="AS1" s="395">
        <v>2023</v>
      </c>
      <c r="AT1" s="395">
        <v>2023</v>
      </c>
      <c r="AU1" s="395">
        <v>2023</v>
      </c>
      <c r="AV1" s="395">
        <v>2023</v>
      </c>
      <c r="AW1" s="395">
        <v>2023</v>
      </c>
      <c r="AX1" s="395">
        <v>2023</v>
      </c>
      <c r="AY1" s="395">
        <v>2023</v>
      </c>
      <c r="AZ1" s="395">
        <v>2023</v>
      </c>
      <c r="BA1" s="395">
        <v>2023</v>
      </c>
      <c r="BB1" s="395">
        <v>2024</v>
      </c>
      <c r="BC1" s="395">
        <v>2024</v>
      </c>
      <c r="BD1" s="395">
        <v>2024</v>
      </c>
      <c r="BE1" s="395">
        <v>2024</v>
      </c>
      <c r="BF1" s="395">
        <v>2024</v>
      </c>
      <c r="BG1" s="395">
        <v>2024</v>
      </c>
      <c r="BH1" s="395">
        <v>2024</v>
      </c>
      <c r="BI1" s="395">
        <v>2024</v>
      </c>
      <c r="BJ1" s="395">
        <v>2024</v>
      </c>
      <c r="BK1" s="395">
        <v>2024</v>
      </c>
      <c r="BL1" s="395">
        <v>2024</v>
      </c>
      <c r="BM1" s="395">
        <v>2024</v>
      </c>
      <c r="BN1" s="395">
        <v>2024</v>
      </c>
      <c r="BO1" s="395">
        <v>2025</v>
      </c>
    </row>
    <row r="2" spans="1:67" s="315" customFormat="1" x14ac:dyDescent="0.25">
      <c r="A2" s="509"/>
      <c r="B2" s="399" t="s">
        <v>420</v>
      </c>
      <c r="C2" s="399" t="s">
        <v>421</v>
      </c>
      <c r="D2" s="399" t="s">
        <v>422</v>
      </c>
      <c r="E2" s="399" t="s">
        <v>423</v>
      </c>
      <c r="F2" s="399" t="s">
        <v>424</v>
      </c>
      <c r="G2" s="399" t="s">
        <v>425</v>
      </c>
      <c r="H2" s="399" t="s">
        <v>426</v>
      </c>
      <c r="I2" s="399" t="s">
        <v>427</v>
      </c>
      <c r="J2" s="399" t="s">
        <v>428</v>
      </c>
      <c r="K2" s="399" t="s">
        <v>429</v>
      </c>
      <c r="L2" s="399" t="s">
        <v>430</v>
      </c>
      <c r="M2" s="399" t="s">
        <v>431</v>
      </c>
      <c r="N2" s="399" t="s">
        <v>343</v>
      </c>
      <c r="O2" s="399" t="s">
        <v>420</v>
      </c>
      <c r="P2" s="399" t="s">
        <v>421</v>
      </c>
      <c r="Q2" s="399" t="s">
        <v>422</v>
      </c>
      <c r="R2" s="399" t="s">
        <v>423</v>
      </c>
      <c r="S2" s="399" t="s">
        <v>424</v>
      </c>
      <c r="T2" s="399" t="s">
        <v>425</v>
      </c>
      <c r="U2" s="399" t="s">
        <v>426</v>
      </c>
      <c r="V2" s="399" t="s">
        <v>427</v>
      </c>
      <c r="W2" s="399" t="s">
        <v>428</v>
      </c>
      <c r="X2" s="399" t="s">
        <v>429</v>
      </c>
      <c r="Y2" s="399" t="s">
        <v>430</v>
      </c>
      <c r="Z2" s="399" t="s">
        <v>431</v>
      </c>
      <c r="AA2" s="399" t="s">
        <v>343</v>
      </c>
      <c r="AB2" s="399" t="s">
        <v>420</v>
      </c>
      <c r="AC2" s="399" t="s">
        <v>421</v>
      </c>
      <c r="AD2" s="399" t="s">
        <v>422</v>
      </c>
      <c r="AE2" s="399" t="s">
        <v>423</v>
      </c>
      <c r="AF2" s="399" t="s">
        <v>424</v>
      </c>
      <c r="AG2" s="399" t="s">
        <v>425</v>
      </c>
      <c r="AH2" s="399" t="s">
        <v>426</v>
      </c>
      <c r="AI2" s="399" t="s">
        <v>427</v>
      </c>
      <c r="AJ2" s="399" t="s">
        <v>428</v>
      </c>
      <c r="AK2" s="399" t="s">
        <v>429</v>
      </c>
      <c r="AL2" s="399" t="s">
        <v>430</v>
      </c>
      <c r="AM2" s="399" t="s">
        <v>431</v>
      </c>
      <c r="AN2" s="399" t="s">
        <v>343</v>
      </c>
      <c r="AO2" s="399" t="s">
        <v>420</v>
      </c>
      <c r="AP2" s="399" t="s">
        <v>421</v>
      </c>
      <c r="AQ2" s="399" t="s">
        <v>422</v>
      </c>
      <c r="AR2" s="399" t="s">
        <v>423</v>
      </c>
      <c r="AS2" s="399" t="s">
        <v>424</v>
      </c>
      <c r="AT2" s="399" t="s">
        <v>425</v>
      </c>
      <c r="AU2" s="399" t="s">
        <v>426</v>
      </c>
      <c r="AV2" s="399" t="s">
        <v>427</v>
      </c>
      <c r="AW2" s="399" t="s">
        <v>428</v>
      </c>
      <c r="AX2" s="399" t="s">
        <v>429</v>
      </c>
      <c r="AY2" s="399" t="s">
        <v>430</v>
      </c>
      <c r="AZ2" s="399" t="s">
        <v>431</v>
      </c>
      <c r="BA2" s="399" t="s">
        <v>343</v>
      </c>
      <c r="BB2" s="399" t="s">
        <v>420</v>
      </c>
      <c r="BC2" s="399" t="s">
        <v>421</v>
      </c>
      <c r="BD2" s="399" t="s">
        <v>422</v>
      </c>
      <c r="BE2" s="399" t="s">
        <v>423</v>
      </c>
      <c r="BF2" s="399" t="s">
        <v>424</v>
      </c>
      <c r="BG2" s="399" t="s">
        <v>425</v>
      </c>
      <c r="BH2" s="399" t="s">
        <v>426</v>
      </c>
      <c r="BI2" s="399" t="s">
        <v>427</v>
      </c>
      <c r="BJ2" s="399" t="s">
        <v>428</v>
      </c>
      <c r="BK2" s="399" t="s">
        <v>429</v>
      </c>
      <c r="BL2" s="399" t="s">
        <v>430</v>
      </c>
      <c r="BM2" s="399" t="s">
        <v>431</v>
      </c>
      <c r="BN2" s="399" t="s">
        <v>343</v>
      </c>
      <c r="BO2" s="399" t="s">
        <v>343</v>
      </c>
    </row>
    <row r="3" spans="1:67" x14ac:dyDescent="0.25">
      <c r="A3" s="401" t="s">
        <v>438</v>
      </c>
      <c r="B3" s="396"/>
      <c r="C3" s="396"/>
      <c r="D3" s="396"/>
      <c r="E3" s="396"/>
      <c r="F3" s="396"/>
      <c r="G3" s="396"/>
      <c r="H3" s="396"/>
      <c r="I3" s="396"/>
      <c r="J3" s="396"/>
      <c r="K3" s="396"/>
      <c r="L3" s="396"/>
      <c r="M3" s="396"/>
      <c r="N3" s="396"/>
      <c r="O3" s="396"/>
      <c r="P3" s="396"/>
      <c r="Q3" s="396"/>
      <c r="R3" s="396"/>
      <c r="S3" s="396"/>
      <c r="T3" s="396"/>
      <c r="U3" s="396"/>
      <c r="V3" s="396"/>
      <c r="W3" s="396"/>
      <c r="X3" s="396"/>
      <c r="Y3" s="396"/>
      <c r="Z3" s="396"/>
      <c r="AA3" s="396"/>
      <c r="AB3" s="396"/>
      <c r="AC3" s="396"/>
      <c r="AD3" s="396"/>
      <c r="AE3" s="396"/>
      <c r="AF3" s="396"/>
      <c r="AG3" s="396"/>
      <c r="AH3" s="396"/>
      <c r="AI3" s="396"/>
      <c r="AJ3" s="396"/>
      <c r="AK3" s="396"/>
      <c r="AL3" s="396"/>
      <c r="AM3" s="396"/>
      <c r="AN3" s="396"/>
      <c r="AO3" s="396"/>
      <c r="AP3" s="396"/>
      <c r="AQ3" s="396"/>
      <c r="AR3" s="396"/>
      <c r="AS3" s="396"/>
      <c r="AT3" s="396"/>
      <c r="AU3" s="396"/>
      <c r="AV3" s="396"/>
      <c r="AW3" s="396"/>
      <c r="AX3" s="396"/>
      <c r="AY3" s="396"/>
      <c r="AZ3" s="396"/>
      <c r="BA3" s="396"/>
      <c r="BB3" s="396"/>
      <c r="BC3" s="396"/>
      <c r="BD3" s="396"/>
      <c r="BE3" s="396"/>
      <c r="BF3" s="396"/>
      <c r="BG3" s="396"/>
      <c r="BH3" s="396"/>
      <c r="BI3" s="396"/>
      <c r="BJ3" s="396"/>
      <c r="BK3" s="396"/>
      <c r="BL3" s="396"/>
      <c r="BM3" s="396"/>
      <c r="BN3" s="396"/>
      <c r="BO3" s="396"/>
    </row>
    <row r="4" spans="1:67" x14ac:dyDescent="0.25">
      <c r="A4" s="392" t="s">
        <v>137</v>
      </c>
      <c r="B4" s="396">
        <f>SUM('S&amp;TVA Q4 2020'!B$18:B$20)</f>
        <v>0</v>
      </c>
      <c r="C4" s="396">
        <f>SUM('S&amp;TVA Q4 2020'!C$18:C$20)</f>
        <v>0</v>
      </c>
      <c r="D4" s="396">
        <f>SUM('S&amp;TVA Q4 2020'!D$18:D$20)</f>
        <v>0</v>
      </c>
      <c r="E4" s="396">
        <f>SUM('S&amp;TVA Q4 2020'!E$18:E$20)</f>
        <v>0</v>
      </c>
      <c r="F4" s="396">
        <f>SUM('S&amp;TVA Q4 2020'!F$18:F$20)</f>
        <v>3613.29</v>
      </c>
      <c r="G4" s="396">
        <f>SUM('S&amp;TVA Q4 2020'!G$18:G$20)</f>
        <v>7218.33</v>
      </c>
      <c r="H4" s="396">
        <f>SUM('S&amp;TVA Q4 2020'!H$18:H$20)</f>
        <v>7222.83</v>
      </c>
      <c r="I4" s="396">
        <f>SUM('S&amp;TVA Q4 2020'!I$18:I$20)</f>
        <v>7588.08</v>
      </c>
      <c r="J4" s="396">
        <f>SUM('S&amp;TVA Q4 2020'!J$18:J$20)</f>
        <v>7173.33</v>
      </c>
      <c r="K4" s="396">
        <f>SUM('S&amp;TVA Q4 2020'!K$18:K$20)</f>
        <v>7083.33</v>
      </c>
      <c r="L4" s="396">
        <f>SUM('S&amp;TVA Q4 2020'!L$18:L$20)</f>
        <v>7094.53</v>
      </c>
      <c r="M4" s="396">
        <f>SUM('S&amp;TVA Q4 2020'!M$18:M$20)</f>
        <v>7083.33</v>
      </c>
      <c r="N4" s="396">
        <f>SUM(B4:M4)</f>
        <v>54077.05</v>
      </c>
      <c r="O4" s="396">
        <f>SUM('S&amp;TVA 2021'!B18:B21)</f>
        <v>7089.22</v>
      </c>
      <c r="P4" s="396">
        <f>SUM('S&amp;TVA 2021'!C18:C21)</f>
        <v>7207.8099999999995</v>
      </c>
      <c r="Q4" s="396">
        <f>SUM('S&amp;TVA 2021'!D18:D21)</f>
        <v>7122.92</v>
      </c>
      <c r="R4" s="396">
        <f>SUM('S&amp;TVA 2021'!E18:E21)</f>
        <v>7083.33</v>
      </c>
      <c r="S4" s="396">
        <f>SUM('S&amp;TVA 2021'!F18:F21)</f>
        <v>7164.24</v>
      </c>
      <c r="T4" s="396">
        <f>SUM('S&amp;TVA 2021'!G18:G21)</f>
        <v>7169.55</v>
      </c>
      <c r="U4" s="396">
        <f>SUM('S&amp;TVA 2021'!H18:H21)</f>
        <v>7083.33</v>
      </c>
      <c r="V4" s="396">
        <f>SUM('S&amp;TVA 2021'!I18:I21)</f>
        <v>7086.34</v>
      </c>
      <c r="W4" s="396">
        <f>SUM('S&amp;TVA 2021'!J18:J21)</f>
        <v>7101.33</v>
      </c>
      <c r="X4" s="396">
        <f>SUM('S&amp;TVA 2021'!K18:K21)</f>
        <v>7083.33</v>
      </c>
      <c r="Y4" s="396">
        <f>SUM('S&amp;TVA 2021'!L18:L21)</f>
        <v>7135.53</v>
      </c>
      <c r="Z4" s="396">
        <f>SUM('S&amp;TVA 2021'!M18:M21)</f>
        <v>7168.98</v>
      </c>
      <c r="AA4" s="396">
        <f>SUM(O4:Z4)</f>
        <v>85495.91</v>
      </c>
      <c r="AB4" s="396">
        <f>SUM('S&amp;TVA 2022'!B18:B21)</f>
        <v>7226.73</v>
      </c>
      <c r="AC4" s="396">
        <f>SUM('S&amp;TVA 2022'!C18:C21)</f>
        <v>7201.23</v>
      </c>
      <c r="AD4" s="396">
        <f>SUM('S&amp;TVA 2022'!D18:D21)</f>
        <v>7182.03</v>
      </c>
      <c r="AE4" s="396">
        <f>SUM('S&amp;TVA 2022'!E18:E21)</f>
        <v>7200.7</v>
      </c>
      <c r="AF4" s="396">
        <f>SUM('S&amp;TVA 2022'!F18:F21)</f>
        <v>7308.44</v>
      </c>
      <c r="AG4" s="396">
        <f>SUM('S&amp;TVA 2022'!G18:G21)</f>
        <v>7200.15</v>
      </c>
      <c r="AH4" s="396">
        <f>SUM('S&amp;TVA 2022'!H18:H21)</f>
        <v>7166.84</v>
      </c>
      <c r="AI4" s="396">
        <f>SUM('S&amp;TVA 2022'!I18:I21)</f>
        <v>7165.35</v>
      </c>
      <c r="AJ4" s="396">
        <f>SUM('S&amp;TVA 2022'!J18:J21)</f>
        <v>7163.39</v>
      </c>
      <c r="AK4" s="396">
        <f>SUM('S&amp;TVA 2022'!K18:K21)</f>
        <v>7083.33</v>
      </c>
      <c r="AL4" s="396">
        <f>SUM('S&amp;TVA 2022'!L18:L21)</f>
        <v>7123.54</v>
      </c>
      <c r="AM4" s="396">
        <f>SUM('S&amp;TVA 2022'!M18:M21)</f>
        <v>7202.09</v>
      </c>
      <c r="AN4" s="396">
        <f>SUM(AB4:AM4)</f>
        <v>86223.819999999978</v>
      </c>
      <c r="AO4" s="396">
        <f>SUM('S&amp;TVA 2023'!B18:B21)</f>
        <v>7190.2699999999995</v>
      </c>
      <c r="AP4" s="396">
        <f>SUM('S&amp;TVA 2023'!C18:C21)</f>
        <v>7223.48</v>
      </c>
      <c r="AQ4" s="396">
        <f>SUM('S&amp;TVA 2023'!D18:D21)</f>
        <v>7193.88</v>
      </c>
      <c r="AR4" s="396">
        <f>SUM('S&amp;TVA 2023'!E18:E21)</f>
        <v>7143.41</v>
      </c>
      <c r="AS4" s="396">
        <f>SUM('S&amp;TVA 2023'!F18:F21)</f>
        <v>7192.08</v>
      </c>
      <c r="AT4" s="396">
        <f>SUM('S&amp;TVA 2023'!G18:G21)</f>
        <v>7191.89</v>
      </c>
      <c r="AU4" s="396">
        <f>SUM('S&amp;TVA 2023'!H18:H21)</f>
        <v>7158.08</v>
      </c>
      <c r="AV4" s="396">
        <f>SUM('S&amp;TVA 2023'!I18:I21)</f>
        <v>7176.33</v>
      </c>
      <c r="AW4" s="396">
        <f>SUM('S&amp;TVA 2023'!J18:J21)</f>
        <v>7157.9</v>
      </c>
      <c r="AX4" s="396">
        <f>SUM('S&amp;TVA 2023'!K18:K21)</f>
        <v>7098.68</v>
      </c>
      <c r="AY4" s="396">
        <f>SUM('S&amp;TVA 2023'!L18:L21)</f>
        <v>7161.82</v>
      </c>
      <c r="AZ4" s="396">
        <f>SUM('S&amp;TVA 2023'!M18:M21)</f>
        <v>7126.9</v>
      </c>
      <c r="BA4" s="396">
        <f>SUM(AO4:AZ4)</f>
        <v>86014.720000000001</v>
      </c>
      <c r="BB4" s="396">
        <f>SUM('S&amp;TVA 2024'!B27:B30)</f>
        <v>7177.07</v>
      </c>
      <c r="BC4" s="396">
        <f>SUM('S&amp;TVA 2024'!C27:C30)</f>
        <v>7183.8799999999992</v>
      </c>
      <c r="BD4" s="396">
        <f>SUM('S&amp;TVA 2024'!D27:D30)</f>
        <v>7186.96</v>
      </c>
      <c r="BE4" s="396">
        <f>SUM('S&amp;TVA 2024'!E27:E30)</f>
        <v>7184.94</v>
      </c>
      <c r="BF4" s="396">
        <f>SUM('S&amp;TVA 2024'!F27:F30)</f>
        <v>7211.49</v>
      </c>
      <c r="BG4" s="396">
        <f>SUM('S&amp;TVA 2024'!G27:G30)</f>
        <v>7136.97</v>
      </c>
      <c r="BH4" s="396">
        <f>SUM('S&amp;TVA 2024'!H27:H30)</f>
        <v>7123.09</v>
      </c>
      <c r="BI4" s="396">
        <f>SUM('S&amp;TVA 2024'!I27:I30)</f>
        <v>7155.92</v>
      </c>
      <c r="BJ4" s="396">
        <f>SUM('S&amp;TVA 2024'!J27:J30)</f>
        <v>7155.51</v>
      </c>
      <c r="BK4" s="396">
        <f>SUM('S&amp;TVA 2024'!K27:K30)</f>
        <v>7083.33</v>
      </c>
      <c r="BL4" s="396">
        <f>SUM('S&amp;TVA 2024'!L27:L30)</f>
        <v>7112.13</v>
      </c>
      <c r="BM4" s="396">
        <f>SUM('S&amp;TVA 2024'!M27:M30)</f>
        <v>7197.33</v>
      </c>
      <c r="BN4" s="396">
        <f>SUM(BB4:BM4)</f>
        <v>85908.62</v>
      </c>
      <c r="BO4" s="396"/>
    </row>
    <row r="5" spans="1:67" x14ac:dyDescent="0.25">
      <c r="A5" s="392" t="s">
        <v>349</v>
      </c>
      <c r="B5" s="396">
        <f>Allocation!C3</f>
        <v>0</v>
      </c>
      <c r="C5" s="396">
        <f>Allocation!D3</f>
        <v>0</v>
      </c>
      <c r="D5" s="396">
        <f>Allocation!E3</f>
        <v>0</v>
      </c>
      <c r="E5" s="396">
        <f>Allocation!F3</f>
        <v>0</v>
      </c>
      <c r="F5" s="396">
        <f>Allocation!G3-F4</f>
        <v>-3.9999999999054126E-3</v>
      </c>
      <c r="G5" s="396">
        <f>Allocation!H3-G4</f>
        <v>14998.788999999999</v>
      </c>
      <c r="H5" s="396">
        <f>Allocation!I3-H4</f>
        <v>16665.32</v>
      </c>
      <c r="I5" s="396">
        <f>Allocation!J3-I4</f>
        <v>9393.948781150184</v>
      </c>
      <c r="J5" s="396">
        <f>Allocation!K3-J4</f>
        <v>9022.762512541849</v>
      </c>
      <c r="K5" s="396">
        <f>Allocation!L3-K4</f>
        <v>9022.762512541849</v>
      </c>
      <c r="L5" s="396">
        <f>Allocation!M3-L4</f>
        <v>15208.699513615076</v>
      </c>
      <c r="M5" s="396">
        <f>Allocation!N3-M4</f>
        <v>24159.741434640004</v>
      </c>
      <c r="N5" s="396">
        <f t="shared" ref="N5:N8" si="0">SUM(B5:M5)</f>
        <v>98472.019754488967</v>
      </c>
      <c r="O5" s="396">
        <f>Allocation!P3-O4</f>
        <v>24596.102879082999</v>
      </c>
      <c r="P5" s="396">
        <f>Allocation!Q3-P4+'S&amp;TVA 2021'!C32</f>
        <v>24800.777948699171</v>
      </c>
      <c r="Q5" s="396">
        <f>Allocation!R3-Q4</f>
        <v>24738.479702547927</v>
      </c>
      <c r="R5" s="396">
        <f>Allocation!S3-R4</f>
        <v>24553.024394159998</v>
      </c>
      <c r="S5" s="396">
        <f>Allocation!T3-S4</f>
        <v>24553.024394159998</v>
      </c>
      <c r="T5" s="396">
        <f>Allocation!U3-T4</f>
        <v>24553.024394159998</v>
      </c>
      <c r="U5" s="396">
        <f>Allocation!V3-U4</f>
        <v>24553.024394159998</v>
      </c>
      <c r="V5" s="396">
        <f>Allocation!W3-V4</f>
        <v>24574.566717535727</v>
      </c>
      <c r="W5" s="396">
        <f>Allocation!X3-W4</f>
        <v>24620.097008930461</v>
      </c>
      <c r="X5" s="396">
        <f>Allocation!Y3-X4</f>
        <v>24749.882683889991</v>
      </c>
      <c r="Y5" s="396">
        <f>Allocation!Z3-Y4</f>
        <v>24988.580518794945</v>
      </c>
      <c r="Z5" s="396">
        <f>Allocation!AA3-Z4</f>
        <v>24257.53183153972</v>
      </c>
      <c r="AA5" s="396">
        <f t="shared" ref="AA5:AA8" si="1">SUM(O5:Z5)</f>
        <v>295538.11686766089</v>
      </c>
      <c r="AB5" s="396">
        <f>Allocation!AC3-AB4</f>
        <v>23854.988090006653</v>
      </c>
      <c r="AC5" s="396">
        <f>Allocation!AD3-AC4</f>
        <v>23830.679484668399</v>
      </c>
      <c r="AD5" s="396">
        <f>Allocation!AE3-AD4</f>
        <v>23765.372037409099</v>
      </c>
      <c r="AE5" s="396">
        <f>Allocation!AF3-AE4</f>
        <v>23679.6149636798</v>
      </c>
      <c r="AF5" s="396">
        <f>Allocation!AG3-AF4</f>
        <v>23538.290678528301</v>
      </c>
      <c r="AG5" s="396">
        <f>Allocation!AH3-AG4</f>
        <v>23422.849040278699</v>
      </c>
      <c r="AH5" s="396">
        <f>Allocation!AI3-AH4</f>
        <v>23401.203294892643</v>
      </c>
      <c r="AI5" s="396">
        <f>Allocation!AJ3-AI4</f>
        <v>23532.603661638765</v>
      </c>
      <c r="AJ5" s="396">
        <f>Allocation!AK3-AJ4</f>
        <v>23518.974737254095</v>
      </c>
      <c r="AK5" s="396">
        <f>Allocation!AL3-AK4</f>
        <v>24064.172116982067</v>
      </c>
      <c r="AL5" s="396">
        <f>Allocation!AM3-AL4</f>
        <v>24224.45348054303</v>
      </c>
      <c r="AM5" s="396">
        <f>Allocation!AN3-AM4</f>
        <v>24238.519900163152</v>
      </c>
      <c r="AN5" s="396">
        <f t="shared" ref="AN5:AN8" si="2">SUM(AB5:AM5)</f>
        <v>285071.72148604476</v>
      </c>
      <c r="AO5" s="396">
        <f>Allocation!AP3-AO4</f>
        <v>35198.122566040765</v>
      </c>
      <c r="AP5" s="396">
        <f>Allocation!AQ3-AP4</f>
        <v>25158.183579510456</v>
      </c>
      <c r="AQ5" s="396">
        <f>Allocation!AR3-AQ4</f>
        <v>25099.731541461821</v>
      </c>
      <c r="AR5" s="396">
        <f>Allocation!AS3-AR4</f>
        <v>24747.680323923389</v>
      </c>
      <c r="AS5" s="396">
        <f>Allocation!AT3-AS4</f>
        <v>24614.510617895627</v>
      </c>
      <c r="AT5" s="396">
        <f>Allocation!AU3-AT4</f>
        <v>24384.064064138613</v>
      </c>
      <c r="AU5" s="396">
        <f>Allocation!AV3-AU4</f>
        <v>24321.059207381106</v>
      </c>
      <c r="AV5" s="396">
        <f>Allocation!AW3-AV4</f>
        <v>24523.858953466668</v>
      </c>
      <c r="AW5" s="396">
        <f>Allocation!AX3-AW4</f>
        <v>24445.483475210807</v>
      </c>
      <c r="AX5" s="396">
        <f>Allocation!AY3-AX4</f>
        <v>24873.229704317473</v>
      </c>
      <c r="AY5" s="396">
        <f>Allocation!AZ3-AY4</f>
        <v>25758.15387057187</v>
      </c>
      <c r="AZ5" s="396">
        <f>Allocation!BA3-AZ4</f>
        <v>25369.713670943078</v>
      </c>
      <c r="BA5" s="396">
        <f t="shared" ref="BA5:BA8" si="3">SUM(AO5:AZ5)</f>
        <v>308493.79157486162</v>
      </c>
      <c r="BB5" s="396">
        <f>Allocation!BC3-BB4</f>
        <v>25381.135802214903</v>
      </c>
      <c r="BC5" s="396">
        <f>Allocation!BD3-BC4</f>
        <v>25361.394895995603</v>
      </c>
      <c r="BD5" s="396">
        <f>Allocation!BE3-BD4</f>
        <v>30372.700063215598</v>
      </c>
      <c r="BE5" s="396">
        <f>Allocation!BF3-BE4+'S&amp;TVA 2024'!E40*Allocation!BB14</f>
        <v>39962.646098203622</v>
      </c>
      <c r="BF5" s="396">
        <f>Allocation!BG3-BF4</f>
        <v>25196.032318655329</v>
      </c>
      <c r="BG5" s="396">
        <f>Allocation!BH3-BG4</f>
        <v>25057.427655228465</v>
      </c>
      <c r="BH5" s="396">
        <f>Allocation!BI3-BH4</f>
        <v>25176.834213617312</v>
      </c>
      <c r="BI5" s="396">
        <f>Allocation!BJ3-BI4</f>
        <v>25139.521332909171</v>
      </c>
      <c r="BJ5" s="396">
        <f>Allocation!BK3-BJ4</f>
        <v>25150.176407315019</v>
      </c>
      <c r="BK5" s="396">
        <f>Allocation!BL3-BK4</f>
        <v>26058.568804305833</v>
      </c>
      <c r="BL5" s="396">
        <f>Allocation!BM3-BL4</f>
        <v>25943.481657333181</v>
      </c>
      <c r="BM5" s="396">
        <f>Allocation!BN3-BM4</f>
        <v>26185.937798967374</v>
      </c>
      <c r="BN5" s="396">
        <f t="shared" ref="BN5:BN8" si="4">SUM(BB5:BM5)</f>
        <v>324985.85704796144</v>
      </c>
      <c r="BO5" s="396"/>
    </row>
    <row r="6" spans="1:67" x14ac:dyDescent="0.25">
      <c r="A6" s="392" t="s">
        <v>473</v>
      </c>
      <c r="B6" s="396">
        <f>Allocation!C8</f>
        <v>0</v>
      </c>
      <c r="C6" s="396">
        <f>Allocation!D8</f>
        <v>0</v>
      </c>
      <c r="D6" s="396">
        <f>Allocation!E8</f>
        <v>0</v>
      </c>
      <c r="E6" s="396">
        <f>Allocation!F8</f>
        <v>0</v>
      </c>
      <c r="F6" s="396">
        <f>Allocation!G8</f>
        <v>0</v>
      </c>
      <c r="G6" s="396">
        <f>Allocation!H8</f>
        <v>0</v>
      </c>
      <c r="H6" s="396">
        <f>Allocation!I8</f>
        <v>0</v>
      </c>
      <c r="I6" s="396">
        <f>Allocation!J8</f>
        <v>3313.0285645104318</v>
      </c>
      <c r="J6" s="396">
        <f>Allocation!K8</f>
        <v>3060.2099308995516</v>
      </c>
      <c r="K6" s="396">
        <f>Allocation!L8</f>
        <v>3148.6046629116158</v>
      </c>
      <c r="L6" s="396">
        <f>Allocation!M8</f>
        <v>3142.8748863772607</v>
      </c>
      <c r="M6" s="396">
        <f>Allocation!N8</f>
        <v>3075.8053472907895</v>
      </c>
      <c r="N6" s="396">
        <f t="shared" si="0"/>
        <v>15740.523391989649</v>
      </c>
      <c r="O6" s="396">
        <f>Allocation!P8</f>
        <v>3132.6637593642749</v>
      </c>
      <c r="P6" s="396">
        <f>Allocation!Q8</f>
        <v>3235.8174520212997</v>
      </c>
      <c r="Q6" s="396">
        <f>Allocation!R8</f>
        <v>3209.2180412224388</v>
      </c>
      <c r="R6" s="396">
        <f>Allocation!S8</f>
        <v>3150.4363944896709</v>
      </c>
      <c r="S6" s="396">
        <f>Allocation!T8</f>
        <v>3116.6895554727516</v>
      </c>
      <c r="T6" s="396">
        <f>Allocation!U8</f>
        <v>3057.4640011405659</v>
      </c>
      <c r="U6" s="396">
        <f>Allocation!V8</f>
        <v>3077.1415032705945</v>
      </c>
      <c r="V6" s="396">
        <f>Allocation!W8</f>
        <v>3096.3331096596125</v>
      </c>
      <c r="W6" s="396">
        <f>Allocation!X8</f>
        <v>3133.3880182091038</v>
      </c>
      <c r="X6" s="396">
        <f>Allocation!Y8</f>
        <v>3308.6490088259134</v>
      </c>
      <c r="Y6" s="396">
        <f>Allocation!Z8</f>
        <v>3723.2602158392456</v>
      </c>
      <c r="Z6" s="396">
        <f>Allocation!AA8</f>
        <v>3800.4888496648064</v>
      </c>
      <c r="AA6" s="396">
        <f t="shared" si="1"/>
        <v>39041.549909180278</v>
      </c>
      <c r="AB6" s="396">
        <f>Allocation!AC8</f>
        <v>4210.4621806965024</v>
      </c>
      <c r="AC6" s="396">
        <f>Allocation!AD8</f>
        <v>4025.9626151436601</v>
      </c>
      <c r="AD6" s="396">
        <f>Allocation!AE8</f>
        <v>3917.6847570258587</v>
      </c>
      <c r="AE6" s="396">
        <f>Allocation!AF8</f>
        <v>3592.0901512602427</v>
      </c>
      <c r="AF6" s="396">
        <f>Allocation!AG8</f>
        <v>3248.0489476095995</v>
      </c>
      <c r="AG6" s="396">
        <f>Allocation!AH8</f>
        <v>3159.3599434304001</v>
      </c>
      <c r="AH6" s="396">
        <f>Allocation!AI8</f>
        <v>3201.5546135103996</v>
      </c>
      <c r="AI6" s="396">
        <f>Allocation!AJ8</f>
        <v>3310.4977029567999</v>
      </c>
      <c r="AJ6" s="396">
        <f>Allocation!AK8</f>
        <v>3336.1828448128003</v>
      </c>
      <c r="AK6" s="396">
        <f>Allocation!AL8</f>
        <v>4261.71</v>
      </c>
      <c r="AL6" s="396">
        <f>Allocation!AM8</f>
        <v>4560.8230833472007</v>
      </c>
      <c r="AM6" s="396">
        <f>Allocation!AN8</f>
        <v>4754.9627008063999</v>
      </c>
      <c r="AN6" s="396">
        <f t="shared" si="2"/>
        <v>45579.339540599874</v>
      </c>
      <c r="AO6" s="396">
        <f>Allocation!AP8</f>
        <v>4824.8486425728006</v>
      </c>
      <c r="AP6" s="396">
        <f>Allocation!AQ8</f>
        <v>4799.6544001855991</v>
      </c>
      <c r="AQ6" s="396">
        <f>Allocation!AR8</f>
        <v>4751.0761471936003</v>
      </c>
      <c r="AR6" s="396">
        <f>Allocation!AS8</f>
        <v>4017.3714465224002</v>
      </c>
      <c r="AS6" s="396">
        <f>Allocation!AT8</f>
        <v>3705.6735948295996</v>
      </c>
      <c r="AT6" s="396">
        <f>Allocation!AU8</f>
        <v>3364.9727978655997</v>
      </c>
      <c r="AU6" s="396">
        <f>Allocation!AV8</f>
        <v>3355.5202702319998</v>
      </c>
      <c r="AV6" s="396">
        <f>Allocation!AW8</f>
        <v>3729.6482191823993</v>
      </c>
      <c r="AW6" s="396">
        <f>Allocation!AX8</f>
        <v>3598.6806387607994</v>
      </c>
      <c r="AX6" s="396">
        <f>Allocation!AY8</f>
        <v>4427.8562206808001</v>
      </c>
      <c r="AY6" s="396">
        <f>Allocation!AZ8</f>
        <v>6998.1685279384001</v>
      </c>
      <c r="AZ6" s="396">
        <f>Allocation!BA8</f>
        <v>5714.9905200415997</v>
      </c>
      <c r="BA6" s="396">
        <f t="shared" si="3"/>
        <v>53288.461426005597</v>
      </c>
      <c r="BB6" s="396">
        <f>Allocation!BC8</f>
        <v>5927.4113854431998</v>
      </c>
      <c r="BC6" s="396">
        <f>Allocation!BD8</f>
        <v>5485.949497476</v>
      </c>
      <c r="BD6" s="396">
        <f>Allocation!BE8</f>
        <v>5216.9199048201863</v>
      </c>
      <c r="BE6" s="396">
        <f>Allocation!BF8</f>
        <v>4471.4782019863997</v>
      </c>
      <c r="BF6" s="396">
        <f>Allocation!BG8</f>
        <v>3830.4385929367991</v>
      </c>
      <c r="BG6" s="396">
        <f>Allocation!BH8</f>
        <v>3622.6326372623998</v>
      </c>
      <c r="BH6" s="396">
        <f>Allocation!BI8</f>
        <v>3698.6183518600001</v>
      </c>
      <c r="BI6" s="396">
        <f>Allocation!BJ8</f>
        <v>3775.5308586407996</v>
      </c>
      <c r="BJ6" s="396">
        <f>Allocation!BK8</f>
        <v>3798.8676041527997</v>
      </c>
      <c r="BK6" s="396">
        <f>Allocation!BL8</f>
        <v>5603.2282810048</v>
      </c>
      <c r="BL6" s="396">
        <f>Allocation!BM8</f>
        <v>5335.6665205855998</v>
      </c>
      <c r="BM6" s="396">
        <f>Allocation!BN8</f>
        <v>6189.4968019488006</v>
      </c>
      <c r="BN6" s="396">
        <f t="shared" si="4"/>
        <v>56956.238638117786</v>
      </c>
      <c r="BO6" s="396"/>
    </row>
    <row r="7" spans="1:67" x14ac:dyDescent="0.25">
      <c r="A7" s="392" t="s">
        <v>350</v>
      </c>
      <c r="B7" s="396">
        <f>'S&amp;TVA Q4 2020'!B36</f>
        <v>9898.75</v>
      </c>
      <c r="C7" s="396">
        <f>'S&amp;TVA Q4 2020'!C36</f>
        <v>9898.75</v>
      </c>
      <c r="D7" s="396">
        <f>'S&amp;TVA Q4 2020'!D36</f>
        <v>9898.75</v>
      </c>
      <c r="E7" s="396">
        <f>'S&amp;TVA Q4 2020'!E36</f>
        <v>9898.75</v>
      </c>
      <c r="F7" s="396">
        <f>'S&amp;TVA Q4 2020'!F36</f>
        <v>9898.75</v>
      </c>
      <c r="G7" s="396">
        <f>'S&amp;TVA Q4 2020'!G36</f>
        <v>9898.75</v>
      </c>
      <c r="H7" s="396">
        <f>'S&amp;TVA Q4 2020'!H36</f>
        <v>9898.75</v>
      </c>
      <c r="I7" s="396">
        <f>'S&amp;TVA Q4 2020'!I36</f>
        <v>9898.75</v>
      </c>
      <c r="J7" s="396">
        <f>'S&amp;TVA Q4 2020'!J36</f>
        <v>9898.75</v>
      </c>
      <c r="K7" s="396">
        <f>'S&amp;TVA Q4 2020'!K36</f>
        <v>9898.75</v>
      </c>
      <c r="L7" s="396">
        <f>'S&amp;TVA Q4 2020'!L36</f>
        <v>9898.75</v>
      </c>
      <c r="M7" s="396">
        <f>'S&amp;TVA Q4 2020'!M36</f>
        <v>9898.75</v>
      </c>
      <c r="N7" s="396">
        <f t="shared" si="0"/>
        <v>118785</v>
      </c>
      <c r="O7" s="396">
        <f>'S&amp;TVA 2021'!B38</f>
        <v>18210.583333333332</v>
      </c>
      <c r="P7" s="396">
        <f>'S&amp;TVA 2021'!C38</f>
        <v>18210.583333333332</v>
      </c>
      <c r="Q7" s="396">
        <f>'S&amp;TVA 2021'!D38</f>
        <v>18210.583333333332</v>
      </c>
      <c r="R7" s="396">
        <f>'S&amp;TVA 2021'!E38</f>
        <v>18210.583333333332</v>
      </c>
      <c r="S7" s="396">
        <f>'S&amp;TVA 2021'!F38</f>
        <v>18210.583333333332</v>
      </c>
      <c r="T7" s="396">
        <f>'S&amp;TVA 2021'!G38</f>
        <v>18210.583333333332</v>
      </c>
      <c r="U7" s="396">
        <f>'S&amp;TVA 2021'!H38</f>
        <v>18210.583333333332</v>
      </c>
      <c r="V7" s="396">
        <f>'S&amp;TVA 2021'!I38</f>
        <v>18210.583333333332</v>
      </c>
      <c r="W7" s="396">
        <f>'S&amp;TVA 2021'!J38</f>
        <v>18210.583333333332</v>
      </c>
      <c r="X7" s="396">
        <f>'S&amp;TVA 2021'!K38</f>
        <v>18210.583333333332</v>
      </c>
      <c r="Y7" s="396">
        <f>'S&amp;TVA 2021'!L38</f>
        <v>18210.583333333332</v>
      </c>
      <c r="Z7" s="396">
        <f>'S&amp;TVA 2021'!M38</f>
        <v>-841.41666666668607</v>
      </c>
      <c r="AA7" s="396">
        <f t="shared" si="1"/>
        <v>199475</v>
      </c>
      <c r="AB7" s="396">
        <f>'S&amp;TVA 2022'!B38</f>
        <v>16622.916666666668</v>
      </c>
      <c r="AC7" s="396">
        <f>'S&amp;TVA 2022'!C38</f>
        <v>16622.916666666668</v>
      </c>
      <c r="AD7" s="396">
        <f>'S&amp;TVA 2022'!D38</f>
        <v>16622.916666666668</v>
      </c>
      <c r="AE7" s="396">
        <f>'S&amp;TVA 2022'!E38</f>
        <v>16622.916666666668</v>
      </c>
      <c r="AF7" s="396">
        <f>'S&amp;TVA 2022'!F38</f>
        <v>16622.916666666668</v>
      </c>
      <c r="AG7" s="396">
        <f>'S&amp;TVA 2022'!G38</f>
        <v>16622.916666666668</v>
      </c>
      <c r="AH7" s="396">
        <f>'S&amp;TVA 2022'!H38</f>
        <v>16622.916666666668</v>
      </c>
      <c r="AI7" s="396">
        <f>'S&amp;TVA 2022'!I38</f>
        <v>16622.916666666668</v>
      </c>
      <c r="AJ7" s="396">
        <f>'S&amp;TVA 2022'!J38</f>
        <v>16622.916666666668</v>
      </c>
      <c r="AK7" s="396">
        <f>'S&amp;TVA 2022'!K38</f>
        <v>35332.25</v>
      </c>
      <c r="AL7" s="396">
        <f>'S&amp;TVA 2022'!L38</f>
        <v>35332.25</v>
      </c>
      <c r="AM7" s="396">
        <f>'S&amp;TVA 2022'!M38</f>
        <v>35332.25</v>
      </c>
      <c r="AN7" s="396">
        <f t="shared" si="2"/>
        <v>255603</v>
      </c>
      <c r="AO7" s="396">
        <f>'S&amp;TVA 2023'!B39</f>
        <v>20849.916666666668</v>
      </c>
      <c r="AP7" s="396">
        <f>'S&amp;TVA 2023'!C39</f>
        <v>20849.916666666668</v>
      </c>
      <c r="AQ7" s="396">
        <f>'S&amp;TVA 2023'!D39</f>
        <v>20849.916666666668</v>
      </c>
      <c r="AR7" s="396">
        <f>'S&amp;TVA 2023'!E39</f>
        <v>20849.916666666668</v>
      </c>
      <c r="AS7" s="396">
        <f>'S&amp;TVA 2023'!F39</f>
        <v>20849.916666666668</v>
      </c>
      <c r="AT7" s="396">
        <f>'S&amp;TVA 2023'!G39</f>
        <v>20849.916666666668</v>
      </c>
      <c r="AU7" s="396">
        <f>'S&amp;TVA 2023'!H39</f>
        <v>20849.916666666668</v>
      </c>
      <c r="AV7" s="396">
        <f>'S&amp;TVA 2023'!I39</f>
        <v>20849.916666666668</v>
      </c>
      <c r="AW7" s="396">
        <f>'S&amp;TVA 2023'!J39</f>
        <v>20849.916666666668</v>
      </c>
      <c r="AX7" s="396">
        <f>'S&amp;TVA 2023'!K39</f>
        <v>21431.158333333333</v>
      </c>
      <c r="AY7" s="396">
        <f>'S&amp;TVA 2023'!L39</f>
        <v>21431.158333333333</v>
      </c>
      <c r="AZ7" s="396">
        <f>'S&amp;TVA 2023'!M39</f>
        <v>21431.158333333333</v>
      </c>
      <c r="BA7" s="396">
        <f t="shared" si="3"/>
        <v>251942.72499999998</v>
      </c>
      <c r="BB7" s="396">
        <f>'S&amp;TVA 2024'!B49</f>
        <v>15750.25</v>
      </c>
      <c r="BC7" s="396">
        <f>'S&amp;TVA 2024'!C49</f>
        <v>15750.25</v>
      </c>
      <c r="BD7" s="396">
        <f>'S&amp;TVA 2024'!D49</f>
        <v>15750.25</v>
      </c>
      <c r="BE7" s="396">
        <f>'S&amp;TVA 2024'!E49</f>
        <v>15750.25</v>
      </c>
      <c r="BF7" s="396">
        <f>'S&amp;TVA 2024'!F49</f>
        <v>15750.25</v>
      </c>
      <c r="BG7" s="396">
        <f>'S&amp;TVA 2024'!G49</f>
        <v>15750.25</v>
      </c>
      <c r="BH7" s="396">
        <f>'S&amp;TVA 2024'!H49</f>
        <v>15750.25</v>
      </c>
      <c r="BI7" s="396">
        <f>'S&amp;TVA 2024'!I49</f>
        <v>15750.25</v>
      </c>
      <c r="BJ7" s="396">
        <f>'S&amp;TVA 2024'!J49</f>
        <v>15750.25</v>
      </c>
      <c r="BK7" s="396">
        <f>'S&amp;TVA 2024'!K49</f>
        <v>15750.25</v>
      </c>
      <c r="BL7" s="396">
        <f>'S&amp;TVA 2024'!L49</f>
        <v>15750.25</v>
      </c>
      <c r="BM7" s="396">
        <f>'S&amp;TVA 2024'!M49</f>
        <v>15750.25</v>
      </c>
      <c r="BN7" s="396">
        <f t="shared" si="4"/>
        <v>189003</v>
      </c>
      <c r="BO7" s="396"/>
    </row>
    <row r="8" spans="1:67" x14ac:dyDescent="0.25">
      <c r="A8" s="392" t="s">
        <v>352</v>
      </c>
      <c r="B8" s="396">
        <v>0</v>
      </c>
      <c r="C8" s="396">
        <v>0</v>
      </c>
      <c r="D8" s="396">
        <v>0</v>
      </c>
      <c r="E8" s="396">
        <v>0</v>
      </c>
      <c r="F8" s="396">
        <v>0</v>
      </c>
      <c r="G8" s="396">
        <v>0</v>
      </c>
      <c r="H8" s="396">
        <v>0</v>
      </c>
      <c r="I8" s="396">
        <v>0</v>
      </c>
      <c r="J8" s="396">
        <v>0</v>
      </c>
      <c r="K8" s="396">
        <v>0</v>
      </c>
      <c r="L8" s="396">
        <v>0</v>
      </c>
      <c r="M8" s="396">
        <v>0</v>
      </c>
      <c r="N8" s="396">
        <f t="shared" si="0"/>
        <v>0</v>
      </c>
      <c r="O8" s="396">
        <v>0</v>
      </c>
      <c r="P8" s="396">
        <v>0</v>
      </c>
      <c r="Q8" s="396">
        <v>0</v>
      </c>
      <c r="R8" s="396">
        <v>0</v>
      </c>
      <c r="S8" s="396">
        <v>0</v>
      </c>
      <c r="T8" s="396">
        <v>0</v>
      </c>
      <c r="U8" s="396">
        <v>0</v>
      </c>
      <c r="V8" s="396">
        <v>0</v>
      </c>
      <c r="W8" s="396">
        <v>0</v>
      </c>
      <c r="X8" s="396">
        <v>0</v>
      </c>
      <c r="Y8" s="396">
        <v>0</v>
      </c>
      <c r="Z8" s="396">
        <v>0</v>
      </c>
      <c r="AA8" s="396">
        <f t="shared" si="1"/>
        <v>0</v>
      </c>
      <c r="AB8" s="396">
        <v>0</v>
      </c>
      <c r="AC8" s="396">
        <v>0</v>
      </c>
      <c r="AD8" s="396">
        <v>0</v>
      </c>
      <c r="AE8" s="396">
        <v>0</v>
      </c>
      <c r="AF8" s="396">
        <v>0</v>
      </c>
      <c r="AG8" s="396">
        <v>0</v>
      </c>
      <c r="AH8" s="396">
        <v>0</v>
      </c>
      <c r="AI8" s="396">
        <v>0</v>
      </c>
      <c r="AJ8" s="396">
        <v>0</v>
      </c>
      <c r="AK8" s="396">
        <v>0</v>
      </c>
      <c r="AL8" s="396">
        <v>0</v>
      </c>
      <c r="AM8" s="396">
        <v>0</v>
      </c>
      <c r="AN8" s="396">
        <f t="shared" si="2"/>
        <v>0</v>
      </c>
      <c r="AO8" s="396">
        <v>0</v>
      </c>
      <c r="AP8" s="396">
        <v>0</v>
      </c>
      <c r="AQ8" s="396">
        <v>0</v>
      </c>
      <c r="AR8" s="396">
        <v>0</v>
      </c>
      <c r="AS8" s="396">
        <v>0</v>
      </c>
      <c r="AT8" s="396">
        <v>0</v>
      </c>
      <c r="AU8" s="396">
        <v>0</v>
      </c>
      <c r="AV8" s="396">
        <v>0</v>
      </c>
      <c r="AW8" s="396">
        <v>0</v>
      </c>
      <c r="AX8" s="396">
        <v>0</v>
      </c>
      <c r="AY8" s="396">
        <v>0</v>
      </c>
      <c r="AZ8" s="396">
        <v>0</v>
      </c>
      <c r="BA8" s="396">
        <f t="shared" si="3"/>
        <v>0</v>
      </c>
      <c r="BB8" s="396">
        <f>'S&amp;TVA 2024'!B48</f>
        <v>0</v>
      </c>
      <c r="BC8" s="396">
        <f>'S&amp;TVA 2024'!C48</f>
        <v>0</v>
      </c>
      <c r="BD8" s="396">
        <f>'S&amp;TVA 2024'!D48</f>
        <v>0</v>
      </c>
      <c r="BE8" s="396">
        <f>'S&amp;TVA 2024'!E48</f>
        <v>0</v>
      </c>
      <c r="BF8" s="396">
        <f>'S&amp;TVA 2024'!F48</f>
        <v>0</v>
      </c>
      <c r="BG8" s="396">
        <f>'S&amp;TVA 2024'!G48</f>
        <v>0</v>
      </c>
      <c r="BH8" s="396">
        <f>'S&amp;TVA 2024'!H48</f>
        <v>0</v>
      </c>
      <c r="BI8" s="396">
        <f>'S&amp;TVA 2024'!I48</f>
        <v>0</v>
      </c>
      <c r="BJ8" s="396">
        <f>'S&amp;TVA 2024'!J48</f>
        <v>0</v>
      </c>
      <c r="BK8" s="396">
        <f>'S&amp;TVA 2024'!K48</f>
        <v>13603.79</v>
      </c>
      <c r="BL8" s="396">
        <f>'S&amp;TVA 2024'!L48</f>
        <v>77424.139684399997</v>
      </c>
      <c r="BM8" s="396">
        <f>'S&amp;TVA 2024'!M48</f>
        <v>36305.248688</v>
      </c>
      <c r="BN8" s="396">
        <f t="shared" si="4"/>
        <v>127333.1783724</v>
      </c>
      <c r="BO8" s="396"/>
    </row>
    <row r="9" spans="1:67" s="315" customFormat="1" x14ac:dyDescent="0.25">
      <c r="A9" s="392" t="s">
        <v>436</v>
      </c>
      <c r="B9" s="400">
        <f>SUM(B4:B8)</f>
        <v>9898.75</v>
      </c>
      <c r="C9" s="400">
        <f t="shared" ref="C9:BN9" si="5">SUM(C4:C8)</f>
        <v>9898.75</v>
      </c>
      <c r="D9" s="400">
        <f t="shared" si="5"/>
        <v>9898.75</v>
      </c>
      <c r="E9" s="400">
        <f t="shared" si="5"/>
        <v>9898.75</v>
      </c>
      <c r="F9" s="400">
        <f t="shared" si="5"/>
        <v>13512.036</v>
      </c>
      <c r="G9" s="400">
        <f t="shared" si="5"/>
        <v>32115.868999999999</v>
      </c>
      <c r="H9" s="400">
        <f t="shared" si="5"/>
        <v>33786.9</v>
      </c>
      <c r="I9" s="400">
        <f t="shared" si="5"/>
        <v>30193.807345660614</v>
      </c>
      <c r="J9" s="400">
        <f t="shared" si="5"/>
        <v>29155.0524434414</v>
      </c>
      <c r="K9" s="400">
        <f t="shared" si="5"/>
        <v>29153.447175453464</v>
      </c>
      <c r="L9" s="400">
        <f t="shared" si="5"/>
        <v>35344.854399992335</v>
      </c>
      <c r="M9" s="400">
        <f t="shared" si="5"/>
        <v>44217.626781930798</v>
      </c>
      <c r="N9" s="400">
        <f t="shared" si="5"/>
        <v>287074.59314647864</v>
      </c>
      <c r="O9" s="400">
        <f t="shared" si="5"/>
        <v>53028.569971780613</v>
      </c>
      <c r="P9" s="400">
        <f t="shared" si="5"/>
        <v>53454.988734053797</v>
      </c>
      <c r="Q9" s="400">
        <f t="shared" si="5"/>
        <v>53281.201077103702</v>
      </c>
      <c r="R9" s="400">
        <f t="shared" si="5"/>
        <v>52997.374121982997</v>
      </c>
      <c r="S9" s="400">
        <f t="shared" si="5"/>
        <v>53044.537282966077</v>
      </c>
      <c r="T9" s="400">
        <f t="shared" si="5"/>
        <v>52990.621728633894</v>
      </c>
      <c r="U9" s="400">
        <f t="shared" si="5"/>
        <v>52924.07923076392</v>
      </c>
      <c r="V9" s="400">
        <f t="shared" si="5"/>
        <v>52967.823160528671</v>
      </c>
      <c r="W9" s="400">
        <f t="shared" si="5"/>
        <v>53065.3983604729</v>
      </c>
      <c r="X9" s="400">
        <f t="shared" si="5"/>
        <v>53352.445026049245</v>
      </c>
      <c r="Y9" s="400">
        <f t="shared" si="5"/>
        <v>54057.954067967526</v>
      </c>
      <c r="Z9" s="400">
        <f t="shared" si="5"/>
        <v>34385.584014537839</v>
      </c>
      <c r="AA9" s="400">
        <f t="shared" si="5"/>
        <v>619550.57677684119</v>
      </c>
      <c r="AB9" s="400">
        <f t="shared" si="5"/>
        <v>51915.096937369817</v>
      </c>
      <c r="AC9" s="400">
        <f t="shared" si="5"/>
        <v>51680.788766478727</v>
      </c>
      <c r="AD9" s="400">
        <f t="shared" si="5"/>
        <v>51488.003461101631</v>
      </c>
      <c r="AE9" s="400">
        <f t="shared" si="5"/>
        <v>51095.321781606704</v>
      </c>
      <c r="AF9" s="400">
        <f t="shared" si="5"/>
        <v>50717.696292804569</v>
      </c>
      <c r="AG9" s="400">
        <f t="shared" si="5"/>
        <v>50405.27565037577</v>
      </c>
      <c r="AH9" s="400">
        <f t="shared" si="5"/>
        <v>50392.514575069712</v>
      </c>
      <c r="AI9" s="400">
        <f t="shared" si="5"/>
        <v>50631.368031262231</v>
      </c>
      <c r="AJ9" s="400">
        <f t="shared" si="5"/>
        <v>50641.464248733566</v>
      </c>
      <c r="AK9" s="400">
        <f t="shared" si="5"/>
        <v>70741.46211698206</v>
      </c>
      <c r="AL9" s="400">
        <f t="shared" si="5"/>
        <v>71241.066563890228</v>
      </c>
      <c r="AM9" s="400">
        <f t="shared" si="5"/>
        <v>71527.82260096955</v>
      </c>
      <c r="AN9" s="400">
        <f t="shared" si="5"/>
        <v>672477.88102664461</v>
      </c>
      <c r="AO9" s="400">
        <f t="shared" si="5"/>
        <v>68063.157875280231</v>
      </c>
      <c r="AP9" s="400">
        <f t="shared" si="5"/>
        <v>58031.234646362718</v>
      </c>
      <c r="AQ9" s="400">
        <f t="shared" si="5"/>
        <v>57894.604355322095</v>
      </c>
      <c r="AR9" s="400">
        <f t="shared" si="5"/>
        <v>56758.378437112464</v>
      </c>
      <c r="AS9" s="400">
        <f t="shared" si="5"/>
        <v>56362.18087939189</v>
      </c>
      <c r="AT9" s="400">
        <f t="shared" si="5"/>
        <v>55790.843528670885</v>
      </c>
      <c r="AU9" s="400">
        <f t="shared" si="5"/>
        <v>55684.576144279781</v>
      </c>
      <c r="AV9" s="400">
        <f t="shared" si="5"/>
        <v>56279.75383931573</v>
      </c>
      <c r="AW9" s="400">
        <f t="shared" si="5"/>
        <v>56051.980780638274</v>
      </c>
      <c r="AX9" s="400">
        <f t="shared" si="5"/>
        <v>57830.924258331608</v>
      </c>
      <c r="AY9" s="400">
        <f t="shared" si="5"/>
        <v>61349.300731843607</v>
      </c>
      <c r="AZ9" s="400">
        <f t="shared" si="5"/>
        <v>59642.762524318015</v>
      </c>
      <c r="BA9" s="400">
        <f t="shared" si="5"/>
        <v>699739.69800086715</v>
      </c>
      <c r="BB9" s="400">
        <f t="shared" si="5"/>
        <v>54235.867187658107</v>
      </c>
      <c r="BC9" s="400">
        <f t="shared" si="5"/>
        <v>53781.474393471603</v>
      </c>
      <c r="BD9" s="400">
        <f t="shared" si="5"/>
        <v>58526.829968035781</v>
      </c>
      <c r="BE9" s="400">
        <f t="shared" si="5"/>
        <v>67369.314300190017</v>
      </c>
      <c r="BF9" s="400">
        <f t="shared" si="5"/>
        <v>51988.210911592127</v>
      </c>
      <c r="BG9" s="400">
        <f t="shared" si="5"/>
        <v>51567.280292490868</v>
      </c>
      <c r="BH9" s="400">
        <f t="shared" si="5"/>
        <v>51748.792565477313</v>
      </c>
      <c r="BI9" s="400">
        <f t="shared" si="5"/>
        <v>51821.222191549969</v>
      </c>
      <c r="BJ9" s="400">
        <f t="shared" si="5"/>
        <v>51854.804011467822</v>
      </c>
      <c r="BK9" s="400">
        <f t="shared" si="5"/>
        <v>68099.167085310633</v>
      </c>
      <c r="BL9" s="400">
        <f t="shared" si="5"/>
        <v>131565.66786231878</v>
      </c>
      <c r="BM9" s="400">
        <f t="shared" si="5"/>
        <v>91628.263288916176</v>
      </c>
      <c r="BN9" s="400">
        <f t="shared" si="5"/>
        <v>784186.89405847923</v>
      </c>
      <c r="BO9" s="400"/>
    </row>
    <row r="10" spans="1:67" x14ac:dyDescent="0.25">
      <c r="A10" s="392"/>
      <c r="B10" s="396"/>
      <c r="C10" s="396"/>
      <c r="D10" s="396"/>
      <c r="E10" s="396"/>
      <c r="F10" s="396"/>
      <c r="G10" s="396"/>
      <c r="H10" s="396"/>
      <c r="I10" s="396"/>
      <c r="J10" s="396"/>
      <c r="K10" s="396"/>
      <c r="L10" s="396"/>
      <c r="M10" s="396"/>
      <c r="N10" s="396"/>
      <c r="O10" s="396"/>
      <c r="P10" s="396"/>
      <c r="Q10" s="396"/>
      <c r="R10" s="396"/>
      <c r="S10" s="396"/>
      <c r="T10" s="396"/>
      <c r="U10" s="396"/>
      <c r="V10" s="396"/>
      <c r="W10" s="396"/>
      <c r="X10" s="396"/>
      <c r="Y10" s="396"/>
      <c r="Z10" s="396"/>
      <c r="AA10" s="396"/>
      <c r="AB10" s="396"/>
      <c r="AC10" s="396"/>
      <c r="AD10" s="396"/>
      <c r="AE10" s="396"/>
      <c r="AF10" s="396"/>
      <c r="AG10" s="396"/>
      <c r="AH10" s="396"/>
      <c r="AI10" s="396"/>
      <c r="AJ10" s="396"/>
      <c r="AK10" s="396"/>
      <c r="AL10" s="396"/>
      <c r="AM10" s="396"/>
      <c r="AN10" s="396"/>
      <c r="AO10" s="396"/>
      <c r="AP10" s="396"/>
      <c r="AQ10" s="396"/>
      <c r="AR10" s="396"/>
      <c r="AS10" s="396"/>
      <c r="AT10" s="396"/>
      <c r="AU10" s="396"/>
      <c r="AV10" s="396"/>
      <c r="AW10" s="396"/>
      <c r="AX10" s="396"/>
      <c r="AY10" s="396"/>
      <c r="AZ10" s="396"/>
      <c r="BA10" s="396"/>
      <c r="BB10" s="396"/>
      <c r="BC10" s="396"/>
      <c r="BD10" s="396"/>
      <c r="BE10" s="396"/>
      <c r="BF10" s="396"/>
      <c r="BG10" s="396"/>
      <c r="BH10" s="396"/>
      <c r="BI10" s="396"/>
      <c r="BJ10" s="396"/>
      <c r="BK10" s="396"/>
      <c r="BL10" s="396"/>
      <c r="BM10" s="396"/>
      <c r="BN10" s="396"/>
      <c r="BO10" s="396"/>
    </row>
    <row r="11" spans="1:67" s="315" customFormat="1" x14ac:dyDescent="0.25">
      <c r="A11" s="392" t="s">
        <v>419</v>
      </c>
      <c r="B11" s="400">
        <f>'S&amp;TVA Q4 2020'!B49</f>
        <v>0</v>
      </c>
      <c r="C11" s="400">
        <f>'S&amp;TVA Q4 2020'!C49</f>
        <v>0</v>
      </c>
      <c r="D11" s="400">
        <f>'S&amp;TVA Q4 2020'!D49</f>
        <v>0</v>
      </c>
      <c r="E11" s="400">
        <f>'S&amp;TVA Q4 2020'!E49</f>
        <v>0</v>
      </c>
      <c r="F11" s="400">
        <f>'S&amp;TVA Q4 2020'!F49</f>
        <v>0</v>
      </c>
      <c r="G11" s="400">
        <f>'S&amp;TVA Q4 2020'!G49</f>
        <v>0</v>
      </c>
      <c r="H11" s="400">
        <f>'S&amp;TVA Q4 2020'!H49</f>
        <v>0</v>
      </c>
      <c r="I11" s="400">
        <f>'S&amp;TVA Q4 2020'!I49</f>
        <v>0</v>
      </c>
      <c r="J11" s="400">
        <f>'S&amp;TVA Q4 2020'!J49</f>
        <v>89.67</v>
      </c>
      <c r="K11" s="400">
        <f>'S&amp;TVA Q4 2020'!K49</f>
        <v>-356.71</v>
      </c>
      <c r="L11" s="400">
        <f>'S&amp;TVA Q4 2020'!L49</f>
        <v>1166.4100000000001</v>
      </c>
      <c r="M11" s="400">
        <f>'S&amp;TVA Q4 2020'!M49</f>
        <v>1229.93</v>
      </c>
      <c r="N11" s="400">
        <f>SUM(B11:M11)</f>
        <v>2129.3000000000002</v>
      </c>
      <c r="O11" s="400">
        <f>'S&amp;TVA 2021'!B51</f>
        <v>660.5</v>
      </c>
      <c r="P11" s="400">
        <f>'S&amp;TVA 2021'!C51</f>
        <v>1474.65</v>
      </c>
      <c r="Q11" s="400">
        <f>'S&amp;TVA 2021'!D51</f>
        <v>3070.65</v>
      </c>
      <c r="R11" s="400">
        <f>'S&amp;TVA 2021'!E51</f>
        <v>3426.7800000000007</v>
      </c>
      <c r="S11" s="400">
        <f>'S&amp;TVA 2021'!F51</f>
        <v>2827.4299999999985</v>
      </c>
      <c r="T11" s="400">
        <f>'S&amp;TVA 2021'!G51</f>
        <v>2076.1099999999988</v>
      </c>
      <c r="U11" s="400">
        <f>'S&amp;TVA 2021'!H51</f>
        <v>1200.3999999999996</v>
      </c>
      <c r="V11" s="400">
        <f>'S&amp;TVA 2021'!I51</f>
        <v>1257.4299999999985</v>
      </c>
      <c r="W11" s="400">
        <f>'S&amp;TVA 2021'!J51</f>
        <v>1108.0599999999995</v>
      </c>
      <c r="X11" s="400">
        <f>'S&amp;TVA 2021'!K51</f>
        <v>1415.3500000000004</v>
      </c>
      <c r="Y11" s="400">
        <f>'S&amp;TVA 2021'!L51</f>
        <v>4433.6999999999989</v>
      </c>
      <c r="Z11" s="400">
        <f>'S&amp;TVA 2021'!M51</f>
        <v>11081.570000000002</v>
      </c>
      <c r="AA11" s="400">
        <f>SUM(O11:Z11)</f>
        <v>34032.62999999999</v>
      </c>
      <c r="AB11" s="400">
        <f>'S&amp;TVA 2022'!B51</f>
        <v>15977.730000000001</v>
      </c>
      <c r="AC11" s="400">
        <f>'S&amp;TVA 2022'!C51</f>
        <v>19404.269999999997</v>
      </c>
      <c r="AD11" s="400">
        <f>'S&amp;TVA 2022'!D51</f>
        <v>18862.269999999997</v>
      </c>
      <c r="AE11" s="400">
        <f>'S&amp;TVA 2022'!E51</f>
        <v>18315.739999999998</v>
      </c>
      <c r="AF11" s="400">
        <f>'S&amp;TVA 2022'!F51</f>
        <v>12392.74</v>
      </c>
      <c r="AG11" s="400">
        <f>'S&amp;TVA 2022'!G51</f>
        <v>12295.74</v>
      </c>
      <c r="AH11" s="400">
        <f>'S&amp;TVA 2022'!H51</f>
        <v>5058.74</v>
      </c>
      <c r="AI11" s="400">
        <f>'S&amp;TVA 2022'!I51</f>
        <v>20293.509999999995</v>
      </c>
      <c r="AJ11" s="400">
        <f>'S&amp;TVA 2022'!J51</f>
        <v>3122.6800000000003</v>
      </c>
      <c r="AK11" s="400">
        <f>'S&amp;TVA 2022'!K51</f>
        <v>4553.66</v>
      </c>
      <c r="AL11" s="400">
        <f>'S&amp;TVA 2022'!L51</f>
        <v>22672.460000000097</v>
      </c>
      <c r="AM11" s="400">
        <f>'S&amp;TVA 2022'!M51</f>
        <v>18893.1700000005</v>
      </c>
      <c r="AN11" s="400">
        <f>SUM(AB11:AM11)</f>
        <v>171842.71000000063</v>
      </c>
      <c r="AO11" s="400">
        <f>'S&amp;TVA 2023'!B52</f>
        <v>33897.269999999997</v>
      </c>
      <c r="AP11" s="400">
        <f>'S&amp;TVA 2023'!C52</f>
        <v>28215.24</v>
      </c>
      <c r="AQ11" s="400">
        <f>'S&amp;TVA 2023'!D52</f>
        <v>29709.33</v>
      </c>
      <c r="AR11" s="400">
        <f>'S&amp;TVA 2023'!E52</f>
        <v>30026.58</v>
      </c>
      <c r="AS11" s="400">
        <f>'S&amp;TVA 2023'!F52</f>
        <v>19075.63</v>
      </c>
      <c r="AT11" s="400">
        <f>'S&amp;TVA 2023'!G52</f>
        <v>11537.25</v>
      </c>
      <c r="AU11" s="400">
        <f>'S&amp;TVA 2023'!H52</f>
        <v>4431.0600000000059</v>
      </c>
      <c r="AV11" s="400">
        <f>'S&amp;TVA 2023'!I52</f>
        <v>3008.9800000000014</v>
      </c>
      <c r="AW11" s="400">
        <f>'S&amp;TVA 2023'!J52</f>
        <v>5984.1</v>
      </c>
      <c r="AX11" s="400">
        <f>'S&amp;TVA 2023'!K52</f>
        <v>4525.7</v>
      </c>
      <c r="AY11" s="400">
        <f>'S&amp;TVA 2023'!L52</f>
        <v>19901.479999999981</v>
      </c>
      <c r="AZ11" s="400">
        <f>'S&amp;TVA 2023'!M52</f>
        <v>49149.179999999942</v>
      </c>
      <c r="BA11" s="400">
        <f>SUM(AO11:AZ11)</f>
        <v>239461.79999999993</v>
      </c>
      <c r="BB11" s="400">
        <f>'S&amp;TVA 2024'!B62</f>
        <v>41233</v>
      </c>
      <c r="BC11" s="400">
        <f>'S&amp;TVA 2024'!C62</f>
        <v>54349</v>
      </c>
      <c r="BD11" s="400">
        <f>'S&amp;TVA 2024'!D62</f>
        <v>43007</v>
      </c>
      <c r="BE11" s="400">
        <f>'S&amp;TVA 2024'!E62</f>
        <v>41547.169999999933</v>
      </c>
      <c r="BF11" s="400">
        <f>'S&amp;TVA 2024'!F62</f>
        <v>22558.370000000003</v>
      </c>
      <c r="BG11" s="400">
        <f>'S&amp;TVA 2024'!G62</f>
        <v>10908.41999999994</v>
      </c>
      <c r="BH11" s="400">
        <f>'S&amp;TVA 2024'!H62</f>
        <v>5653.2800000000307</v>
      </c>
      <c r="BI11" s="400">
        <f>'S&amp;TVA 2024'!I62</f>
        <v>6089.9400000000051</v>
      </c>
      <c r="BJ11" s="400">
        <f>'S&amp;TVA 2024'!J62</f>
        <v>5916.810000000014</v>
      </c>
      <c r="BK11" s="400">
        <f>'S&amp;TVA 2024'!K62</f>
        <v>5474.8800000000083</v>
      </c>
      <c r="BL11" s="400">
        <f>'S&amp;TVA 2024'!L62</f>
        <v>32388.879999999979</v>
      </c>
      <c r="BM11" s="400">
        <f>'S&amp;TVA 2024'!M62</f>
        <v>36154.1499999999</v>
      </c>
      <c r="BN11" s="400">
        <f>SUM(BB11:BM11)</f>
        <v>305280.89999999979</v>
      </c>
      <c r="BO11" s="400"/>
    </row>
    <row r="12" spans="1:67" x14ac:dyDescent="0.25">
      <c r="A12" s="392"/>
      <c r="B12" s="397"/>
      <c r="C12" s="397"/>
      <c r="D12" s="397"/>
      <c r="E12" s="397"/>
      <c r="F12" s="397"/>
      <c r="G12" s="397"/>
      <c r="H12" s="397"/>
      <c r="I12" s="397"/>
      <c r="J12" s="397"/>
      <c r="K12" s="397"/>
      <c r="L12" s="397"/>
      <c r="M12" s="397"/>
      <c r="N12" s="397"/>
      <c r="O12" s="397"/>
      <c r="P12" s="397"/>
      <c r="Q12" s="397"/>
      <c r="R12" s="397"/>
      <c r="S12" s="397"/>
      <c r="T12" s="397"/>
      <c r="U12" s="397"/>
      <c r="V12" s="397"/>
      <c r="W12" s="397"/>
      <c r="X12" s="397"/>
      <c r="Y12" s="397"/>
      <c r="Z12" s="397"/>
      <c r="AA12" s="397"/>
      <c r="AB12" s="397"/>
      <c r="AC12" s="397"/>
      <c r="AD12" s="397"/>
      <c r="AE12" s="397"/>
      <c r="AF12" s="397"/>
      <c r="AG12" s="397"/>
      <c r="AH12" s="397"/>
      <c r="AI12" s="397"/>
      <c r="AJ12" s="397"/>
      <c r="AK12" s="397"/>
      <c r="AL12" s="397"/>
      <c r="AM12" s="397"/>
      <c r="AN12" s="397"/>
      <c r="AO12" s="397"/>
      <c r="AP12" s="397"/>
      <c r="AQ12" s="397"/>
      <c r="AR12" s="397"/>
      <c r="AS12" s="397"/>
      <c r="AT12" s="397"/>
      <c r="AU12" s="397"/>
      <c r="AV12" s="397"/>
      <c r="AW12" s="397"/>
      <c r="AX12" s="397"/>
      <c r="AY12" s="397"/>
      <c r="AZ12" s="397"/>
      <c r="BA12" s="397"/>
      <c r="BB12" s="397"/>
      <c r="BC12" s="397"/>
      <c r="BD12" s="397"/>
      <c r="BE12" s="397"/>
      <c r="BF12" s="397"/>
      <c r="BG12" s="397"/>
      <c r="BH12" s="397"/>
      <c r="BI12" s="397"/>
      <c r="BJ12" s="397"/>
      <c r="BK12" s="397"/>
      <c r="BL12" s="397"/>
      <c r="BM12" s="397"/>
      <c r="BN12" s="397"/>
      <c r="BO12" s="397"/>
    </row>
    <row r="13" spans="1:67" x14ac:dyDescent="0.25">
      <c r="A13" s="392" t="s">
        <v>417</v>
      </c>
      <c r="B13" s="396">
        <f>B9-B11</f>
        <v>9898.75</v>
      </c>
      <c r="C13" s="396">
        <f t="shared" ref="C13:M13" si="6">C9-C11</f>
        <v>9898.75</v>
      </c>
      <c r="D13" s="396">
        <f t="shared" si="6"/>
        <v>9898.75</v>
      </c>
      <c r="E13" s="396">
        <f t="shared" si="6"/>
        <v>9898.75</v>
      </c>
      <c r="F13" s="396">
        <f t="shared" si="6"/>
        <v>13512.036</v>
      </c>
      <c r="G13" s="396">
        <f t="shared" si="6"/>
        <v>32115.868999999999</v>
      </c>
      <c r="H13" s="396">
        <f t="shared" si="6"/>
        <v>33786.9</v>
      </c>
      <c r="I13" s="396">
        <f t="shared" si="6"/>
        <v>30193.807345660614</v>
      </c>
      <c r="J13" s="396">
        <f t="shared" si="6"/>
        <v>29065.382443441402</v>
      </c>
      <c r="K13" s="396">
        <f t="shared" si="6"/>
        <v>29510.157175453463</v>
      </c>
      <c r="L13" s="396">
        <f t="shared" si="6"/>
        <v>34178.444399992331</v>
      </c>
      <c r="M13" s="396">
        <f t="shared" si="6"/>
        <v>42987.696781930797</v>
      </c>
      <c r="N13" s="396">
        <f>SUM(B13:M13)</f>
        <v>284945.29314647859</v>
      </c>
      <c r="O13" s="396">
        <f>O9-O11</f>
        <v>52368.069971780613</v>
      </c>
      <c r="P13" s="396">
        <f t="shared" ref="P13:Z13" si="7">P9-P11</f>
        <v>51980.338734053796</v>
      </c>
      <c r="Q13" s="396">
        <f t="shared" si="7"/>
        <v>50210.551077103701</v>
      </c>
      <c r="R13" s="396">
        <f t="shared" si="7"/>
        <v>49570.594121982998</v>
      </c>
      <c r="S13" s="396">
        <f t="shared" si="7"/>
        <v>50217.107282966077</v>
      </c>
      <c r="T13" s="396">
        <f t="shared" si="7"/>
        <v>50914.511728633894</v>
      </c>
      <c r="U13" s="396">
        <f t="shared" si="7"/>
        <v>51723.679230763919</v>
      </c>
      <c r="V13" s="396">
        <f t="shared" si="7"/>
        <v>51710.393160528671</v>
      </c>
      <c r="W13" s="396">
        <f t="shared" si="7"/>
        <v>51957.338360472902</v>
      </c>
      <c r="X13" s="396">
        <f t="shared" si="7"/>
        <v>51937.095026049246</v>
      </c>
      <c r="Y13" s="396">
        <f t="shared" si="7"/>
        <v>49624.254067967529</v>
      </c>
      <c r="Z13" s="396">
        <f t="shared" si="7"/>
        <v>23304.014014537839</v>
      </c>
      <c r="AA13" s="396">
        <f>SUM(O13:Z13)</f>
        <v>585517.94677684119</v>
      </c>
      <c r="AB13" s="396">
        <f>AB9-AB11</f>
        <v>35937.366937369814</v>
      </c>
      <c r="AC13" s="396">
        <f t="shared" ref="AC13:AM13" si="8">AC9-AC11</f>
        <v>32276.51876647873</v>
      </c>
      <c r="AD13" s="396">
        <f t="shared" si="8"/>
        <v>32625.733461101634</v>
      </c>
      <c r="AE13" s="396">
        <f t="shared" si="8"/>
        <v>32779.581781606706</v>
      </c>
      <c r="AF13" s="396">
        <f t="shared" si="8"/>
        <v>38324.956292804571</v>
      </c>
      <c r="AG13" s="396">
        <f t="shared" si="8"/>
        <v>38109.535650375772</v>
      </c>
      <c r="AH13" s="396">
        <f t="shared" si="8"/>
        <v>45333.774575069714</v>
      </c>
      <c r="AI13" s="396">
        <f t="shared" si="8"/>
        <v>30337.858031262236</v>
      </c>
      <c r="AJ13" s="396">
        <f t="shared" si="8"/>
        <v>47518.784248733566</v>
      </c>
      <c r="AK13" s="396">
        <f t="shared" si="8"/>
        <v>66187.802116982057</v>
      </c>
      <c r="AL13" s="396">
        <f t="shared" si="8"/>
        <v>48568.606563890135</v>
      </c>
      <c r="AM13" s="396">
        <f t="shared" si="8"/>
        <v>52634.65260096905</v>
      </c>
      <c r="AN13" s="396">
        <f>SUM(AB13:AM13)</f>
        <v>500635.17102664395</v>
      </c>
      <c r="AO13" s="396">
        <f>AO9-AO11</f>
        <v>34165.887875280234</v>
      </c>
      <c r="AP13" s="396">
        <f t="shared" ref="AP13:AZ13" si="9">AP9-AP11</f>
        <v>29815.994646362717</v>
      </c>
      <c r="AQ13" s="396">
        <f t="shared" si="9"/>
        <v>28185.274355322093</v>
      </c>
      <c r="AR13" s="396">
        <f t="shared" si="9"/>
        <v>26731.798437112462</v>
      </c>
      <c r="AS13" s="396">
        <f t="shared" si="9"/>
        <v>37286.550879391885</v>
      </c>
      <c r="AT13" s="396">
        <f t="shared" si="9"/>
        <v>44253.593528670885</v>
      </c>
      <c r="AU13" s="396">
        <f t="shared" si="9"/>
        <v>51253.516144279776</v>
      </c>
      <c r="AV13" s="396">
        <f t="shared" si="9"/>
        <v>53270.773839315727</v>
      </c>
      <c r="AW13" s="396">
        <f t="shared" si="9"/>
        <v>50067.880780638276</v>
      </c>
      <c r="AX13" s="396">
        <f t="shared" si="9"/>
        <v>53305.224258331611</v>
      </c>
      <c r="AY13" s="396">
        <f t="shared" si="9"/>
        <v>41447.820731843625</v>
      </c>
      <c r="AZ13" s="396">
        <f t="shared" si="9"/>
        <v>10493.582524318073</v>
      </c>
      <c r="BA13" s="396">
        <f>SUM(AO13:AZ13)</f>
        <v>460277.89800086734</v>
      </c>
      <c r="BB13" s="396">
        <f>BB9-BB11</f>
        <v>13002.867187658107</v>
      </c>
      <c r="BC13" s="396">
        <f t="shared" ref="BC13:BM13" si="10">BC9-BC11</f>
        <v>-567.52560652839747</v>
      </c>
      <c r="BD13" s="396">
        <f t="shared" si="10"/>
        <v>15519.829968035781</v>
      </c>
      <c r="BE13" s="396">
        <f t="shared" si="10"/>
        <v>25822.144300190084</v>
      </c>
      <c r="BF13" s="396">
        <f t="shared" si="10"/>
        <v>29429.840911592124</v>
      </c>
      <c r="BG13" s="396">
        <f t="shared" si="10"/>
        <v>40658.860292490928</v>
      </c>
      <c r="BH13" s="396">
        <f t="shared" si="10"/>
        <v>46095.512565477286</v>
      </c>
      <c r="BI13" s="396">
        <f t="shared" si="10"/>
        <v>45731.282191549966</v>
      </c>
      <c r="BJ13" s="396">
        <f t="shared" si="10"/>
        <v>45937.99401146781</v>
      </c>
      <c r="BK13" s="396">
        <f t="shared" si="10"/>
        <v>62624.287085310629</v>
      </c>
      <c r="BL13" s="396">
        <f t="shared" si="10"/>
        <v>99176.787862318801</v>
      </c>
      <c r="BM13" s="396">
        <f t="shared" si="10"/>
        <v>55474.113288916276</v>
      </c>
      <c r="BN13" s="396">
        <f>SUM(BB13:BM13)</f>
        <v>478905.99405847944</v>
      </c>
      <c r="BO13" s="396"/>
    </row>
    <row r="14" spans="1:67" x14ac:dyDescent="0.25">
      <c r="A14" s="392" t="s">
        <v>432</v>
      </c>
      <c r="B14" s="396">
        <f>B13</f>
        <v>9898.75</v>
      </c>
      <c r="C14" s="396">
        <f>C13+B14</f>
        <v>19797.5</v>
      </c>
      <c r="D14" s="396">
        <f t="shared" ref="D14:M14" si="11">D13+C14</f>
        <v>29696.25</v>
      </c>
      <c r="E14" s="396">
        <f t="shared" si="11"/>
        <v>39595</v>
      </c>
      <c r="F14" s="396">
        <f t="shared" si="11"/>
        <v>53107.036</v>
      </c>
      <c r="G14" s="396">
        <f t="shared" si="11"/>
        <v>85222.904999999999</v>
      </c>
      <c r="H14" s="396">
        <f t="shared" si="11"/>
        <v>119009.80499999999</v>
      </c>
      <c r="I14" s="396">
        <f t="shared" si="11"/>
        <v>149203.6123456606</v>
      </c>
      <c r="J14" s="396">
        <f t="shared" si="11"/>
        <v>178268.994789102</v>
      </c>
      <c r="K14" s="396">
        <f t="shared" si="11"/>
        <v>207779.15196455547</v>
      </c>
      <c r="L14" s="396">
        <f t="shared" si="11"/>
        <v>241957.59636454779</v>
      </c>
      <c r="M14" s="396">
        <f t="shared" si="11"/>
        <v>284945.29314647859</v>
      </c>
      <c r="N14" s="396">
        <f>M14</f>
        <v>284945.29314647859</v>
      </c>
      <c r="O14" s="396">
        <f t="shared" ref="O14:Z14" si="12">O13+N14</f>
        <v>337313.36311825924</v>
      </c>
      <c r="P14" s="396">
        <f t="shared" si="12"/>
        <v>389293.70185231301</v>
      </c>
      <c r="Q14" s="396">
        <f t="shared" si="12"/>
        <v>439504.25292941672</v>
      </c>
      <c r="R14" s="396">
        <f t="shared" si="12"/>
        <v>489074.8470513997</v>
      </c>
      <c r="S14" s="396">
        <f t="shared" si="12"/>
        <v>539291.95433436579</v>
      </c>
      <c r="T14" s="396">
        <f t="shared" si="12"/>
        <v>590206.46606299968</v>
      </c>
      <c r="U14" s="396">
        <f t="shared" si="12"/>
        <v>641930.14529376361</v>
      </c>
      <c r="V14" s="396">
        <f t="shared" si="12"/>
        <v>693640.53845429223</v>
      </c>
      <c r="W14" s="396">
        <f t="shared" si="12"/>
        <v>745597.87681476516</v>
      </c>
      <c r="X14" s="396">
        <f t="shared" si="12"/>
        <v>797534.97184081445</v>
      </c>
      <c r="Y14" s="396">
        <f t="shared" si="12"/>
        <v>847159.22590878198</v>
      </c>
      <c r="Z14" s="396">
        <f t="shared" si="12"/>
        <v>870463.23992331978</v>
      </c>
      <c r="AA14" s="396">
        <f>Z14</f>
        <v>870463.23992331978</v>
      </c>
      <c r="AB14" s="396">
        <f t="shared" ref="AB14:AM14" si="13">AB13+AA14</f>
        <v>906400.60686068959</v>
      </c>
      <c r="AC14" s="396">
        <f t="shared" si="13"/>
        <v>938677.12562716834</v>
      </c>
      <c r="AD14" s="396">
        <f t="shared" si="13"/>
        <v>971302.85908826999</v>
      </c>
      <c r="AE14" s="396">
        <f t="shared" si="13"/>
        <v>1004082.4408698766</v>
      </c>
      <c r="AF14" s="396">
        <f t="shared" si="13"/>
        <v>1042407.3971626812</v>
      </c>
      <c r="AG14" s="396">
        <f t="shared" si="13"/>
        <v>1080516.932813057</v>
      </c>
      <c r="AH14" s="396">
        <f t="shared" si="13"/>
        <v>1125850.7073881268</v>
      </c>
      <c r="AI14" s="396">
        <f t="shared" si="13"/>
        <v>1156188.5654193889</v>
      </c>
      <c r="AJ14" s="396">
        <f t="shared" si="13"/>
        <v>1203707.3496681226</v>
      </c>
      <c r="AK14" s="396">
        <f t="shared" si="13"/>
        <v>1269895.1517851045</v>
      </c>
      <c r="AL14" s="396">
        <f t="shared" si="13"/>
        <v>1318463.7583489947</v>
      </c>
      <c r="AM14" s="396">
        <f t="shared" si="13"/>
        <v>1371098.4109499636</v>
      </c>
      <c r="AN14" s="396">
        <f>AM14</f>
        <v>1371098.4109499636</v>
      </c>
      <c r="AO14" s="396">
        <f t="shared" ref="AO14:AZ14" si="14">AO13+AN14</f>
        <v>1405264.298825244</v>
      </c>
      <c r="AP14" s="396">
        <f t="shared" si="14"/>
        <v>1435080.2934716067</v>
      </c>
      <c r="AQ14" s="396">
        <f t="shared" si="14"/>
        <v>1463265.5678269288</v>
      </c>
      <c r="AR14" s="396">
        <f t="shared" si="14"/>
        <v>1489997.3662640413</v>
      </c>
      <c r="AS14" s="396">
        <f t="shared" si="14"/>
        <v>1527283.9171434331</v>
      </c>
      <c r="AT14" s="396">
        <f t="shared" si="14"/>
        <v>1571537.5106721041</v>
      </c>
      <c r="AU14" s="396">
        <f t="shared" si="14"/>
        <v>1622791.0268163839</v>
      </c>
      <c r="AV14" s="396">
        <f t="shared" si="14"/>
        <v>1676061.8006556996</v>
      </c>
      <c r="AW14" s="396">
        <f t="shared" si="14"/>
        <v>1726129.6814363378</v>
      </c>
      <c r="AX14" s="396">
        <f t="shared" si="14"/>
        <v>1779434.9056946693</v>
      </c>
      <c r="AY14" s="396">
        <f t="shared" si="14"/>
        <v>1820882.7264265129</v>
      </c>
      <c r="AZ14" s="396">
        <f t="shared" si="14"/>
        <v>1831376.3089508309</v>
      </c>
      <c r="BA14" s="396">
        <f>AZ14</f>
        <v>1831376.3089508309</v>
      </c>
      <c r="BB14" s="396">
        <f t="shared" ref="BB14:BM14" si="15">BB13+BA14</f>
        <v>1844379.176138489</v>
      </c>
      <c r="BC14" s="396">
        <f t="shared" si="15"/>
        <v>1843811.6505319607</v>
      </c>
      <c r="BD14" s="396">
        <f t="shared" si="15"/>
        <v>1859331.4804999963</v>
      </c>
      <c r="BE14" s="396">
        <f t="shared" si="15"/>
        <v>1885153.6248001864</v>
      </c>
      <c r="BF14" s="396">
        <f t="shared" si="15"/>
        <v>1914583.4657117785</v>
      </c>
      <c r="BG14" s="396">
        <f t="shared" si="15"/>
        <v>1955242.3260042695</v>
      </c>
      <c r="BH14" s="396">
        <f t="shared" si="15"/>
        <v>2001337.8385697468</v>
      </c>
      <c r="BI14" s="396">
        <f t="shared" si="15"/>
        <v>2047069.1207612967</v>
      </c>
      <c r="BJ14" s="396">
        <f t="shared" si="15"/>
        <v>2093007.1147727645</v>
      </c>
      <c r="BK14" s="396">
        <f t="shared" si="15"/>
        <v>2155631.4018580751</v>
      </c>
      <c r="BL14" s="396">
        <f t="shared" si="15"/>
        <v>2254808.1897203941</v>
      </c>
      <c r="BM14" s="396">
        <f t="shared" si="15"/>
        <v>2310282.3030093103</v>
      </c>
      <c r="BN14" s="396">
        <f>BM14</f>
        <v>2310282.3030093103</v>
      </c>
      <c r="BO14" s="396"/>
    </row>
    <row r="15" spans="1:67" x14ac:dyDescent="0.25">
      <c r="A15" s="392"/>
      <c r="B15" s="397"/>
      <c r="C15" s="397"/>
      <c r="D15" s="397"/>
      <c r="E15" s="397"/>
      <c r="F15" s="397"/>
      <c r="G15" s="397"/>
      <c r="H15" s="397"/>
      <c r="I15" s="397"/>
      <c r="J15" s="397"/>
      <c r="K15" s="397"/>
      <c r="L15" s="397"/>
      <c r="M15" s="397"/>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7"/>
      <c r="AK15" s="397"/>
      <c r="AL15" s="397"/>
      <c r="AM15" s="397"/>
      <c r="AN15" s="397"/>
      <c r="AO15" s="397"/>
      <c r="AP15" s="397"/>
      <c r="AQ15" s="397"/>
      <c r="AR15" s="397"/>
      <c r="AS15" s="397"/>
      <c r="AT15" s="397"/>
      <c r="AU15" s="397"/>
      <c r="AV15" s="397"/>
      <c r="AW15" s="397"/>
      <c r="AX15" s="397"/>
      <c r="AY15" s="397"/>
      <c r="AZ15" s="397"/>
      <c r="BA15" s="397"/>
      <c r="BB15" s="397"/>
      <c r="BC15" s="397"/>
      <c r="BD15" s="397"/>
      <c r="BE15" s="397"/>
      <c r="BF15" s="397"/>
      <c r="BG15" s="397"/>
      <c r="BH15" s="397"/>
      <c r="BI15" s="397"/>
      <c r="BJ15" s="397"/>
      <c r="BK15" s="397"/>
      <c r="BL15" s="397"/>
      <c r="BM15" s="397"/>
      <c r="BN15" s="397"/>
      <c r="BO15" s="397"/>
    </row>
    <row r="16" spans="1:67" x14ac:dyDescent="0.25">
      <c r="A16" s="392" t="s">
        <v>433</v>
      </c>
      <c r="B16" s="396">
        <v>0</v>
      </c>
      <c r="C16" s="396">
        <f>B14*C18/12</f>
        <v>17.982729166666669</v>
      </c>
      <c r="D16" s="396">
        <f t="shared" ref="D16:BM16" si="16">C14*D18/12</f>
        <v>35.965458333333338</v>
      </c>
      <c r="E16" s="396">
        <f t="shared" si="16"/>
        <v>53.948187499999996</v>
      </c>
      <c r="F16" s="396">
        <f t="shared" si="16"/>
        <v>71.930916666666675</v>
      </c>
      <c r="G16" s="396">
        <f t="shared" si="16"/>
        <v>96.477782066666677</v>
      </c>
      <c r="H16" s="396">
        <f t="shared" si="16"/>
        <v>40.693937137500001</v>
      </c>
      <c r="I16" s="396">
        <f t="shared" si="16"/>
        <v>56.827181887499997</v>
      </c>
      <c r="J16" s="396">
        <f t="shared" si="16"/>
        <v>71.244724895052926</v>
      </c>
      <c r="K16" s="396">
        <f t="shared" si="16"/>
        <v>84.677772524823439</v>
      </c>
      <c r="L16" s="396">
        <f t="shared" si="16"/>
        <v>98.695097183163838</v>
      </c>
      <c r="M16" s="396">
        <f t="shared" si="16"/>
        <v>114.92985827316018</v>
      </c>
      <c r="N16" s="396">
        <f>SUM(B16:M16)</f>
        <v>743.37364563453377</v>
      </c>
      <c r="O16" s="396">
        <f t="shared" si="16"/>
        <v>135.34901424457732</v>
      </c>
      <c r="P16" s="396">
        <f t="shared" si="16"/>
        <v>160.22384748117312</v>
      </c>
      <c r="Q16" s="396">
        <f t="shared" si="16"/>
        <v>184.91450837984868</v>
      </c>
      <c r="R16" s="396">
        <f t="shared" si="16"/>
        <v>208.7645201414729</v>
      </c>
      <c r="S16" s="396">
        <f t="shared" si="16"/>
        <v>232.31055234941482</v>
      </c>
      <c r="T16" s="396">
        <f t="shared" si="16"/>
        <v>256.16367830882371</v>
      </c>
      <c r="U16" s="396">
        <f t="shared" si="16"/>
        <v>280.34807137992482</v>
      </c>
      <c r="V16" s="396">
        <f t="shared" si="16"/>
        <v>304.91681901453768</v>
      </c>
      <c r="W16" s="396">
        <f t="shared" si="16"/>
        <v>329.47925576578876</v>
      </c>
      <c r="X16" s="396">
        <f t="shared" si="16"/>
        <v>354.15899148701345</v>
      </c>
      <c r="Y16" s="396">
        <f t="shared" si="16"/>
        <v>378.82911162438683</v>
      </c>
      <c r="Z16" s="396">
        <f t="shared" si="16"/>
        <v>402.40063230667141</v>
      </c>
      <c r="AA16" s="396">
        <f>SUM(O16:Z16)</f>
        <v>3227.859002483633</v>
      </c>
      <c r="AB16" s="396">
        <f t="shared" si="16"/>
        <v>413.47003896357683</v>
      </c>
      <c r="AC16" s="396">
        <f t="shared" si="16"/>
        <v>430.5402882588275</v>
      </c>
      <c r="AD16" s="396">
        <f t="shared" si="16"/>
        <v>445.87163467290492</v>
      </c>
      <c r="AE16" s="396">
        <f t="shared" si="16"/>
        <v>825.60743022502959</v>
      </c>
      <c r="AF16" s="396">
        <f t="shared" si="16"/>
        <v>853.47007473939527</v>
      </c>
      <c r="AG16" s="396">
        <f t="shared" si="16"/>
        <v>886.04628758827903</v>
      </c>
      <c r="AH16" s="396">
        <f t="shared" si="16"/>
        <v>1980.9477101572713</v>
      </c>
      <c r="AI16" s="396">
        <f t="shared" si="16"/>
        <v>2064.0596302115659</v>
      </c>
      <c r="AJ16" s="396">
        <f t="shared" si="16"/>
        <v>2119.6790366022133</v>
      </c>
      <c r="AK16" s="396">
        <f t="shared" si="16"/>
        <v>3881.9562026796953</v>
      </c>
      <c r="AL16" s="396">
        <f t="shared" si="16"/>
        <v>4095.4118645069616</v>
      </c>
      <c r="AM16" s="396">
        <f t="shared" si="16"/>
        <v>4252.0456206755071</v>
      </c>
      <c r="AN16" s="396">
        <f>SUM(AB16:AM16)</f>
        <v>22249.105819281227</v>
      </c>
      <c r="AO16" s="396">
        <f t="shared" si="16"/>
        <v>5404.4129031611074</v>
      </c>
      <c r="AP16" s="396">
        <f t="shared" si="16"/>
        <v>5539.0834445361697</v>
      </c>
      <c r="AQ16" s="396">
        <f t="shared" si="16"/>
        <v>5656.6081567672491</v>
      </c>
      <c r="AR16" s="396">
        <f t="shared" si="16"/>
        <v>6072.5521064817549</v>
      </c>
      <c r="AS16" s="396">
        <f t="shared" si="16"/>
        <v>6183.4890699957723</v>
      </c>
      <c r="AT16" s="396">
        <f t="shared" si="16"/>
        <v>6338.2282561452485</v>
      </c>
      <c r="AU16" s="396">
        <f t="shared" si="16"/>
        <v>6521.8806692892322</v>
      </c>
      <c r="AV16" s="396">
        <f t="shared" si="16"/>
        <v>6734.5827612879939</v>
      </c>
      <c r="AW16" s="396">
        <f t="shared" si="16"/>
        <v>6955.6564727211544</v>
      </c>
      <c r="AX16" s="396">
        <f t="shared" si="16"/>
        <v>7897.0432925712457</v>
      </c>
      <c r="AY16" s="396">
        <f t="shared" si="16"/>
        <v>8140.9146935531135</v>
      </c>
      <c r="AZ16" s="396">
        <f t="shared" si="16"/>
        <v>8330.5384734012969</v>
      </c>
      <c r="BA16" s="396">
        <f>SUM(AO16:AZ16)</f>
        <v>79774.990299911326</v>
      </c>
      <c r="BB16" s="396">
        <f t="shared" si="16"/>
        <v>8378.5466134500512</v>
      </c>
      <c r="BC16" s="396">
        <f t="shared" si="16"/>
        <v>8438.0347308335877</v>
      </c>
      <c r="BD16" s="396">
        <f t="shared" si="16"/>
        <v>8435.4383011837217</v>
      </c>
      <c r="BE16" s="396">
        <f t="shared" si="16"/>
        <v>8506.4415232874835</v>
      </c>
      <c r="BF16" s="396">
        <f t="shared" si="16"/>
        <v>8624.5778334608531</v>
      </c>
      <c r="BG16" s="396">
        <f t="shared" si="16"/>
        <v>8759.2193556313869</v>
      </c>
      <c r="BH16" s="396">
        <f t="shared" si="16"/>
        <v>8472.7167460185028</v>
      </c>
      <c r="BI16" s="396">
        <f t="shared" si="16"/>
        <v>8672.4639671355708</v>
      </c>
      <c r="BJ16" s="396">
        <f t="shared" si="16"/>
        <v>8870.6328566322863</v>
      </c>
      <c r="BK16" s="396">
        <f t="shared" si="16"/>
        <v>7681.3361112160455</v>
      </c>
      <c r="BL16" s="396">
        <f t="shared" si="16"/>
        <v>7911.1672448191348</v>
      </c>
      <c r="BM16" s="396">
        <f t="shared" si="16"/>
        <v>8275.1460562738448</v>
      </c>
      <c r="BN16" s="396">
        <f>SUM(BB16:BM16)</f>
        <v>101025.72133994248</v>
      </c>
      <c r="BO16" s="396">
        <f>BN14*BO18</f>
        <v>72918.285188731359</v>
      </c>
    </row>
    <row r="17" spans="1:67" x14ac:dyDescent="0.25">
      <c r="A17" s="392" t="s">
        <v>437</v>
      </c>
      <c r="B17" s="396">
        <f>B16</f>
        <v>0</v>
      </c>
      <c r="C17" s="396">
        <f>C16+B17</f>
        <v>17.982729166666669</v>
      </c>
      <c r="D17" s="396">
        <f t="shared" ref="D17:M17" si="17">D16+C17</f>
        <v>53.948187500000003</v>
      </c>
      <c r="E17" s="396">
        <f t="shared" si="17"/>
        <v>107.89637500000001</v>
      </c>
      <c r="F17" s="396">
        <f t="shared" si="17"/>
        <v>179.82729166666667</v>
      </c>
      <c r="G17" s="396">
        <f t="shared" si="17"/>
        <v>276.30507373333336</v>
      </c>
      <c r="H17" s="396">
        <f t="shared" si="17"/>
        <v>316.99901087083333</v>
      </c>
      <c r="I17" s="396">
        <f t="shared" si="17"/>
        <v>373.82619275833332</v>
      </c>
      <c r="J17" s="396">
        <f t="shared" si="17"/>
        <v>445.07091765338623</v>
      </c>
      <c r="K17" s="396">
        <f t="shared" si="17"/>
        <v>529.7486901782097</v>
      </c>
      <c r="L17" s="396">
        <f t="shared" si="17"/>
        <v>628.44378736137355</v>
      </c>
      <c r="M17" s="396">
        <f t="shared" si="17"/>
        <v>743.37364563453377</v>
      </c>
      <c r="N17" s="396">
        <f>M17</f>
        <v>743.37364563453377</v>
      </c>
      <c r="O17" s="396">
        <f t="shared" ref="O17:Z17" si="18">O16+N17</f>
        <v>878.72265987911112</v>
      </c>
      <c r="P17" s="396">
        <f t="shared" si="18"/>
        <v>1038.9465073602842</v>
      </c>
      <c r="Q17" s="396">
        <f t="shared" si="18"/>
        <v>1223.8610157401329</v>
      </c>
      <c r="R17" s="396">
        <f t="shared" si="18"/>
        <v>1432.6255358816059</v>
      </c>
      <c r="S17" s="396">
        <f t="shared" si="18"/>
        <v>1664.9360882310207</v>
      </c>
      <c r="T17" s="396">
        <f t="shared" si="18"/>
        <v>1921.0997665398445</v>
      </c>
      <c r="U17" s="396">
        <f t="shared" si="18"/>
        <v>2201.4478379197694</v>
      </c>
      <c r="V17" s="396">
        <f t="shared" si="18"/>
        <v>2506.3646569343073</v>
      </c>
      <c r="W17" s="396">
        <f t="shared" si="18"/>
        <v>2835.8439127000961</v>
      </c>
      <c r="X17" s="396">
        <f t="shared" si="18"/>
        <v>3190.0029041871094</v>
      </c>
      <c r="Y17" s="396">
        <f t="shared" si="18"/>
        <v>3568.8320158114961</v>
      </c>
      <c r="Z17" s="396">
        <f t="shared" si="18"/>
        <v>3971.2326481181676</v>
      </c>
      <c r="AA17" s="396">
        <f>Z17</f>
        <v>3971.2326481181676</v>
      </c>
      <c r="AB17" s="396">
        <f t="shared" ref="AB17:AM17" si="19">AB16+AA17</f>
        <v>4384.7026870817444</v>
      </c>
      <c r="AC17" s="396">
        <f t="shared" si="19"/>
        <v>4815.2429753405722</v>
      </c>
      <c r="AD17" s="396">
        <f t="shared" si="19"/>
        <v>5261.1146100134774</v>
      </c>
      <c r="AE17" s="396">
        <f t="shared" si="19"/>
        <v>6086.7220402385074</v>
      </c>
      <c r="AF17" s="396">
        <f t="shared" si="19"/>
        <v>6940.1921149779027</v>
      </c>
      <c r="AG17" s="396">
        <f t="shared" si="19"/>
        <v>7826.2384025661813</v>
      </c>
      <c r="AH17" s="396">
        <f t="shared" si="19"/>
        <v>9807.1861127234533</v>
      </c>
      <c r="AI17" s="396">
        <f t="shared" si="19"/>
        <v>11871.24574293502</v>
      </c>
      <c r="AJ17" s="396">
        <f t="shared" si="19"/>
        <v>13990.924779537232</v>
      </c>
      <c r="AK17" s="396">
        <f t="shared" si="19"/>
        <v>17872.880982216928</v>
      </c>
      <c r="AL17" s="396">
        <f t="shared" si="19"/>
        <v>21968.292846723889</v>
      </c>
      <c r="AM17" s="396">
        <f t="shared" si="19"/>
        <v>26220.338467399397</v>
      </c>
      <c r="AN17" s="396">
        <f>AM17</f>
        <v>26220.338467399397</v>
      </c>
      <c r="AO17" s="396">
        <f t="shared" ref="AO17:AZ17" si="20">AO16+AN17</f>
        <v>31624.751370560505</v>
      </c>
      <c r="AP17" s="396">
        <f t="shared" si="20"/>
        <v>37163.834815096678</v>
      </c>
      <c r="AQ17" s="396">
        <f t="shared" si="20"/>
        <v>42820.442971863929</v>
      </c>
      <c r="AR17" s="396">
        <f t="shared" si="20"/>
        <v>48892.995078345688</v>
      </c>
      <c r="AS17" s="396">
        <f t="shared" si="20"/>
        <v>55076.484148341464</v>
      </c>
      <c r="AT17" s="396">
        <f t="shared" si="20"/>
        <v>61414.712404486709</v>
      </c>
      <c r="AU17" s="396">
        <f t="shared" si="20"/>
        <v>67936.593073775934</v>
      </c>
      <c r="AV17" s="396">
        <f t="shared" si="20"/>
        <v>74671.175835063928</v>
      </c>
      <c r="AW17" s="396">
        <f t="shared" si="20"/>
        <v>81626.83230778508</v>
      </c>
      <c r="AX17" s="396">
        <f t="shared" si="20"/>
        <v>89523.875600356332</v>
      </c>
      <c r="AY17" s="396">
        <f t="shared" si="20"/>
        <v>97664.790293909449</v>
      </c>
      <c r="AZ17" s="396">
        <f t="shared" si="20"/>
        <v>105995.32876731074</v>
      </c>
      <c r="BA17" s="396">
        <f>AZ17</f>
        <v>105995.32876731074</v>
      </c>
      <c r="BB17" s="396">
        <f t="shared" ref="BB17:BM17" si="21">BB16+BA17</f>
        <v>114373.87538076079</v>
      </c>
      <c r="BC17" s="396">
        <f t="shared" si="21"/>
        <v>122811.91011159438</v>
      </c>
      <c r="BD17" s="396">
        <f t="shared" si="21"/>
        <v>131247.34841277811</v>
      </c>
      <c r="BE17" s="396">
        <f t="shared" si="21"/>
        <v>139753.78993606559</v>
      </c>
      <c r="BF17" s="396">
        <f t="shared" si="21"/>
        <v>148378.36776952643</v>
      </c>
      <c r="BG17" s="396">
        <f t="shared" si="21"/>
        <v>157137.58712515782</v>
      </c>
      <c r="BH17" s="396">
        <f t="shared" si="21"/>
        <v>165610.30387117632</v>
      </c>
      <c r="BI17" s="396">
        <f t="shared" si="21"/>
        <v>174282.76783831191</v>
      </c>
      <c r="BJ17" s="396">
        <f t="shared" si="21"/>
        <v>183153.4006949442</v>
      </c>
      <c r="BK17" s="396">
        <f t="shared" si="21"/>
        <v>190834.73680616025</v>
      </c>
      <c r="BL17" s="396">
        <f t="shared" si="21"/>
        <v>198745.90405097938</v>
      </c>
      <c r="BM17" s="396">
        <f t="shared" si="21"/>
        <v>207021.05010725322</v>
      </c>
      <c r="BN17" s="396">
        <f>BM17</f>
        <v>207021.05010725322</v>
      </c>
      <c r="BO17" s="396">
        <f>BN17</f>
        <v>207021.05010725322</v>
      </c>
    </row>
    <row r="18" spans="1:67" x14ac:dyDescent="0.25">
      <c r="A18" s="392" t="s">
        <v>434</v>
      </c>
      <c r="B18" s="398">
        <f>Staff7_TVA!B18</f>
        <v>2.18E-2</v>
      </c>
      <c r="C18" s="398">
        <f>Staff7_TVA!C18</f>
        <v>2.18E-2</v>
      </c>
      <c r="D18" s="398">
        <f>Staff7_TVA!D18</f>
        <v>2.18E-2</v>
      </c>
      <c r="E18" s="398">
        <f>Staff7_TVA!E18</f>
        <v>2.18E-2</v>
      </c>
      <c r="F18" s="398">
        <f>Staff7_TVA!F18</f>
        <v>2.18E-2</v>
      </c>
      <c r="G18" s="398">
        <f>Staff7_TVA!G18</f>
        <v>2.18E-2</v>
      </c>
      <c r="H18" s="398">
        <f>Staff7_TVA!H18</f>
        <v>5.7299999999999999E-3</v>
      </c>
      <c r="I18" s="398">
        <f>Staff7_TVA!I18</f>
        <v>5.7299999999999999E-3</v>
      </c>
      <c r="J18" s="398">
        <f>Staff7_TVA!J18</f>
        <v>5.7299999999999999E-3</v>
      </c>
      <c r="K18" s="398">
        <f>Staff7_TVA!K18</f>
        <v>5.6999999999999993E-3</v>
      </c>
      <c r="L18" s="398">
        <f>Staff7_TVA!L18</f>
        <v>5.6999999999999993E-3</v>
      </c>
      <c r="M18" s="398">
        <f>Staff7_TVA!M18</f>
        <v>5.6999999999999993E-3</v>
      </c>
      <c r="N18" s="398"/>
      <c r="O18" s="398">
        <f>Staff7_TVA!O18</f>
        <v>5.6999999999999993E-3</v>
      </c>
      <c r="P18" s="398">
        <f>Staff7_TVA!P18</f>
        <v>5.6999999999999993E-3</v>
      </c>
      <c r="Q18" s="398">
        <f>Staff7_TVA!Q18</f>
        <v>5.6999999999999993E-3</v>
      </c>
      <c r="R18" s="398">
        <f>Staff7_TVA!R18</f>
        <v>5.6999999999999993E-3</v>
      </c>
      <c r="S18" s="398">
        <f>Staff7_TVA!S18</f>
        <v>5.6999999999999993E-3</v>
      </c>
      <c r="T18" s="398">
        <f>Staff7_TVA!T18</f>
        <v>5.6999999999999993E-3</v>
      </c>
      <c r="U18" s="398">
        <f>Staff7_TVA!U18</f>
        <v>5.6999999999999993E-3</v>
      </c>
      <c r="V18" s="398">
        <f>Staff7_TVA!V18</f>
        <v>5.6999999999999993E-3</v>
      </c>
      <c r="W18" s="398">
        <f>Staff7_TVA!W18</f>
        <v>5.6999999999999993E-3</v>
      </c>
      <c r="X18" s="398">
        <f>Staff7_TVA!X18</f>
        <v>5.6999999999999993E-3</v>
      </c>
      <c r="Y18" s="398">
        <f>Staff7_TVA!Y18</f>
        <v>5.6999999999999993E-3</v>
      </c>
      <c r="Z18" s="398">
        <f>Staff7_TVA!Z18</f>
        <v>5.6999999999999993E-3</v>
      </c>
      <c r="AA18" s="398"/>
      <c r="AB18" s="398">
        <f>Staff7_TVA!AB18</f>
        <v>5.6999999999999993E-3</v>
      </c>
      <c r="AC18" s="398">
        <f>Staff7_TVA!AC18</f>
        <v>5.6999999999999993E-3</v>
      </c>
      <c r="AD18" s="398">
        <f>Staff7_TVA!AD18</f>
        <v>5.6999999999999993E-3</v>
      </c>
      <c r="AE18" s="398">
        <f>Staff7_TVA!AE18</f>
        <v>1.0200000000000001E-2</v>
      </c>
      <c r="AF18" s="398">
        <f>Staff7_TVA!AF18</f>
        <v>1.0200000000000001E-2</v>
      </c>
      <c r="AG18" s="398">
        <f>Staff7_TVA!AG18</f>
        <v>1.0200000000000001E-2</v>
      </c>
      <c r="AH18" s="398">
        <f>Staff7_TVA!AH18</f>
        <v>2.2000000000000002E-2</v>
      </c>
      <c r="AI18" s="398">
        <f>Staff7_TVA!AI18</f>
        <v>2.2000000000000002E-2</v>
      </c>
      <c r="AJ18" s="398">
        <f>Staff7_TVA!AJ18</f>
        <v>2.2000000000000002E-2</v>
      </c>
      <c r="AK18" s="398">
        <f>Staff7_TVA!AK18</f>
        <v>3.8699999999999998E-2</v>
      </c>
      <c r="AL18" s="398">
        <f>Staff7_TVA!AL18</f>
        <v>3.8699999999999998E-2</v>
      </c>
      <c r="AM18" s="398">
        <f>Staff7_TVA!AM18</f>
        <v>3.8699999999999998E-2</v>
      </c>
      <c r="AN18" s="398"/>
      <c r="AO18" s="398">
        <f>Staff7_TVA!AO18</f>
        <v>4.7300000000000002E-2</v>
      </c>
      <c r="AP18" s="398">
        <f>Staff7_TVA!AP18</f>
        <v>4.7300000000000002E-2</v>
      </c>
      <c r="AQ18" s="398">
        <f>Staff7_TVA!AQ18</f>
        <v>4.7300000000000002E-2</v>
      </c>
      <c r="AR18" s="398">
        <f>Staff7_TVA!AR18</f>
        <v>4.9800000000000004E-2</v>
      </c>
      <c r="AS18" s="398">
        <f>Staff7_TVA!AS18</f>
        <v>4.9800000000000004E-2</v>
      </c>
      <c r="AT18" s="398">
        <f>Staff7_TVA!AT18</f>
        <v>4.9800000000000004E-2</v>
      </c>
      <c r="AU18" s="398">
        <f>Staff7_TVA!AU18</f>
        <v>4.9800000000000004E-2</v>
      </c>
      <c r="AV18" s="398">
        <f>Staff7_TVA!AV18</f>
        <v>4.9800000000000004E-2</v>
      </c>
      <c r="AW18" s="398">
        <f>Staff7_TVA!AW18</f>
        <v>4.9800000000000004E-2</v>
      </c>
      <c r="AX18" s="398">
        <f>Staff7_TVA!AX18</f>
        <v>5.4900000000000004E-2</v>
      </c>
      <c r="AY18" s="398">
        <f>Staff7_TVA!AY18</f>
        <v>5.4900000000000004E-2</v>
      </c>
      <c r="AZ18" s="398">
        <f>Staff7_TVA!AZ18</f>
        <v>5.4900000000000004E-2</v>
      </c>
      <c r="BA18" s="398"/>
      <c r="BB18" s="398">
        <f>Staff7_TVA!BB18</f>
        <v>5.4900000000000004E-2</v>
      </c>
      <c r="BC18" s="398">
        <f>Staff7_TVA!BC18</f>
        <v>5.4900000000000004E-2</v>
      </c>
      <c r="BD18" s="398">
        <f>Staff7_TVA!BD18</f>
        <v>5.4900000000000004E-2</v>
      </c>
      <c r="BE18" s="398">
        <f>Staff7_TVA!BE18</f>
        <v>5.4900000000000004E-2</v>
      </c>
      <c r="BF18" s="398">
        <f>Staff7_TVA!BF18</f>
        <v>5.4900000000000004E-2</v>
      </c>
      <c r="BG18" s="398">
        <f>Staff7_TVA!BG18</f>
        <v>5.4900000000000004E-2</v>
      </c>
      <c r="BH18" s="398">
        <f>Staff7_TVA!BH18</f>
        <v>5.2000000000000005E-2</v>
      </c>
      <c r="BI18" s="398">
        <f>Staff7_TVA!BI18</f>
        <v>5.2000000000000005E-2</v>
      </c>
      <c r="BJ18" s="398">
        <f>Staff7_TVA!BJ18</f>
        <v>5.2000000000000005E-2</v>
      </c>
      <c r="BK18" s="398">
        <f>Staff7_TVA!BK18</f>
        <v>4.4039999999999996E-2</v>
      </c>
      <c r="BL18" s="398">
        <f>Staff7_TVA!BL18</f>
        <v>4.4039999999999996E-2</v>
      </c>
      <c r="BM18" s="398">
        <f>Staff7_TVA!BM18</f>
        <v>4.4039999999999996E-2</v>
      </c>
      <c r="BN18" s="397"/>
      <c r="BO18" s="398">
        <f>Staff7_TVA!BO18</f>
        <v>3.15625E-2</v>
      </c>
    </row>
    <row r="19" spans="1:67" x14ac:dyDescent="0.25">
      <c r="A19" s="392"/>
      <c r="B19" s="397"/>
      <c r="C19" s="397"/>
      <c r="D19" s="397"/>
      <c r="E19" s="397"/>
      <c r="F19" s="397"/>
      <c r="G19" s="397"/>
      <c r="H19" s="397"/>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397"/>
      <c r="AM19" s="397"/>
      <c r="AN19" s="397"/>
      <c r="AO19" s="397"/>
      <c r="AP19" s="397"/>
      <c r="AQ19" s="397"/>
      <c r="AR19" s="397"/>
      <c r="AS19" s="397"/>
      <c r="AT19" s="397"/>
      <c r="AU19" s="397"/>
      <c r="AV19" s="397"/>
      <c r="AW19" s="397"/>
      <c r="AX19" s="397"/>
      <c r="AY19" s="397"/>
      <c r="AZ19" s="397"/>
      <c r="BA19" s="397"/>
      <c r="BB19" s="397"/>
      <c r="BC19" s="397"/>
      <c r="BD19" s="397"/>
      <c r="BE19" s="397"/>
      <c r="BF19" s="397"/>
      <c r="BG19" s="397"/>
      <c r="BH19" s="397"/>
      <c r="BI19" s="397"/>
      <c r="BJ19" s="397"/>
      <c r="BK19" s="397"/>
      <c r="BL19" s="397"/>
      <c r="BM19" s="397"/>
      <c r="BN19" s="397"/>
      <c r="BO19" s="397"/>
    </row>
    <row r="20" spans="1:67" s="315" customFormat="1" x14ac:dyDescent="0.25">
      <c r="A20" s="392" t="s">
        <v>447</v>
      </c>
      <c r="B20" s="400">
        <f>B13+B16</f>
        <v>9898.75</v>
      </c>
      <c r="C20" s="400">
        <f t="shared" ref="C20:N20" si="22">C13+C16</f>
        <v>9916.7327291666661</v>
      </c>
      <c r="D20" s="400">
        <f t="shared" si="22"/>
        <v>9934.715458333334</v>
      </c>
      <c r="E20" s="400">
        <f t="shared" si="22"/>
        <v>9952.6981875000001</v>
      </c>
      <c r="F20" s="400">
        <f t="shared" si="22"/>
        <v>13583.966916666666</v>
      </c>
      <c r="G20" s="400">
        <f t="shared" si="22"/>
        <v>32212.346782066666</v>
      </c>
      <c r="H20" s="400">
        <f t="shared" si="22"/>
        <v>33827.593937137499</v>
      </c>
      <c r="I20" s="400">
        <f t="shared" si="22"/>
        <v>30250.634527548114</v>
      </c>
      <c r="J20" s="400">
        <f t="shared" si="22"/>
        <v>29136.627168336454</v>
      </c>
      <c r="K20" s="400">
        <f t="shared" si="22"/>
        <v>29594.834947978288</v>
      </c>
      <c r="L20" s="400">
        <f t="shared" si="22"/>
        <v>34277.139497175493</v>
      </c>
      <c r="M20" s="400">
        <f t="shared" si="22"/>
        <v>43102.626640203955</v>
      </c>
      <c r="N20" s="400">
        <f t="shared" si="22"/>
        <v>285688.6667921131</v>
      </c>
      <c r="O20" s="400">
        <f>O13+O16</f>
        <v>52503.418986025194</v>
      </c>
      <c r="P20" s="400">
        <f t="shared" ref="P20:AA20" si="23">P13+P16</f>
        <v>52140.56258153497</v>
      </c>
      <c r="Q20" s="400">
        <f t="shared" si="23"/>
        <v>50395.465585483551</v>
      </c>
      <c r="R20" s="400">
        <f t="shared" si="23"/>
        <v>49779.358642124469</v>
      </c>
      <c r="S20" s="400">
        <f t="shared" si="23"/>
        <v>50449.417835315493</v>
      </c>
      <c r="T20" s="400">
        <f t="shared" si="23"/>
        <v>51170.675406942719</v>
      </c>
      <c r="U20" s="400">
        <f t="shared" si="23"/>
        <v>52004.027302143841</v>
      </c>
      <c r="V20" s="400">
        <f t="shared" si="23"/>
        <v>52015.309979543206</v>
      </c>
      <c r="W20" s="400">
        <f t="shared" si="23"/>
        <v>52286.817616238688</v>
      </c>
      <c r="X20" s="400">
        <f t="shared" si="23"/>
        <v>52291.254017536259</v>
      </c>
      <c r="Y20" s="400">
        <f t="shared" si="23"/>
        <v>50003.083179591915</v>
      </c>
      <c r="Z20" s="400">
        <f t="shared" si="23"/>
        <v>23706.414646844511</v>
      </c>
      <c r="AA20" s="400">
        <f t="shared" si="23"/>
        <v>588745.80577932484</v>
      </c>
      <c r="AB20" s="400">
        <f>AB13+AB16</f>
        <v>36350.83697633339</v>
      </c>
      <c r="AC20" s="400">
        <f t="shared" ref="AC20:AN20" si="24">AC13+AC16</f>
        <v>32707.059054737558</v>
      </c>
      <c r="AD20" s="400">
        <f t="shared" si="24"/>
        <v>33071.605095774539</v>
      </c>
      <c r="AE20" s="400">
        <f t="shared" si="24"/>
        <v>33605.189211831734</v>
      </c>
      <c r="AF20" s="400">
        <f t="shared" si="24"/>
        <v>39178.426367543965</v>
      </c>
      <c r="AG20" s="400">
        <f t="shared" si="24"/>
        <v>38995.581937964052</v>
      </c>
      <c r="AH20" s="400">
        <f t="shared" si="24"/>
        <v>47314.722285226984</v>
      </c>
      <c r="AI20" s="400">
        <f t="shared" si="24"/>
        <v>32401.917661473803</v>
      </c>
      <c r="AJ20" s="400">
        <f t="shared" si="24"/>
        <v>49638.463285335776</v>
      </c>
      <c r="AK20" s="400">
        <f t="shared" si="24"/>
        <v>70069.758319661749</v>
      </c>
      <c r="AL20" s="400">
        <f t="shared" si="24"/>
        <v>52664.018428397096</v>
      </c>
      <c r="AM20" s="400">
        <f t="shared" si="24"/>
        <v>56886.698221644554</v>
      </c>
      <c r="AN20" s="400">
        <f t="shared" si="24"/>
        <v>522884.2768459252</v>
      </c>
      <c r="AO20" s="400">
        <f>AO13+AO16</f>
        <v>39570.300778441342</v>
      </c>
      <c r="AP20" s="400">
        <f t="shared" ref="AP20:BA20" si="25">AP13+AP16</f>
        <v>35355.078090898889</v>
      </c>
      <c r="AQ20" s="400">
        <f t="shared" si="25"/>
        <v>33841.882512089345</v>
      </c>
      <c r="AR20" s="400">
        <f t="shared" si="25"/>
        <v>32804.350543594221</v>
      </c>
      <c r="AS20" s="400">
        <f t="shared" si="25"/>
        <v>43470.039949387661</v>
      </c>
      <c r="AT20" s="400">
        <f t="shared" si="25"/>
        <v>50591.821784816129</v>
      </c>
      <c r="AU20" s="400">
        <f t="shared" si="25"/>
        <v>57775.396813569008</v>
      </c>
      <c r="AV20" s="400">
        <f t="shared" si="25"/>
        <v>60005.356600603722</v>
      </c>
      <c r="AW20" s="400">
        <f t="shared" si="25"/>
        <v>57023.537253359427</v>
      </c>
      <c r="AX20" s="400">
        <f t="shared" si="25"/>
        <v>61202.267550902856</v>
      </c>
      <c r="AY20" s="400">
        <f t="shared" si="25"/>
        <v>49588.735425396735</v>
      </c>
      <c r="AZ20" s="400">
        <f t="shared" si="25"/>
        <v>18824.120997719372</v>
      </c>
      <c r="BA20" s="400">
        <f t="shared" si="25"/>
        <v>540052.88830077869</v>
      </c>
      <c r="BB20" s="400">
        <f>BB13+BB16</f>
        <v>21381.41380110816</v>
      </c>
      <c r="BC20" s="400">
        <f t="shared" ref="BC20:BO20" si="26">BC13+BC16</f>
        <v>7870.5091243051902</v>
      </c>
      <c r="BD20" s="400">
        <f t="shared" si="26"/>
        <v>23955.268269219501</v>
      </c>
      <c r="BE20" s="400">
        <f t="shared" si="26"/>
        <v>34328.585823477566</v>
      </c>
      <c r="BF20" s="400">
        <f t="shared" si="26"/>
        <v>38054.418745052979</v>
      </c>
      <c r="BG20" s="400">
        <f t="shared" si="26"/>
        <v>49418.079648122315</v>
      </c>
      <c r="BH20" s="400">
        <f t="shared" si="26"/>
        <v>54568.229311495787</v>
      </c>
      <c r="BI20" s="400">
        <f t="shared" si="26"/>
        <v>54403.746158685535</v>
      </c>
      <c r="BJ20" s="400">
        <f t="shared" si="26"/>
        <v>54808.626868100095</v>
      </c>
      <c r="BK20" s="400">
        <f t="shared" si="26"/>
        <v>70305.623196526678</v>
      </c>
      <c r="BL20" s="400">
        <f t="shared" si="26"/>
        <v>107087.95510713794</v>
      </c>
      <c r="BM20" s="400">
        <f t="shared" si="26"/>
        <v>63749.259345190119</v>
      </c>
      <c r="BN20" s="400">
        <f t="shared" si="26"/>
        <v>579931.71539842198</v>
      </c>
      <c r="BO20" s="400">
        <f t="shared" si="26"/>
        <v>72918.285188731359</v>
      </c>
    </row>
    <row r="21" spans="1:67" s="315" customFormat="1" x14ac:dyDescent="0.25">
      <c r="A21" s="394" t="s">
        <v>448</v>
      </c>
      <c r="B21" s="409">
        <f>B20</f>
        <v>9898.75</v>
      </c>
      <c r="C21" s="409">
        <f>C20+B21</f>
        <v>19815.482729166666</v>
      </c>
      <c r="D21" s="409">
        <f t="shared" ref="D21:M21" si="27">D20+C21</f>
        <v>29750.198187499998</v>
      </c>
      <c r="E21" s="409">
        <f t="shared" si="27"/>
        <v>39702.896374999997</v>
      </c>
      <c r="F21" s="409">
        <f t="shared" si="27"/>
        <v>53286.863291666661</v>
      </c>
      <c r="G21" s="409">
        <f t="shared" si="27"/>
        <v>85499.210073733324</v>
      </c>
      <c r="H21" s="409">
        <f t="shared" si="27"/>
        <v>119326.80401087082</v>
      </c>
      <c r="I21" s="409">
        <f t="shared" si="27"/>
        <v>149577.43853841894</v>
      </c>
      <c r="J21" s="409">
        <f t="shared" si="27"/>
        <v>178714.06570675538</v>
      </c>
      <c r="K21" s="409">
        <f t="shared" si="27"/>
        <v>208308.90065473368</v>
      </c>
      <c r="L21" s="409">
        <f t="shared" si="27"/>
        <v>242586.04015190917</v>
      </c>
      <c r="M21" s="409">
        <f t="shared" si="27"/>
        <v>285688.6667921131</v>
      </c>
      <c r="N21" s="410">
        <f>M21</f>
        <v>285688.6667921131</v>
      </c>
      <c r="O21" s="409">
        <f t="shared" ref="O21:Z21" si="28">O20+N21</f>
        <v>338192.08577813831</v>
      </c>
      <c r="P21" s="409">
        <f t="shared" si="28"/>
        <v>390332.64835967327</v>
      </c>
      <c r="Q21" s="409">
        <f t="shared" si="28"/>
        <v>440728.1139451568</v>
      </c>
      <c r="R21" s="409">
        <f t="shared" si="28"/>
        <v>490507.47258728126</v>
      </c>
      <c r="S21" s="409">
        <f t="shared" si="28"/>
        <v>540956.89042259671</v>
      </c>
      <c r="T21" s="409">
        <f t="shared" si="28"/>
        <v>592127.56582953944</v>
      </c>
      <c r="U21" s="409">
        <f t="shared" si="28"/>
        <v>644131.5931316833</v>
      </c>
      <c r="V21" s="409">
        <f t="shared" si="28"/>
        <v>696146.90311122651</v>
      </c>
      <c r="W21" s="409">
        <f t="shared" si="28"/>
        <v>748433.72072746523</v>
      </c>
      <c r="X21" s="409">
        <f t="shared" si="28"/>
        <v>800724.97474500153</v>
      </c>
      <c r="Y21" s="409">
        <f t="shared" si="28"/>
        <v>850728.05792459345</v>
      </c>
      <c r="Z21" s="409">
        <f t="shared" si="28"/>
        <v>874434.47257143795</v>
      </c>
      <c r="AA21" s="410">
        <f>Z21</f>
        <v>874434.47257143795</v>
      </c>
      <c r="AB21" s="409">
        <f t="shared" ref="AB21:AM21" si="29">AB20+AA21</f>
        <v>910785.30954777135</v>
      </c>
      <c r="AC21" s="409">
        <f t="shared" si="29"/>
        <v>943492.36860250891</v>
      </c>
      <c r="AD21" s="409">
        <f t="shared" si="29"/>
        <v>976563.97369828343</v>
      </c>
      <c r="AE21" s="409">
        <f t="shared" si="29"/>
        <v>1010169.1629101152</v>
      </c>
      <c r="AF21" s="409">
        <f t="shared" si="29"/>
        <v>1049347.5892776591</v>
      </c>
      <c r="AG21" s="409">
        <f t="shared" si="29"/>
        <v>1088343.1712156232</v>
      </c>
      <c r="AH21" s="409">
        <f t="shared" si="29"/>
        <v>1135657.8935008501</v>
      </c>
      <c r="AI21" s="409">
        <f t="shared" si="29"/>
        <v>1168059.8111623239</v>
      </c>
      <c r="AJ21" s="409">
        <f t="shared" si="29"/>
        <v>1217698.2744476597</v>
      </c>
      <c r="AK21" s="409">
        <f t="shared" si="29"/>
        <v>1287768.0327673214</v>
      </c>
      <c r="AL21" s="409">
        <f t="shared" si="29"/>
        <v>1340432.0511957186</v>
      </c>
      <c r="AM21" s="409">
        <f t="shared" si="29"/>
        <v>1397318.7494173632</v>
      </c>
      <c r="AN21" s="410">
        <f>AM21</f>
        <v>1397318.7494173632</v>
      </c>
      <c r="AO21" s="409">
        <f t="shared" ref="AO21:AZ21" si="30">AO20+AN21</f>
        <v>1436889.0501958046</v>
      </c>
      <c r="AP21" s="409">
        <f t="shared" si="30"/>
        <v>1472244.1282867035</v>
      </c>
      <c r="AQ21" s="409">
        <f t="shared" si="30"/>
        <v>1506086.0107987928</v>
      </c>
      <c r="AR21" s="409">
        <f t="shared" si="30"/>
        <v>1538890.361342387</v>
      </c>
      <c r="AS21" s="409">
        <f t="shared" si="30"/>
        <v>1582360.4012917746</v>
      </c>
      <c r="AT21" s="409">
        <f t="shared" si="30"/>
        <v>1632952.2230765908</v>
      </c>
      <c r="AU21" s="409">
        <f t="shared" si="30"/>
        <v>1690727.6198901599</v>
      </c>
      <c r="AV21" s="409">
        <f t="shared" si="30"/>
        <v>1750732.9764907637</v>
      </c>
      <c r="AW21" s="409">
        <f t="shared" si="30"/>
        <v>1807756.513744123</v>
      </c>
      <c r="AX21" s="409">
        <f t="shared" si="30"/>
        <v>1868958.781295026</v>
      </c>
      <c r="AY21" s="409">
        <f t="shared" si="30"/>
        <v>1918547.5167204228</v>
      </c>
      <c r="AZ21" s="409">
        <f t="shared" si="30"/>
        <v>1937371.6377181422</v>
      </c>
      <c r="BA21" s="410">
        <f>AZ21</f>
        <v>1937371.6377181422</v>
      </c>
      <c r="BB21" s="409">
        <f t="shared" ref="BB21:BM21" si="31">BB20+BA21</f>
        <v>1958753.0515192505</v>
      </c>
      <c r="BC21" s="409">
        <f t="shared" si="31"/>
        <v>1966623.5606435556</v>
      </c>
      <c r="BD21" s="409">
        <f t="shared" si="31"/>
        <v>1990578.828912775</v>
      </c>
      <c r="BE21" s="409">
        <f t="shared" si="31"/>
        <v>2024907.4147362525</v>
      </c>
      <c r="BF21" s="409">
        <f t="shared" si="31"/>
        <v>2062961.8334813055</v>
      </c>
      <c r="BG21" s="409">
        <f t="shared" si="31"/>
        <v>2112379.9131294279</v>
      </c>
      <c r="BH21" s="409">
        <f t="shared" si="31"/>
        <v>2166948.1424409235</v>
      </c>
      <c r="BI21" s="409">
        <f t="shared" si="31"/>
        <v>2221351.888599609</v>
      </c>
      <c r="BJ21" s="409">
        <f t="shared" si="31"/>
        <v>2276160.5154677089</v>
      </c>
      <c r="BK21" s="409">
        <f t="shared" si="31"/>
        <v>2346466.1386642358</v>
      </c>
      <c r="BL21" s="409">
        <f t="shared" si="31"/>
        <v>2453554.0937713739</v>
      </c>
      <c r="BM21" s="409">
        <f t="shared" si="31"/>
        <v>2517303.353116564</v>
      </c>
      <c r="BN21" s="410">
        <f>BM21</f>
        <v>2517303.353116564</v>
      </c>
      <c r="BO21" s="410">
        <f>BN21+BO20</f>
        <v>2590221.6383052953</v>
      </c>
    </row>
    <row r="22" spans="1:67" x14ac:dyDescent="0.25">
      <c r="A22" s="401" t="s">
        <v>439</v>
      </c>
      <c r="B22" s="396"/>
      <c r="C22" s="396"/>
      <c r="D22" s="396"/>
      <c r="E22" s="396"/>
      <c r="F22" s="396"/>
      <c r="G22" s="396"/>
      <c r="H22" s="396"/>
      <c r="I22" s="396"/>
      <c r="J22" s="396"/>
      <c r="K22" s="396"/>
      <c r="L22" s="396"/>
      <c r="M22" s="396"/>
      <c r="N22" s="396"/>
      <c r="O22" s="396"/>
      <c r="P22" s="396"/>
      <c r="Q22" s="396"/>
      <c r="R22" s="396"/>
      <c r="S22" s="396"/>
      <c r="T22" s="396"/>
      <c r="U22" s="396"/>
      <c r="V22" s="396"/>
      <c r="W22" s="396"/>
      <c r="X22" s="396"/>
      <c r="Y22" s="396"/>
      <c r="Z22" s="396"/>
      <c r="AA22" s="396"/>
      <c r="AB22" s="396"/>
      <c r="AC22" s="396"/>
      <c r="AD22" s="396"/>
      <c r="AE22" s="396"/>
      <c r="AF22" s="396"/>
      <c r="AG22" s="396"/>
      <c r="AH22" s="396"/>
      <c r="AI22" s="396"/>
      <c r="AJ22" s="396"/>
      <c r="AK22" s="396"/>
      <c r="AL22" s="396"/>
      <c r="AM22" s="396"/>
      <c r="AN22" s="396"/>
      <c r="AO22" s="396"/>
      <c r="AP22" s="396"/>
      <c r="AQ22" s="396"/>
      <c r="AR22" s="396"/>
      <c r="AS22" s="396"/>
      <c r="AT22" s="396"/>
      <c r="AU22" s="396"/>
      <c r="AV22" s="396"/>
      <c r="AW22" s="396"/>
      <c r="AX22" s="396"/>
      <c r="AY22" s="396"/>
      <c r="AZ22" s="396"/>
      <c r="BA22" s="396"/>
      <c r="BB22" s="396"/>
      <c r="BC22" s="396"/>
      <c r="BD22" s="396"/>
      <c r="BE22" s="396"/>
      <c r="BF22" s="396"/>
      <c r="BG22" s="396"/>
      <c r="BH22" s="396"/>
      <c r="BI22" s="396"/>
      <c r="BJ22" s="396"/>
      <c r="BK22" s="396"/>
      <c r="BL22" s="396"/>
      <c r="BM22" s="396"/>
      <c r="BN22" s="396"/>
      <c r="BO22" s="396"/>
    </row>
    <row r="23" spans="1:67" x14ac:dyDescent="0.25">
      <c r="A23" s="315" t="s">
        <v>418</v>
      </c>
      <c r="B23" s="396">
        <f>('Upstream Recovery'!E128+'Upstream Recovery'!F128)/12*1000*'Upstream Allocation'!$Q$32</f>
        <v>30876.473207613286</v>
      </c>
      <c r="C23" s="396">
        <f>B23</f>
        <v>30876.473207613286</v>
      </c>
      <c r="D23" s="396">
        <f t="shared" ref="D23:M23" si="32">C23</f>
        <v>30876.473207613286</v>
      </c>
      <c r="E23" s="396">
        <f t="shared" si="32"/>
        <v>30876.473207613286</v>
      </c>
      <c r="F23" s="396">
        <f t="shared" si="32"/>
        <v>30876.473207613286</v>
      </c>
      <c r="G23" s="396">
        <f t="shared" si="32"/>
        <v>30876.473207613286</v>
      </c>
      <c r="H23" s="396">
        <f t="shared" si="32"/>
        <v>30876.473207613286</v>
      </c>
      <c r="I23" s="396">
        <f t="shared" si="32"/>
        <v>30876.473207613286</v>
      </c>
      <c r="J23" s="396">
        <f t="shared" si="32"/>
        <v>30876.473207613286</v>
      </c>
      <c r="K23" s="396">
        <f t="shared" si="32"/>
        <v>30876.473207613286</v>
      </c>
      <c r="L23" s="396">
        <f t="shared" si="32"/>
        <v>30876.473207613286</v>
      </c>
      <c r="M23" s="396">
        <f t="shared" si="32"/>
        <v>30876.473207613286</v>
      </c>
      <c r="N23" s="396">
        <f>SUM(B23:M23)</f>
        <v>370517.6784913594</v>
      </c>
      <c r="O23" s="396">
        <f>'Upstream Recovery'!G128/12*1000*'Upstream Allocation'!$Q$32</f>
        <v>20186.359753895824</v>
      </c>
      <c r="P23" s="396">
        <f>O23</f>
        <v>20186.359753895824</v>
      </c>
      <c r="Q23" s="396">
        <f t="shared" ref="Q23:Z23" si="33">P23</f>
        <v>20186.359753895824</v>
      </c>
      <c r="R23" s="396">
        <f t="shared" si="33"/>
        <v>20186.359753895824</v>
      </c>
      <c r="S23" s="396">
        <f t="shared" si="33"/>
        <v>20186.359753895824</v>
      </c>
      <c r="T23" s="396">
        <f t="shared" si="33"/>
        <v>20186.359753895824</v>
      </c>
      <c r="U23" s="396">
        <f t="shared" si="33"/>
        <v>20186.359753895824</v>
      </c>
      <c r="V23" s="396">
        <f t="shared" si="33"/>
        <v>20186.359753895824</v>
      </c>
      <c r="W23" s="396">
        <f t="shared" si="33"/>
        <v>20186.359753895824</v>
      </c>
      <c r="X23" s="396">
        <f t="shared" si="33"/>
        <v>20186.359753895824</v>
      </c>
      <c r="Y23" s="396">
        <f t="shared" si="33"/>
        <v>20186.359753895824</v>
      </c>
      <c r="Z23" s="396">
        <f t="shared" si="33"/>
        <v>20186.359753895824</v>
      </c>
      <c r="AA23" s="396">
        <f>SUM(O23:Z23)</f>
        <v>242236.31704674984</v>
      </c>
      <c r="AB23" s="396">
        <f>'Upstream Recovery'!H128/12*1000*'Upstream Allocation'!$Q$32</f>
        <v>19845.254852884646</v>
      </c>
      <c r="AC23" s="396">
        <f>AB23</f>
        <v>19845.254852884646</v>
      </c>
      <c r="AD23" s="396">
        <f t="shared" ref="AD23:AM23" si="34">AC23</f>
        <v>19845.254852884646</v>
      </c>
      <c r="AE23" s="396">
        <f t="shared" si="34"/>
        <v>19845.254852884646</v>
      </c>
      <c r="AF23" s="396">
        <f t="shared" si="34"/>
        <v>19845.254852884646</v>
      </c>
      <c r="AG23" s="396">
        <f t="shared" si="34"/>
        <v>19845.254852884646</v>
      </c>
      <c r="AH23" s="396">
        <f t="shared" si="34"/>
        <v>19845.254852884646</v>
      </c>
      <c r="AI23" s="396">
        <f t="shared" si="34"/>
        <v>19845.254852884646</v>
      </c>
      <c r="AJ23" s="396">
        <f t="shared" si="34"/>
        <v>19845.254852884646</v>
      </c>
      <c r="AK23" s="396">
        <f t="shared" si="34"/>
        <v>19845.254852884646</v>
      </c>
      <c r="AL23" s="396">
        <f t="shared" si="34"/>
        <v>19845.254852884646</v>
      </c>
      <c r="AM23" s="396">
        <f t="shared" si="34"/>
        <v>19845.254852884646</v>
      </c>
      <c r="AN23" s="396">
        <f>SUM(AB23:AM23)</f>
        <v>238143.0582346158</v>
      </c>
      <c r="AO23" s="396">
        <f>'Upstream Recovery'!I128/12*1000*'Upstream Allocation'!$Q$32</f>
        <v>19504.149951873474</v>
      </c>
      <c r="AP23" s="396">
        <f>AO23</f>
        <v>19504.149951873474</v>
      </c>
      <c r="AQ23" s="396">
        <f t="shared" ref="AQ23:BM23" si="35">AP23</f>
        <v>19504.149951873474</v>
      </c>
      <c r="AR23" s="396">
        <f t="shared" si="35"/>
        <v>19504.149951873474</v>
      </c>
      <c r="AS23" s="396">
        <f t="shared" si="35"/>
        <v>19504.149951873474</v>
      </c>
      <c r="AT23" s="396">
        <f t="shared" si="35"/>
        <v>19504.149951873474</v>
      </c>
      <c r="AU23" s="396">
        <f t="shared" si="35"/>
        <v>19504.149951873474</v>
      </c>
      <c r="AV23" s="396">
        <f t="shared" si="35"/>
        <v>19504.149951873474</v>
      </c>
      <c r="AW23" s="396">
        <f t="shared" si="35"/>
        <v>19504.149951873474</v>
      </c>
      <c r="AX23" s="396">
        <f t="shared" si="35"/>
        <v>19504.149951873474</v>
      </c>
      <c r="AY23" s="396">
        <f t="shared" si="35"/>
        <v>19504.149951873474</v>
      </c>
      <c r="AZ23" s="396">
        <f t="shared" si="35"/>
        <v>19504.149951873474</v>
      </c>
      <c r="BA23" s="396">
        <f>SUM(AO23:AZ23)</f>
        <v>234049.79942248165</v>
      </c>
      <c r="BB23" s="396">
        <f>'Upstream Recovery'!J128/12*1000*'Upstream Allocation'!$Q$32</f>
        <v>19163.045050862296</v>
      </c>
      <c r="BC23" s="396">
        <f>BB23</f>
        <v>19163.045050862296</v>
      </c>
      <c r="BD23" s="396">
        <f t="shared" si="35"/>
        <v>19163.045050862296</v>
      </c>
      <c r="BE23" s="396">
        <f t="shared" si="35"/>
        <v>19163.045050862296</v>
      </c>
      <c r="BF23" s="396">
        <f t="shared" si="35"/>
        <v>19163.045050862296</v>
      </c>
      <c r="BG23" s="396">
        <f t="shared" si="35"/>
        <v>19163.045050862296</v>
      </c>
      <c r="BH23" s="396">
        <f t="shared" si="35"/>
        <v>19163.045050862296</v>
      </c>
      <c r="BI23" s="396">
        <f t="shared" si="35"/>
        <v>19163.045050862296</v>
      </c>
      <c r="BJ23" s="396">
        <f t="shared" si="35"/>
        <v>19163.045050862296</v>
      </c>
      <c r="BK23" s="396">
        <f t="shared" si="35"/>
        <v>19163.045050862296</v>
      </c>
      <c r="BL23" s="396">
        <f t="shared" si="35"/>
        <v>19163.045050862296</v>
      </c>
      <c r="BM23" s="396">
        <f t="shared" si="35"/>
        <v>19163.045050862296</v>
      </c>
      <c r="BN23" s="396">
        <f>SUM(BB23:BM23)</f>
        <v>229956.54061034761</v>
      </c>
      <c r="BO23" s="396"/>
    </row>
    <row r="24" spans="1:67" x14ac:dyDescent="0.25">
      <c r="A24" s="315" t="s">
        <v>419</v>
      </c>
      <c r="B24" s="396">
        <f>'S&amp;TVA Q4 2020'!B48</f>
        <v>0</v>
      </c>
      <c r="C24" s="396">
        <f>'S&amp;TVA Q4 2020'!C48</f>
        <v>0</v>
      </c>
      <c r="D24" s="396">
        <f>'S&amp;TVA Q4 2020'!D48</f>
        <v>0</v>
      </c>
      <c r="E24" s="396">
        <f>'S&amp;TVA Q4 2020'!E48</f>
        <v>0</v>
      </c>
      <c r="F24" s="396">
        <f>'S&amp;TVA Q4 2020'!F48</f>
        <v>0</v>
      </c>
      <c r="G24" s="396">
        <f>'S&amp;TVA Q4 2020'!G48</f>
        <v>0</v>
      </c>
      <c r="H24" s="396">
        <f>'S&amp;TVA Q4 2020'!H48</f>
        <v>0</v>
      </c>
      <c r="I24" s="396">
        <f>'S&amp;TVA Q4 2020'!I48</f>
        <v>0</v>
      </c>
      <c r="J24" s="396">
        <f>'S&amp;TVA Q4 2020'!J48</f>
        <v>1.74</v>
      </c>
      <c r="K24" s="396">
        <f>'S&amp;TVA Q4 2020'!K48</f>
        <v>-266.36</v>
      </c>
      <c r="L24" s="396">
        <f>'S&amp;TVA Q4 2020'!L48</f>
        <v>22.6</v>
      </c>
      <c r="M24" s="396">
        <f>'S&amp;TVA Q4 2020'!M48</f>
        <v>68.92</v>
      </c>
      <c r="N24" s="396">
        <f>SUM(B24:M24)</f>
        <v>-173.10000000000002</v>
      </c>
      <c r="O24" s="396">
        <f>'S&amp;TVA 2021'!B50</f>
        <v>364.33</v>
      </c>
      <c r="P24" s="396">
        <f>'S&amp;TVA 2021'!C50</f>
        <v>809.39</v>
      </c>
      <c r="Q24" s="396">
        <f>'S&amp;TVA 2021'!D50</f>
        <v>1670.99</v>
      </c>
      <c r="R24" s="396">
        <f>'S&amp;TVA 2021'!E50</f>
        <v>1848.2299999999996</v>
      </c>
      <c r="S24" s="396">
        <f>'S&amp;TVA 2021'!F50</f>
        <v>1524.4399999999987</v>
      </c>
      <c r="T24" s="396">
        <f>'S&amp;TVA 2021'!G50</f>
        <v>1098.7699999999986</v>
      </c>
      <c r="U24" s="396">
        <f>'S&amp;TVA 2021'!H50</f>
        <v>641.57999999999993</v>
      </c>
      <c r="V24" s="396">
        <f>'S&amp;TVA 2021'!I50</f>
        <v>549.77999999999884</v>
      </c>
      <c r="W24" s="396">
        <f>'S&amp;TVA 2021'!J50</f>
        <v>573.32999999999993</v>
      </c>
      <c r="X24" s="396">
        <f>'S&amp;TVA 2021'!K50</f>
        <v>749.13999999999942</v>
      </c>
      <c r="Y24" s="396">
        <f>'S&amp;TVA 2021'!L50</f>
        <v>1696.9299999999985</v>
      </c>
      <c r="Z24" s="396">
        <f>'S&amp;TVA 2021'!M50</f>
        <v>4840.8399999999983</v>
      </c>
      <c r="AA24" s="396">
        <f>SUM(O24:Z24)</f>
        <v>16367.749999999991</v>
      </c>
      <c r="AB24" s="396">
        <f>'S&amp;TVA 2022'!B50</f>
        <v>8631.69</v>
      </c>
      <c r="AC24" s="396">
        <f>'S&amp;TVA 2022'!C50</f>
        <v>10936.460000000001</v>
      </c>
      <c r="AD24" s="396">
        <f>'S&amp;TVA 2022'!D50</f>
        <v>10652.249999999998</v>
      </c>
      <c r="AE24" s="396">
        <f>'S&amp;TVA 2022'!E50</f>
        <v>10317.85</v>
      </c>
      <c r="AF24" s="396">
        <f>'S&amp;TVA 2022'!F50</f>
        <v>7130.8799999999992</v>
      </c>
      <c r="AG24" s="396">
        <f>'S&amp;TVA 2022'!G50</f>
        <v>6885.8799999999992</v>
      </c>
      <c r="AH24" s="396">
        <f>'S&amp;TVA 2022'!H50</f>
        <v>3119.8799999999992</v>
      </c>
      <c r="AI24" s="396">
        <f>'S&amp;TVA 2022'!I50</f>
        <v>3556.7099999999991</v>
      </c>
      <c r="AJ24" s="396">
        <f>'S&amp;TVA 2022'!J50</f>
        <v>1027.3199999999997</v>
      </c>
      <c r="AK24" s="396">
        <f>'S&amp;TVA 2022'!K50</f>
        <v>1670.6599999999999</v>
      </c>
      <c r="AL24" s="396">
        <f>'S&amp;TVA 2022'!L50</f>
        <v>4449.2999999999993</v>
      </c>
      <c r="AM24" s="396">
        <f>'S&amp;TVA 2022'!M50</f>
        <v>8566.3100000003978</v>
      </c>
      <c r="AN24" s="396">
        <f>SUM(AB24:AM24)</f>
        <v>76945.190000000381</v>
      </c>
      <c r="AO24" s="396">
        <f>'S&amp;TVA 2023'!B51</f>
        <v>16258.99</v>
      </c>
      <c r="AP24" s="396">
        <f>'S&amp;TVA 2023'!C51</f>
        <v>15188.61</v>
      </c>
      <c r="AQ24" s="396">
        <f>'S&amp;TVA 2023'!D51</f>
        <v>16043.07</v>
      </c>
      <c r="AR24" s="396">
        <f>'S&amp;TVA 2023'!E51</f>
        <v>16213.37</v>
      </c>
      <c r="AS24" s="396">
        <f>'S&amp;TVA 2023'!F51</f>
        <v>10115.64</v>
      </c>
      <c r="AT24" s="396">
        <f>'S&amp;TVA 2023'!G51</f>
        <v>6262.48</v>
      </c>
      <c r="AU24" s="396">
        <f>'S&amp;TVA 2023'!H51</f>
        <v>2387.2799999999447</v>
      </c>
      <c r="AV24" s="396">
        <f>'S&amp;TVA 2023'!I51</f>
        <v>1617.4599999999878</v>
      </c>
      <c r="AW24" s="396">
        <f>'S&amp;TVA 2023'!J51</f>
        <v>2271.98</v>
      </c>
      <c r="AX24" s="396">
        <f>'S&amp;TVA 2023'!K51</f>
        <v>2400.1799999999998</v>
      </c>
      <c r="AY24" s="396">
        <f>'S&amp;TVA 2023'!L51</f>
        <v>6731.7199999998011</v>
      </c>
      <c r="AZ24" s="396">
        <f>'S&amp;TVA 2023'!M51</f>
        <v>15502.529999999877</v>
      </c>
      <c r="BA24" s="396">
        <f>SUM(AO24:AZ24)</f>
        <v>110993.30999999959</v>
      </c>
      <c r="BB24" s="396">
        <f>'S&amp;TVA 2024'!B61</f>
        <v>19114</v>
      </c>
      <c r="BC24" s="396">
        <f>'S&amp;TVA 2024'!C61</f>
        <v>29035</v>
      </c>
      <c r="BD24" s="396">
        <f>'S&amp;TVA 2024'!D61</f>
        <v>23034</v>
      </c>
      <c r="BE24" s="396">
        <f>'S&amp;TVA 2024'!E61</f>
        <v>22267.999999999967</v>
      </c>
      <c r="BF24" s="396">
        <f>'S&amp;TVA 2024'!F61</f>
        <v>12084.819999999636</v>
      </c>
      <c r="BG24" s="396">
        <f>'S&amp;TVA 2024'!G61</f>
        <v>5831.4699999998793</v>
      </c>
      <c r="BH24" s="396">
        <f>'S&amp;TVA 2024'!H61</f>
        <v>3032.3599999999601</v>
      </c>
      <c r="BI24" s="396">
        <f>'S&amp;TVA 2024'!I61</f>
        <v>2755.4299999999771</v>
      </c>
      <c r="BJ24" s="396">
        <f>'S&amp;TVA 2024'!J61</f>
        <v>3062.9899999999684</v>
      </c>
      <c r="BK24" s="396">
        <f>'S&amp;TVA 2024'!K61</f>
        <v>2796.0199999999654</v>
      </c>
      <c r="BL24" s="396">
        <f>'S&amp;TVA 2024'!L61</f>
        <v>8708.3799999997937</v>
      </c>
      <c r="BM24" s="396">
        <f>'S&amp;TVA 2024'!M61</f>
        <v>17583.319999999851</v>
      </c>
      <c r="BN24" s="396">
        <f>SUM(BB24:BM24)</f>
        <v>149305.78999999899</v>
      </c>
      <c r="BO24" s="396"/>
    </row>
    <row r="25" spans="1:67" x14ac:dyDescent="0.25">
      <c r="B25" s="396"/>
      <c r="C25" s="396"/>
      <c r="D25" s="396"/>
      <c r="E25" s="396"/>
      <c r="F25" s="396"/>
      <c r="G25" s="396"/>
      <c r="H25" s="396"/>
      <c r="I25" s="396"/>
      <c r="J25" s="396"/>
      <c r="K25" s="396"/>
      <c r="L25" s="396"/>
      <c r="M25" s="396"/>
      <c r="N25" s="396"/>
      <c r="O25" s="396"/>
      <c r="P25" s="396"/>
      <c r="Q25" s="396"/>
      <c r="R25" s="396"/>
      <c r="S25" s="396"/>
      <c r="T25" s="396"/>
      <c r="U25" s="396"/>
      <c r="V25" s="396"/>
      <c r="W25" s="396"/>
      <c r="X25" s="396"/>
      <c r="Y25" s="396"/>
      <c r="Z25" s="396"/>
      <c r="AA25" s="396"/>
      <c r="AB25" s="396"/>
      <c r="AC25" s="396"/>
      <c r="AD25" s="396"/>
      <c r="AE25" s="396"/>
      <c r="AF25" s="396"/>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6"/>
      <c r="BC25" s="396"/>
      <c r="BD25" s="396"/>
      <c r="BE25" s="396"/>
      <c r="BF25" s="396"/>
      <c r="BG25" s="396"/>
      <c r="BH25" s="396"/>
      <c r="BI25" s="396"/>
      <c r="BJ25" s="396"/>
      <c r="BK25" s="396"/>
      <c r="BL25" s="396"/>
      <c r="BM25" s="396"/>
      <c r="BN25" s="396"/>
      <c r="BO25" s="396"/>
    </row>
    <row r="26" spans="1:67" x14ac:dyDescent="0.25">
      <c r="A26" s="315" t="s">
        <v>417</v>
      </c>
      <c r="B26" s="396">
        <f>B23-B24</f>
        <v>30876.473207613286</v>
      </c>
      <c r="C26" s="396">
        <f t="shared" ref="C26:M26" si="36">C23-C24</f>
        <v>30876.473207613286</v>
      </c>
      <c r="D26" s="396">
        <f t="shared" si="36"/>
        <v>30876.473207613286</v>
      </c>
      <c r="E26" s="396">
        <f t="shared" si="36"/>
        <v>30876.473207613286</v>
      </c>
      <c r="F26" s="396">
        <f t="shared" si="36"/>
        <v>30876.473207613286</v>
      </c>
      <c r="G26" s="396">
        <f t="shared" si="36"/>
        <v>30876.473207613286</v>
      </c>
      <c r="H26" s="396">
        <f t="shared" si="36"/>
        <v>30876.473207613286</v>
      </c>
      <c r="I26" s="396">
        <f t="shared" si="36"/>
        <v>30876.473207613286</v>
      </c>
      <c r="J26" s="396">
        <f t="shared" si="36"/>
        <v>30874.733207613284</v>
      </c>
      <c r="K26" s="396">
        <f t="shared" si="36"/>
        <v>31142.833207613287</v>
      </c>
      <c r="L26" s="396">
        <f t="shared" si="36"/>
        <v>30853.873207613287</v>
      </c>
      <c r="M26" s="396">
        <f t="shared" si="36"/>
        <v>30807.553207613288</v>
      </c>
      <c r="N26" s="396">
        <f>SUM(B26:M26)</f>
        <v>370690.77849135938</v>
      </c>
      <c r="O26" s="396">
        <f>O23-O24</f>
        <v>19822.029753895822</v>
      </c>
      <c r="P26" s="396">
        <f t="shared" ref="P26:Z26" si="37">P23-P24</f>
        <v>19376.969753895824</v>
      </c>
      <c r="Q26" s="396">
        <f t="shared" si="37"/>
        <v>18515.369753895822</v>
      </c>
      <c r="R26" s="396">
        <f t="shared" si="37"/>
        <v>18338.129753895824</v>
      </c>
      <c r="S26" s="396">
        <f t="shared" si="37"/>
        <v>18661.919753895825</v>
      </c>
      <c r="T26" s="396">
        <f t="shared" si="37"/>
        <v>19087.589753895823</v>
      </c>
      <c r="U26" s="396">
        <f t="shared" si="37"/>
        <v>19544.779753895826</v>
      </c>
      <c r="V26" s="396">
        <f t="shared" si="37"/>
        <v>19636.579753895825</v>
      </c>
      <c r="W26" s="396">
        <f t="shared" si="37"/>
        <v>19613.029753895826</v>
      </c>
      <c r="X26" s="396">
        <f t="shared" si="37"/>
        <v>19437.219753895824</v>
      </c>
      <c r="Y26" s="396">
        <f t="shared" si="37"/>
        <v>18489.429753895827</v>
      </c>
      <c r="Z26" s="396">
        <f t="shared" si="37"/>
        <v>15345.519753895825</v>
      </c>
      <c r="AA26" s="396">
        <f>SUM(O26:Z26)</f>
        <v>225868.56704674987</v>
      </c>
      <c r="AB26" s="396">
        <f>AB23-AB24</f>
        <v>11213.564852884645</v>
      </c>
      <c r="AC26" s="396">
        <f t="shared" ref="AC26:AM26" si="38">AC23-AC24</f>
        <v>8908.7948528846446</v>
      </c>
      <c r="AD26" s="396">
        <f t="shared" si="38"/>
        <v>9193.0048528846473</v>
      </c>
      <c r="AE26" s="396">
        <f t="shared" si="38"/>
        <v>9527.4048528846452</v>
      </c>
      <c r="AF26" s="396">
        <f t="shared" si="38"/>
        <v>12714.374852884646</v>
      </c>
      <c r="AG26" s="396">
        <f t="shared" si="38"/>
        <v>12959.374852884646</v>
      </c>
      <c r="AH26" s="396">
        <f t="shared" si="38"/>
        <v>16725.374852884648</v>
      </c>
      <c r="AI26" s="396">
        <f t="shared" si="38"/>
        <v>16288.544852884646</v>
      </c>
      <c r="AJ26" s="396">
        <f t="shared" si="38"/>
        <v>18817.934852884646</v>
      </c>
      <c r="AK26" s="396">
        <f t="shared" si="38"/>
        <v>18174.594852884646</v>
      </c>
      <c r="AL26" s="396">
        <f t="shared" si="38"/>
        <v>15395.954852884646</v>
      </c>
      <c r="AM26" s="396">
        <f t="shared" si="38"/>
        <v>11278.944852884248</v>
      </c>
      <c r="AN26" s="396">
        <f>SUM(AB26:AM26)</f>
        <v>161197.86823461534</v>
      </c>
      <c r="AO26" s="396">
        <f>AO23-AO24</f>
        <v>3245.1599518734747</v>
      </c>
      <c r="AP26" s="396">
        <f t="shared" ref="AP26:AZ26" si="39">AP23-AP24</f>
        <v>4315.5399518734739</v>
      </c>
      <c r="AQ26" s="396">
        <f t="shared" si="39"/>
        <v>3461.0799518734748</v>
      </c>
      <c r="AR26" s="396">
        <f t="shared" si="39"/>
        <v>3290.7799518734737</v>
      </c>
      <c r="AS26" s="396">
        <f t="shared" si="39"/>
        <v>9388.5099518734751</v>
      </c>
      <c r="AT26" s="396">
        <f t="shared" si="39"/>
        <v>13241.669951873475</v>
      </c>
      <c r="AU26" s="396">
        <f t="shared" si="39"/>
        <v>17116.86995187353</v>
      </c>
      <c r="AV26" s="396">
        <f t="shared" si="39"/>
        <v>17886.689951873486</v>
      </c>
      <c r="AW26" s="396">
        <f t="shared" si="39"/>
        <v>17232.169951873475</v>
      </c>
      <c r="AX26" s="396">
        <f t="shared" si="39"/>
        <v>17103.969951873474</v>
      </c>
      <c r="AY26" s="396">
        <f t="shared" si="39"/>
        <v>12772.429951873673</v>
      </c>
      <c r="AZ26" s="396">
        <f t="shared" si="39"/>
        <v>4001.6199518735975</v>
      </c>
      <c r="BA26" s="396">
        <f>SUM(AO26:AZ26)</f>
        <v>123056.48942248207</v>
      </c>
      <c r="BB26" s="396">
        <f>BB23-BB24</f>
        <v>49.045050862296193</v>
      </c>
      <c r="BC26" s="396">
        <f t="shared" ref="BC26:BM26" si="40">BC23-BC24</f>
        <v>-9871.9549491377038</v>
      </c>
      <c r="BD26" s="396">
        <f t="shared" si="40"/>
        <v>-3870.9549491377038</v>
      </c>
      <c r="BE26" s="396">
        <f t="shared" si="40"/>
        <v>-3104.9549491376711</v>
      </c>
      <c r="BF26" s="396">
        <f t="shared" si="40"/>
        <v>7078.2250508626603</v>
      </c>
      <c r="BG26" s="396">
        <f t="shared" si="40"/>
        <v>13331.575050862417</v>
      </c>
      <c r="BH26" s="396">
        <f t="shared" si="40"/>
        <v>16130.685050862336</v>
      </c>
      <c r="BI26" s="396">
        <f t="shared" si="40"/>
        <v>16407.615050862318</v>
      </c>
      <c r="BJ26" s="396">
        <f t="shared" si="40"/>
        <v>16100.055050862327</v>
      </c>
      <c r="BK26" s="396">
        <f t="shared" si="40"/>
        <v>16367.02505086233</v>
      </c>
      <c r="BL26" s="396">
        <f t="shared" si="40"/>
        <v>10454.665050862503</v>
      </c>
      <c r="BM26" s="396">
        <f t="shared" si="40"/>
        <v>1579.7250508624456</v>
      </c>
      <c r="BN26" s="396">
        <f>SUM(BB26:BM26)</f>
        <v>80650.75061034855</v>
      </c>
      <c r="BO26" s="396"/>
    </row>
    <row r="27" spans="1:67" x14ac:dyDescent="0.25">
      <c r="A27" s="392" t="s">
        <v>432</v>
      </c>
      <c r="B27" s="396">
        <f>B26</f>
        <v>30876.473207613286</v>
      </c>
      <c r="C27" s="396">
        <f>C26+B27</f>
        <v>61752.946415226572</v>
      </c>
      <c r="D27" s="396">
        <f t="shared" ref="D27:M27" si="41">D26+C27</f>
        <v>92629.419622839865</v>
      </c>
      <c r="E27" s="396">
        <f t="shared" si="41"/>
        <v>123505.89283045314</v>
      </c>
      <c r="F27" s="396">
        <f t="shared" si="41"/>
        <v>154382.36603806642</v>
      </c>
      <c r="G27" s="396">
        <f t="shared" si="41"/>
        <v>185258.8392456797</v>
      </c>
      <c r="H27" s="396">
        <f t="shared" si="41"/>
        <v>216135.31245329298</v>
      </c>
      <c r="I27" s="396">
        <f t="shared" si="41"/>
        <v>247011.78566090626</v>
      </c>
      <c r="J27" s="396">
        <f t="shared" si="41"/>
        <v>277886.51886851952</v>
      </c>
      <c r="K27" s="396">
        <f t="shared" si="41"/>
        <v>309029.35207613278</v>
      </c>
      <c r="L27" s="396">
        <f t="shared" si="41"/>
        <v>339883.22528374608</v>
      </c>
      <c r="M27" s="396">
        <f t="shared" si="41"/>
        <v>370690.77849135938</v>
      </c>
      <c r="N27" s="396">
        <f>M27</f>
        <v>370690.77849135938</v>
      </c>
      <c r="O27" s="396">
        <f t="shared" ref="O27:Z27" si="42">O26+N27</f>
        <v>390512.8082452552</v>
      </c>
      <c r="P27" s="396">
        <f t="shared" si="42"/>
        <v>409889.77799915103</v>
      </c>
      <c r="Q27" s="396">
        <f t="shared" si="42"/>
        <v>428405.14775304683</v>
      </c>
      <c r="R27" s="396">
        <f t="shared" si="42"/>
        <v>446743.27750694263</v>
      </c>
      <c r="S27" s="396">
        <f t="shared" si="42"/>
        <v>465405.19726083847</v>
      </c>
      <c r="T27" s="396">
        <f t="shared" si="42"/>
        <v>484492.78701473429</v>
      </c>
      <c r="U27" s="396">
        <f t="shared" si="42"/>
        <v>504037.56676863012</v>
      </c>
      <c r="V27" s="396">
        <f t="shared" si="42"/>
        <v>523674.14652252593</v>
      </c>
      <c r="W27" s="396">
        <f t="shared" si="42"/>
        <v>543287.17627642176</v>
      </c>
      <c r="X27" s="396">
        <f t="shared" si="42"/>
        <v>562724.39603031753</v>
      </c>
      <c r="Y27" s="396">
        <f t="shared" si="42"/>
        <v>581213.82578421338</v>
      </c>
      <c r="Z27" s="396">
        <f t="shared" si="42"/>
        <v>596559.34553810919</v>
      </c>
      <c r="AA27" s="396">
        <f>Z27</f>
        <v>596559.34553810919</v>
      </c>
      <c r="AB27" s="396">
        <f t="shared" ref="AB27:AM27" si="43">AB26+AA27</f>
        <v>607772.91039099381</v>
      </c>
      <c r="AC27" s="396">
        <f t="shared" si="43"/>
        <v>616681.70524387842</v>
      </c>
      <c r="AD27" s="396">
        <f t="shared" si="43"/>
        <v>625874.7100967631</v>
      </c>
      <c r="AE27" s="396">
        <f t="shared" si="43"/>
        <v>635402.11494964769</v>
      </c>
      <c r="AF27" s="396">
        <f t="shared" si="43"/>
        <v>648116.48980253236</v>
      </c>
      <c r="AG27" s="396">
        <f t="shared" si="43"/>
        <v>661075.86465541704</v>
      </c>
      <c r="AH27" s="396">
        <f t="shared" si="43"/>
        <v>677801.23950830172</v>
      </c>
      <c r="AI27" s="396">
        <f t="shared" si="43"/>
        <v>694089.78436118632</v>
      </c>
      <c r="AJ27" s="396">
        <f t="shared" si="43"/>
        <v>712907.71921407094</v>
      </c>
      <c r="AK27" s="396">
        <f t="shared" si="43"/>
        <v>731082.31406695559</v>
      </c>
      <c r="AL27" s="396">
        <f t="shared" si="43"/>
        <v>746478.26891984022</v>
      </c>
      <c r="AM27" s="396">
        <f t="shared" si="43"/>
        <v>757757.2137727245</v>
      </c>
      <c r="AN27" s="396">
        <f>AM27</f>
        <v>757757.2137727245</v>
      </c>
      <c r="AO27" s="396">
        <f t="shared" ref="AO27:AZ27" si="44">AO26+AN27</f>
        <v>761002.37372459797</v>
      </c>
      <c r="AP27" s="396">
        <f t="shared" si="44"/>
        <v>765317.91367647145</v>
      </c>
      <c r="AQ27" s="396">
        <f t="shared" si="44"/>
        <v>768778.99362834496</v>
      </c>
      <c r="AR27" s="396">
        <f t="shared" si="44"/>
        <v>772069.77358021843</v>
      </c>
      <c r="AS27" s="396">
        <f t="shared" si="44"/>
        <v>781458.28353209188</v>
      </c>
      <c r="AT27" s="396">
        <f t="shared" si="44"/>
        <v>794699.95348396536</v>
      </c>
      <c r="AU27" s="396">
        <f t="shared" si="44"/>
        <v>811816.82343583892</v>
      </c>
      <c r="AV27" s="396">
        <f t="shared" si="44"/>
        <v>829703.51338771242</v>
      </c>
      <c r="AW27" s="396">
        <f t="shared" si="44"/>
        <v>846935.6833395859</v>
      </c>
      <c r="AX27" s="396">
        <f t="shared" si="44"/>
        <v>864039.65329145943</v>
      </c>
      <c r="AY27" s="396">
        <f t="shared" si="44"/>
        <v>876812.08324333315</v>
      </c>
      <c r="AZ27" s="396">
        <f t="shared" si="44"/>
        <v>880813.7031952067</v>
      </c>
      <c r="BA27" s="396">
        <f>AZ27</f>
        <v>880813.7031952067</v>
      </c>
      <c r="BB27" s="396">
        <f t="shared" ref="BB27:BM27" si="45">BB26+BA27</f>
        <v>880862.74824606895</v>
      </c>
      <c r="BC27" s="396">
        <f t="shared" si="45"/>
        <v>870990.7932969312</v>
      </c>
      <c r="BD27" s="396">
        <f t="shared" si="45"/>
        <v>867119.83834779344</v>
      </c>
      <c r="BE27" s="396">
        <f t="shared" si="45"/>
        <v>864014.8833986558</v>
      </c>
      <c r="BF27" s="396">
        <f t="shared" si="45"/>
        <v>871093.10844951845</v>
      </c>
      <c r="BG27" s="396">
        <f t="shared" si="45"/>
        <v>884424.68350038084</v>
      </c>
      <c r="BH27" s="396">
        <f t="shared" si="45"/>
        <v>900555.36855124321</v>
      </c>
      <c r="BI27" s="396">
        <f t="shared" si="45"/>
        <v>916962.98360210552</v>
      </c>
      <c r="BJ27" s="396">
        <f t="shared" si="45"/>
        <v>933063.03865296789</v>
      </c>
      <c r="BK27" s="396">
        <f t="shared" si="45"/>
        <v>949430.06370383024</v>
      </c>
      <c r="BL27" s="396">
        <f t="shared" si="45"/>
        <v>959884.72875469271</v>
      </c>
      <c r="BM27" s="396">
        <f t="shared" si="45"/>
        <v>961464.45380555512</v>
      </c>
      <c r="BN27" s="396">
        <f>BM27</f>
        <v>961464.45380555512</v>
      </c>
      <c r="BO27" s="396"/>
    </row>
    <row r="28" spans="1:67" x14ac:dyDescent="0.25">
      <c r="A28" s="392"/>
      <c r="B28" s="397"/>
      <c r="C28" s="397"/>
      <c r="D28" s="397"/>
      <c r="E28" s="397"/>
      <c r="F28" s="397"/>
      <c r="G28" s="397"/>
      <c r="H28" s="397"/>
      <c r="I28" s="397"/>
      <c r="J28" s="397"/>
      <c r="K28" s="397"/>
      <c r="L28" s="397"/>
      <c r="M28" s="397"/>
      <c r="N28" s="397"/>
      <c r="O28" s="397"/>
      <c r="P28" s="397"/>
      <c r="Q28" s="397"/>
      <c r="R28" s="397"/>
      <c r="S28" s="397"/>
      <c r="T28" s="397"/>
      <c r="U28" s="397"/>
      <c r="V28" s="397"/>
      <c r="W28" s="397"/>
      <c r="X28" s="397"/>
      <c r="Y28" s="397"/>
      <c r="Z28" s="397"/>
      <c r="AA28" s="397"/>
      <c r="AB28" s="397"/>
      <c r="AC28" s="397"/>
      <c r="AD28" s="397"/>
      <c r="AE28" s="397"/>
      <c r="AF28" s="397"/>
      <c r="AG28" s="397"/>
      <c r="AH28" s="397"/>
      <c r="AI28" s="397"/>
      <c r="AJ28" s="397"/>
      <c r="AK28" s="397"/>
      <c r="AL28" s="397"/>
      <c r="AM28" s="397"/>
      <c r="AN28" s="397"/>
      <c r="AO28" s="397"/>
      <c r="AP28" s="397"/>
      <c r="AQ28" s="397"/>
      <c r="AR28" s="397"/>
      <c r="AS28" s="397"/>
      <c r="AT28" s="397"/>
      <c r="AU28" s="397"/>
      <c r="AV28" s="397"/>
      <c r="AW28" s="397"/>
      <c r="AX28" s="397"/>
      <c r="AY28" s="397"/>
      <c r="AZ28" s="397"/>
      <c r="BA28" s="397"/>
      <c r="BB28" s="397"/>
      <c r="BC28" s="397"/>
      <c r="BD28" s="397"/>
      <c r="BE28" s="397"/>
      <c r="BF28" s="397"/>
      <c r="BG28" s="397"/>
      <c r="BH28" s="397"/>
      <c r="BI28" s="397"/>
      <c r="BJ28" s="397"/>
      <c r="BK28" s="397"/>
      <c r="BL28" s="397"/>
      <c r="BM28" s="397"/>
      <c r="BN28" s="397"/>
      <c r="BO28" s="397"/>
    </row>
    <row r="29" spans="1:67" x14ac:dyDescent="0.25">
      <c r="A29" s="392" t="s">
        <v>433</v>
      </c>
      <c r="B29" s="396">
        <v>0</v>
      </c>
      <c r="C29" s="396">
        <f>B27*C31/12</f>
        <v>56.092259660497469</v>
      </c>
      <c r="D29" s="396">
        <f t="shared" ref="D29:BM29" si="46">C27*D31/12</f>
        <v>112.18451932099494</v>
      </c>
      <c r="E29" s="396">
        <f t="shared" si="46"/>
        <v>168.27677898149241</v>
      </c>
      <c r="F29" s="396">
        <f t="shared" si="46"/>
        <v>224.36903864198987</v>
      </c>
      <c r="G29" s="396">
        <f t="shared" si="46"/>
        <v>280.46129830248736</v>
      </c>
      <c r="H29" s="396">
        <f t="shared" si="46"/>
        <v>88.461095739812052</v>
      </c>
      <c r="I29" s="396">
        <f t="shared" si="46"/>
        <v>103.20461169644739</v>
      </c>
      <c r="J29" s="396">
        <f t="shared" si="46"/>
        <v>117.94812765308274</v>
      </c>
      <c r="K29" s="396">
        <f t="shared" si="46"/>
        <v>131.99609646254677</v>
      </c>
      <c r="L29" s="396">
        <f t="shared" si="46"/>
        <v>146.78894223616305</v>
      </c>
      <c r="M29" s="396">
        <f t="shared" si="46"/>
        <v>161.44453200977938</v>
      </c>
      <c r="N29" s="396">
        <f>SUM(B29:M29)</f>
        <v>1591.2273007052936</v>
      </c>
      <c r="O29" s="396">
        <f t="shared" si="46"/>
        <v>176.07811978339569</v>
      </c>
      <c r="P29" s="396">
        <f t="shared" si="46"/>
        <v>185.49358391649619</v>
      </c>
      <c r="Q29" s="396">
        <f t="shared" si="46"/>
        <v>194.6976445495967</v>
      </c>
      <c r="R29" s="396">
        <f t="shared" si="46"/>
        <v>203.49244518269722</v>
      </c>
      <c r="S29" s="396">
        <f t="shared" si="46"/>
        <v>212.20305681579771</v>
      </c>
      <c r="T29" s="396">
        <f t="shared" si="46"/>
        <v>221.06746869889824</v>
      </c>
      <c r="U29" s="396">
        <f t="shared" si="46"/>
        <v>230.13407383199876</v>
      </c>
      <c r="V29" s="396">
        <f t="shared" si="46"/>
        <v>239.41784421509928</v>
      </c>
      <c r="W29" s="396">
        <f t="shared" si="46"/>
        <v>248.74521959819978</v>
      </c>
      <c r="X29" s="396">
        <f t="shared" si="46"/>
        <v>258.06140873130033</v>
      </c>
      <c r="Y29" s="396">
        <f t="shared" si="46"/>
        <v>267.29408811440078</v>
      </c>
      <c r="Z29" s="396">
        <f t="shared" si="46"/>
        <v>276.07656724750132</v>
      </c>
      <c r="AA29" s="396">
        <f>SUM(O29:Z29)</f>
        <v>2712.761520685382</v>
      </c>
      <c r="AB29" s="396">
        <f t="shared" si="46"/>
        <v>283.36568913060182</v>
      </c>
      <c r="AC29" s="396">
        <f t="shared" si="46"/>
        <v>288.69213243572204</v>
      </c>
      <c r="AD29" s="396">
        <f t="shared" si="46"/>
        <v>292.92380999084224</v>
      </c>
      <c r="AE29" s="396">
        <f t="shared" si="46"/>
        <v>531.99350358224865</v>
      </c>
      <c r="AF29" s="396">
        <f t="shared" si="46"/>
        <v>540.0917977072005</v>
      </c>
      <c r="AG29" s="396">
        <f t="shared" si="46"/>
        <v>550.89901633215254</v>
      </c>
      <c r="AH29" s="396">
        <f t="shared" si="46"/>
        <v>1211.9724185349314</v>
      </c>
      <c r="AI29" s="396">
        <f t="shared" si="46"/>
        <v>1242.6356057652199</v>
      </c>
      <c r="AJ29" s="396">
        <f t="shared" si="46"/>
        <v>1272.4979379955084</v>
      </c>
      <c r="AK29" s="396">
        <f t="shared" si="46"/>
        <v>2299.1273944653785</v>
      </c>
      <c r="AL29" s="396">
        <f t="shared" si="46"/>
        <v>2357.7404628659319</v>
      </c>
      <c r="AM29" s="396">
        <f t="shared" si="46"/>
        <v>2407.3924172664847</v>
      </c>
      <c r="AN29" s="396">
        <f>SUM(AB29:AM29)</f>
        <v>13279.332186072223</v>
      </c>
      <c r="AO29" s="396">
        <f t="shared" si="46"/>
        <v>2986.8263509541557</v>
      </c>
      <c r="AP29" s="396">
        <f t="shared" si="46"/>
        <v>2999.6176897644568</v>
      </c>
      <c r="AQ29" s="396">
        <f t="shared" si="46"/>
        <v>3016.6281097414249</v>
      </c>
      <c r="AR29" s="396">
        <f t="shared" si="46"/>
        <v>3190.4328235576318</v>
      </c>
      <c r="AS29" s="396">
        <f t="shared" si="46"/>
        <v>3204.0895603579065</v>
      </c>
      <c r="AT29" s="396">
        <f t="shared" si="46"/>
        <v>3243.0518766581813</v>
      </c>
      <c r="AU29" s="396">
        <f t="shared" si="46"/>
        <v>3298.0048069584568</v>
      </c>
      <c r="AV29" s="396">
        <f t="shared" si="46"/>
        <v>3369.039817258732</v>
      </c>
      <c r="AW29" s="396">
        <f t="shared" si="46"/>
        <v>3443.269580559007</v>
      </c>
      <c r="AX29" s="396">
        <f t="shared" si="46"/>
        <v>3874.730751278606</v>
      </c>
      <c r="AY29" s="396">
        <f t="shared" si="46"/>
        <v>3952.9814138084271</v>
      </c>
      <c r="AZ29" s="396">
        <f t="shared" si="46"/>
        <v>4011.4152808382496</v>
      </c>
      <c r="BA29" s="396">
        <f>SUM(AO29:AZ29)</f>
        <v>40590.088061735238</v>
      </c>
      <c r="BB29" s="396">
        <f t="shared" si="46"/>
        <v>4029.7226921180713</v>
      </c>
      <c r="BC29" s="396">
        <f t="shared" si="46"/>
        <v>4029.9470732257655</v>
      </c>
      <c r="BD29" s="396">
        <f t="shared" si="46"/>
        <v>3984.7828793334606</v>
      </c>
      <c r="BE29" s="396">
        <f t="shared" si="46"/>
        <v>3967.0732604411551</v>
      </c>
      <c r="BF29" s="396">
        <f t="shared" si="46"/>
        <v>3952.8680915488508</v>
      </c>
      <c r="BG29" s="396">
        <f t="shared" si="46"/>
        <v>3985.2509711565472</v>
      </c>
      <c r="BH29" s="396">
        <f t="shared" si="46"/>
        <v>3832.5069618349839</v>
      </c>
      <c r="BI29" s="396">
        <f t="shared" si="46"/>
        <v>3902.4065970553875</v>
      </c>
      <c r="BJ29" s="396">
        <f t="shared" si="46"/>
        <v>3973.506262275791</v>
      </c>
      <c r="BK29" s="396">
        <f t="shared" si="46"/>
        <v>3424.3413518563921</v>
      </c>
      <c r="BL29" s="396">
        <f t="shared" si="46"/>
        <v>3484.4083337930565</v>
      </c>
      <c r="BM29" s="396">
        <f t="shared" si="46"/>
        <v>3522.7769545297219</v>
      </c>
      <c r="BN29" s="396">
        <f>SUM(BB29:BM29)</f>
        <v>46089.591429169181</v>
      </c>
      <c r="BO29" s="396">
        <f>BN27*BO31</f>
        <v>30346.221823237833</v>
      </c>
    </row>
    <row r="30" spans="1:67" x14ac:dyDescent="0.25">
      <c r="A30" s="392" t="s">
        <v>437</v>
      </c>
      <c r="B30" s="396">
        <f>B29</f>
        <v>0</v>
      </c>
      <c r="C30" s="396">
        <f>C29+B30</f>
        <v>56.092259660497469</v>
      </c>
      <c r="D30" s="396">
        <f t="shared" ref="D30:M30" si="47">D29+C30</f>
        <v>168.27677898149241</v>
      </c>
      <c r="E30" s="396">
        <f t="shared" si="47"/>
        <v>336.55355796298483</v>
      </c>
      <c r="F30" s="396">
        <f t="shared" si="47"/>
        <v>560.92259660497473</v>
      </c>
      <c r="G30" s="396">
        <f t="shared" si="47"/>
        <v>841.38389490746204</v>
      </c>
      <c r="H30" s="396">
        <f t="shared" si="47"/>
        <v>929.84499064727413</v>
      </c>
      <c r="I30" s="396">
        <f t="shared" si="47"/>
        <v>1033.0496023437215</v>
      </c>
      <c r="J30" s="396">
        <f t="shared" si="47"/>
        <v>1150.9977299968043</v>
      </c>
      <c r="K30" s="396">
        <f t="shared" si="47"/>
        <v>1282.9938264593511</v>
      </c>
      <c r="L30" s="396">
        <f t="shared" si="47"/>
        <v>1429.7827686955143</v>
      </c>
      <c r="M30" s="396">
        <f t="shared" si="47"/>
        <v>1591.2273007052936</v>
      </c>
      <c r="N30" s="396">
        <f>M30</f>
        <v>1591.2273007052936</v>
      </c>
      <c r="O30" s="396">
        <f t="shared" ref="O30:Z30" si="48">O29+N30</f>
        <v>1767.3054204886894</v>
      </c>
      <c r="P30" s="396">
        <f t="shared" si="48"/>
        <v>1952.7990044051855</v>
      </c>
      <c r="Q30" s="396">
        <f t="shared" si="48"/>
        <v>2147.4966489547824</v>
      </c>
      <c r="R30" s="396">
        <f t="shared" si="48"/>
        <v>2350.9890941374797</v>
      </c>
      <c r="S30" s="396">
        <f t="shared" si="48"/>
        <v>2563.1921509532776</v>
      </c>
      <c r="T30" s="396">
        <f t="shared" si="48"/>
        <v>2784.2596196521758</v>
      </c>
      <c r="U30" s="396">
        <f t="shared" si="48"/>
        <v>3014.3936934841745</v>
      </c>
      <c r="V30" s="396">
        <f t="shared" si="48"/>
        <v>3253.8115376992737</v>
      </c>
      <c r="W30" s="396">
        <f t="shared" si="48"/>
        <v>3502.5567572974733</v>
      </c>
      <c r="X30" s="396">
        <f t="shared" si="48"/>
        <v>3760.6181660287734</v>
      </c>
      <c r="Y30" s="396">
        <f t="shared" si="48"/>
        <v>4027.9122541431743</v>
      </c>
      <c r="Z30" s="396">
        <f t="shared" si="48"/>
        <v>4303.9888213906761</v>
      </c>
      <c r="AA30" s="396">
        <f>Z30</f>
        <v>4303.9888213906761</v>
      </c>
      <c r="AB30" s="396">
        <f t="shared" ref="AB30:AM30" si="49">AB29+AA30</f>
        <v>4587.3545105212779</v>
      </c>
      <c r="AC30" s="396">
        <f t="shared" si="49"/>
        <v>4876.0466429569997</v>
      </c>
      <c r="AD30" s="396">
        <f t="shared" si="49"/>
        <v>5168.9704529478422</v>
      </c>
      <c r="AE30" s="396">
        <f t="shared" si="49"/>
        <v>5700.9639565300913</v>
      </c>
      <c r="AF30" s="396">
        <f t="shared" si="49"/>
        <v>6241.0557542372917</v>
      </c>
      <c r="AG30" s="396">
        <f t="shared" si="49"/>
        <v>6791.954770569444</v>
      </c>
      <c r="AH30" s="396">
        <f t="shared" si="49"/>
        <v>8003.9271891043754</v>
      </c>
      <c r="AI30" s="396">
        <f t="shared" si="49"/>
        <v>9246.5627948695947</v>
      </c>
      <c r="AJ30" s="396">
        <f t="shared" si="49"/>
        <v>10519.060732865102</v>
      </c>
      <c r="AK30" s="396">
        <f t="shared" si="49"/>
        <v>12818.188127330481</v>
      </c>
      <c r="AL30" s="396">
        <f t="shared" si="49"/>
        <v>15175.928590196412</v>
      </c>
      <c r="AM30" s="396">
        <f t="shared" si="49"/>
        <v>17583.321007462895</v>
      </c>
      <c r="AN30" s="396">
        <f>AM30</f>
        <v>17583.321007462895</v>
      </c>
      <c r="AO30" s="396">
        <f t="shared" ref="AO30:AZ30" si="50">AO29+AN30</f>
        <v>20570.147358417053</v>
      </c>
      <c r="AP30" s="396">
        <f t="shared" si="50"/>
        <v>23569.765048181511</v>
      </c>
      <c r="AQ30" s="396">
        <f t="shared" si="50"/>
        <v>26586.393157922936</v>
      </c>
      <c r="AR30" s="396">
        <f t="shared" si="50"/>
        <v>29776.825981480568</v>
      </c>
      <c r="AS30" s="396">
        <f t="shared" si="50"/>
        <v>32980.915541838476</v>
      </c>
      <c r="AT30" s="396">
        <f t="shared" si="50"/>
        <v>36223.967418496657</v>
      </c>
      <c r="AU30" s="396">
        <f t="shared" si="50"/>
        <v>39521.972225455116</v>
      </c>
      <c r="AV30" s="396">
        <f t="shared" si="50"/>
        <v>42891.012042713846</v>
      </c>
      <c r="AW30" s="396">
        <f t="shared" si="50"/>
        <v>46334.281623272851</v>
      </c>
      <c r="AX30" s="396">
        <f t="shared" si="50"/>
        <v>50209.012374551457</v>
      </c>
      <c r="AY30" s="396">
        <f t="shared" si="50"/>
        <v>54161.993788359883</v>
      </c>
      <c r="AZ30" s="396">
        <f t="shared" si="50"/>
        <v>58173.409069198133</v>
      </c>
      <c r="BA30" s="396">
        <f>AZ30</f>
        <v>58173.409069198133</v>
      </c>
      <c r="BB30" s="396">
        <f t="shared" ref="BB30:BM30" si="51">BB29+BA30</f>
        <v>62203.131761316203</v>
      </c>
      <c r="BC30" s="396">
        <f t="shared" si="51"/>
        <v>66233.078834541971</v>
      </c>
      <c r="BD30" s="396">
        <f t="shared" si="51"/>
        <v>70217.861713875434</v>
      </c>
      <c r="BE30" s="396">
        <f t="shared" si="51"/>
        <v>74184.934974316595</v>
      </c>
      <c r="BF30" s="396">
        <f t="shared" si="51"/>
        <v>78137.803065865446</v>
      </c>
      <c r="BG30" s="396">
        <f t="shared" si="51"/>
        <v>82123.054037021997</v>
      </c>
      <c r="BH30" s="396">
        <f t="shared" si="51"/>
        <v>85955.560998856978</v>
      </c>
      <c r="BI30" s="396">
        <f t="shared" si="51"/>
        <v>89857.967595912371</v>
      </c>
      <c r="BJ30" s="396">
        <f t="shared" si="51"/>
        <v>93831.473858188168</v>
      </c>
      <c r="BK30" s="396">
        <f t="shared" si="51"/>
        <v>97255.815210044559</v>
      </c>
      <c r="BL30" s="396">
        <f t="shared" si="51"/>
        <v>100740.22354383761</v>
      </c>
      <c r="BM30" s="396">
        <f t="shared" si="51"/>
        <v>104263.00049836733</v>
      </c>
      <c r="BN30" s="396">
        <f>BM30</f>
        <v>104263.00049836733</v>
      </c>
      <c r="BO30" s="396"/>
    </row>
    <row r="31" spans="1:67" x14ac:dyDescent="0.25">
      <c r="A31" s="392" t="s">
        <v>434</v>
      </c>
      <c r="B31" s="398">
        <f>B18</f>
        <v>2.18E-2</v>
      </c>
      <c r="C31" s="398">
        <f t="shared" ref="C31:BM31" si="52">C18</f>
        <v>2.18E-2</v>
      </c>
      <c r="D31" s="398">
        <f t="shared" si="52"/>
        <v>2.18E-2</v>
      </c>
      <c r="E31" s="398">
        <f t="shared" si="52"/>
        <v>2.18E-2</v>
      </c>
      <c r="F31" s="398">
        <f t="shared" si="52"/>
        <v>2.18E-2</v>
      </c>
      <c r="G31" s="398">
        <f t="shared" si="52"/>
        <v>2.18E-2</v>
      </c>
      <c r="H31" s="398">
        <f t="shared" si="52"/>
        <v>5.7299999999999999E-3</v>
      </c>
      <c r="I31" s="398">
        <f t="shared" si="52"/>
        <v>5.7299999999999999E-3</v>
      </c>
      <c r="J31" s="398">
        <f t="shared" si="52"/>
        <v>5.7299999999999999E-3</v>
      </c>
      <c r="K31" s="398">
        <f t="shared" si="52"/>
        <v>5.6999999999999993E-3</v>
      </c>
      <c r="L31" s="398">
        <f t="shared" si="52"/>
        <v>5.6999999999999993E-3</v>
      </c>
      <c r="M31" s="398">
        <f t="shared" si="52"/>
        <v>5.6999999999999993E-3</v>
      </c>
      <c r="N31" s="398"/>
      <c r="O31" s="398">
        <f t="shared" si="52"/>
        <v>5.6999999999999993E-3</v>
      </c>
      <c r="P31" s="398">
        <f t="shared" si="52"/>
        <v>5.6999999999999993E-3</v>
      </c>
      <c r="Q31" s="398">
        <f t="shared" si="52"/>
        <v>5.6999999999999993E-3</v>
      </c>
      <c r="R31" s="398">
        <f t="shared" si="52"/>
        <v>5.6999999999999993E-3</v>
      </c>
      <c r="S31" s="398">
        <f t="shared" si="52"/>
        <v>5.6999999999999993E-3</v>
      </c>
      <c r="T31" s="398">
        <f t="shared" si="52"/>
        <v>5.6999999999999993E-3</v>
      </c>
      <c r="U31" s="398">
        <f t="shared" si="52"/>
        <v>5.6999999999999993E-3</v>
      </c>
      <c r="V31" s="398">
        <f t="shared" si="52"/>
        <v>5.6999999999999993E-3</v>
      </c>
      <c r="W31" s="398">
        <f t="shared" si="52"/>
        <v>5.6999999999999993E-3</v>
      </c>
      <c r="X31" s="398">
        <f t="shared" si="52"/>
        <v>5.6999999999999993E-3</v>
      </c>
      <c r="Y31" s="398">
        <f t="shared" si="52"/>
        <v>5.6999999999999993E-3</v>
      </c>
      <c r="Z31" s="398">
        <f t="shared" si="52"/>
        <v>5.6999999999999993E-3</v>
      </c>
      <c r="AA31" s="398"/>
      <c r="AB31" s="398">
        <f t="shared" si="52"/>
        <v>5.6999999999999993E-3</v>
      </c>
      <c r="AC31" s="398">
        <f t="shared" si="52"/>
        <v>5.6999999999999993E-3</v>
      </c>
      <c r="AD31" s="398">
        <f t="shared" si="52"/>
        <v>5.6999999999999993E-3</v>
      </c>
      <c r="AE31" s="398">
        <f t="shared" si="52"/>
        <v>1.0200000000000001E-2</v>
      </c>
      <c r="AF31" s="398">
        <f t="shared" si="52"/>
        <v>1.0200000000000001E-2</v>
      </c>
      <c r="AG31" s="398">
        <f t="shared" si="52"/>
        <v>1.0200000000000001E-2</v>
      </c>
      <c r="AH31" s="398">
        <f t="shared" si="52"/>
        <v>2.2000000000000002E-2</v>
      </c>
      <c r="AI31" s="398">
        <f t="shared" si="52"/>
        <v>2.2000000000000002E-2</v>
      </c>
      <c r="AJ31" s="398">
        <f t="shared" si="52"/>
        <v>2.2000000000000002E-2</v>
      </c>
      <c r="AK31" s="398">
        <f t="shared" si="52"/>
        <v>3.8699999999999998E-2</v>
      </c>
      <c r="AL31" s="398">
        <f t="shared" si="52"/>
        <v>3.8699999999999998E-2</v>
      </c>
      <c r="AM31" s="398">
        <f t="shared" si="52"/>
        <v>3.8699999999999998E-2</v>
      </c>
      <c r="AN31" s="398"/>
      <c r="AO31" s="398">
        <f t="shared" si="52"/>
        <v>4.7300000000000002E-2</v>
      </c>
      <c r="AP31" s="398">
        <f t="shared" si="52"/>
        <v>4.7300000000000002E-2</v>
      </c>
      <c r="AQ31" s="398">
        <f t="shared" si="52"/>
        <v>4.7300000000000002E-2</v>
      </c>
      <c r="AR31" s="398">
        <f t="shared" si="52"/>
        <v>4.9800000000000004E-2</v>
      </c>
      <c r="AS31" s="398">
        <f t="shared" si="52"/>
        <v>4.9800000000000004E-2</v>
      </c>
      <c r="AT31" s="398">
        <f t="shared" si="52"/>
        <v>4.9800000000000004E-2</v>
      </c>
      <c r="AU31" s="398">
        <f t="shared" si="52"/>
        <v>4.9800000000000004E-2</v>
      </c>
      <c r="AV31" s="398">
        <f t="shared" si="52"/>
        <v>4.9800000000000004E-2</v>
      </c>
      <c r="AW31" s="398">
        <f t="shared" si="52"/>
        <v>4.9800000000000004E-2</v>
      </c>
      <c r="AX31" s="398">
        <f t="shared" si="52"/>
        <v>5.4900000000000004E-2</v>
      </c>
      <c r="AY31" s="398">
        <f t="shared" si="52"/>
        <v>5.4900000000000004E-2</v>
      </c>
      <c r="AZ31" s="398">
        <f t="shared" si="52"/>
        <v>5.4900000000000004E-2</v>
      </c>
      <c r="BA31" s="398"/>
      <c r="BB31" s="398">
        <f t="shared" si="52"/>
        <v>5.4900000000000004E-2</v>
      </c>
      <c r="BC31" s="398">
        <f t="shared" si="52"/>
        <v>5.4900000000000004E-2</v>
      </c>
      <c r="BD31" s="398">
        <f t="shared" si="52"/>
        <v>5.4900000000000004E-2</v>
      </c>
      <c r="BE31" s="398">
        <f t="shared" si="52"/>
        <v>5.4900000000000004E-2</v>
      </c>
      <c r="BF31" s="398">
        <f t="shared" si="52"/>
        <v>5.4900000000000004E-2</v>
      </c>
      <c r="BG31" s="398">
        <f t="shared" si="52"/>
        <v>5.4900000000000004E-2</v>
      </c>
      <c r="BH31" s="398">
        <f t="shared" si="52"/>
        <v>5.2000000000000005E-2</v>
      </c>
      <c r="BI31" s="398">
        <f t="shared" si="52"/>
        <v>5.2000000000000005E-2</v>
      </c>
      <c r="BJ31" s="398">
        <f t="shared" si="52"/>
        <v>5.2000000000000005E-2</v>
      </c>
      <c r="BK31" s="398">
        <f t="shared" si="52"/>
        <v>4.4039999999999996E-2</v>
      </c>
      <c r="BL31" s="398">
        <f t="shared" si="52"/>
        <v>4.4039999999999996E-2</v>
      </c>
      <c r="BM31" s="398">
        <f t="shared" si="52"/>
        <v>4.4039999999999996E-2</v>
      </c>
      <c r="BN31" s="397"/>
      <c r="BO31" s="398">
        <f>BO18</f>
        <v>3.15625E-2</v>
      </c>
    </row>
    <row r="32" spans="1:67" x14ac:dyDescent="0.25">
      <c r="A32" s="392"/>
      <c r="B32" s="397"/>
      <c r="C32" s="397"/>
      <c r="D32" s="397"/>
      <c r="E32" s="397"/>
      <c r="F32" s="397"/>
      <c r="G32" s="397"/>
      <c r="H32" s="397"/>
      <c r="I32" s="397"/>
      <c r="J32" s="397"/>
      <c r="K32" s="397"/>
      <c r="L32" s="397"/>
      <c r="M32" s="397"/>
      <c r="N32" s="397"/>
      <c r="O32" s="397"/>
      <c r="P32" s="397"/>
      <c r="Q32" s="397"/>
      <c r="R32" s="397"/>
      <c r="S32" s="397"/>
      <c r="T32" s="397"/>
      <c r="U32" s="397"/>
      <c r="V32" s="397"/>
      <c r="W32" s="397"/>
      <c r="X32" s="397"/>
      <c r="Y32" s="397"/>
      <c r="Z32" s="397"/>
      <c r="AA32" s="397"/>
      <c r="AB32" s="397"/>
      <c r="AC32" s="397"/>
      <c r="AD32" s="397"/>
      <c r="AE32" s="397"/>
      <c r="AF32" s="397"/>
      <c r="AG32" s="397"/>
      <c r="AH32" s="397"/>
      <c r="AI32" s="397"/>
      <c r="AJ32" s="397"/>
      <c r="AK32" s="397"/>
      <c r="AL32" s="397"/>
      <c r="AM32" s="397"/>
      <c r="AN32" s="397"/>
      <c r="AO32" s="397"/>
      <c r="AP32" s="397"/>
      <c r="AQ32" s="397"/>
      <c r="AR32" s="397"/>
      <c r="AS32" s="397"/>
      <c r="AT32" s="397"/>
      <c r="AU32" s="397"/>
      <c r="AV32" s="397"/>
      <c r="AW32" s="397"/>
      <c r="AX32" s="397"/>
      <c r="AY32" s="397"/>
      <c r="AZ32" s="397"/>
      <c r="BA32" s="397"/>
      <c r="BB32" s="397"/>
      <c r="BC32" s="397"/>
      <c r="BD32" s="397"/>
      <c r="BE32" s="397"/>
      <c r="BF32" s="397"/>
      <c r="BG32" s="397"/>
      <c r="BH32" s="397"/>
      <c r="BI32" s="397"/>
      <c r="BJ32" s="397"/>
      <c r="BK32" s="397"/>
      <c r="BL32" s="397"/>
      <c r="BM32" s="397"/>
      <c r="BN32" s="397"/>
      <c r="BO32" s="397"/>
    </row>
    <row r="33" spans="1:68" s="315" customFormat="1" x14ac:dyDescent="0.25">
      <c r="A33" s="392" t="s">
        <v>449</v>
      </c>
      <c r="B33" s="400">
        <f>B26+B29</f>
        <v>30876.473207613286</v>
      </c>
      <c r="C33" s="400">
        <f t="shared" ref="C33:N33" si="53">C26+C29</f>
        <v>30932.565467273784</v>
      </c>
      <c r="D33" s="400">
        <f t="shared" si="53"/>
        <v>30988.657726934282</v>
      </c>
      <c r="E33" s="400">
        <f t="shared" si="53"/>
        <v>31044.749986594779</v>
      </c>
      <c r="F33" s="400">
        <f t="shared" si="53"/>
        <v>31100.842246255277</v>
      </c>
      <c r="G33" s="400">
        <f t="shared" si="53"/>
        <v>31156.934505915775</v>
      </c>
      <c r="H33" s="400">
        <f t="shared" si="53"/>
        <v>30964.934303353097</v>
      </c>
      <c r="I33" s="400">
        <f t="shared" si="53"/>
        <v>30979.677819309734</v>
      </c>
      <c r="J33" s="400">
        <f t="shared" si="53"/>
        <v>30992.681335266367</v>
      </c>
      <c r="K33" s="400">
        <f t="shared" si="53"/>
        <v>31274.829304075833</v>
      </c>
      <c r="L33" s="400">
        <f t="shared" si="53"/>
        <v>31000.66214984945</v>
      </c>
      <c r="M33" s="400">
        <f t="shared" si="53"/>
        <v>30968.997739623068</v>
      </c>
      <c r="N33" s="400">
        <f t="shared" si="53"/>
        <v>372282.00579206465</v>
      </c>
      <c r="O33" s="400">
        <f>O26+O29</f>
        <v>19998.107873679219</v>
      </c>
      <c r="P33" s="400">
        <f t="shared" ref="P33:AA33" si="54">P26+P29</f>
        <v>19562.463337812322</v>
      </c>
      <c r="Q33" s="400">
        <f t="shared" si="54"/>
        <v>18710.067398445419</v>
      </c>
      <c r="R33" s="400">
        <f t="shared" si="54"/>
        <v>18541.62219907852</v>
      </c>
      <c r="S33" s="400">
        <f t="shared" si="54"/>
        <v>18874.122810711622</v>
      </c>
      <c r="T33" s="400">
        <f t="shared" si="54"/>
        <v>19308.65722259472</v>
      </c>
      <c r="U33" s="400">
        <f t="shared" si="54"/>
        <v>19774.913827727825</v>
      </c>
      <c r="V33" s="400">
        <f t="shared" si="54"/>
        <v>19875.997598110924</v>
      </c>
      <c r="W33" s="400">
        <f t="shared" si="54"/>
        <v>19861.774973494026</v>
      </c>
      <c r="X33" s="400">
        <f t="shared" si="54"/>
        <v>19695.281162627125</v>
      </c>
      <c r="Y33" s="400">
        <f t="shared" si="54"/>
        <v>18756.723842010229</v>
      </c>
      <c r="Z33" s="400">
        <f t="shared" si="54"/>
        <v>15621.596321143326</v>
      </c>
      <c r="AA33" s="400">
        <f t="shared" si="54"/>
        <v>228581.32856743527</v>
      </c>
      <c r="AB33" s="400">
        <f>AB26+AB29</f>
        <v>11496.930542015247</v>
      </c>
      <c r="AC33" s="400">
        <f t="shared" ref="AC33:AN33" si="55">AC26+AC29</f>
        <v>9197.4869853203672</v>
      </c>
      <c r="AD33" s="400">
        <f t="shared" si="55"/>
        <v>9485.928662875489</v>
      </c>
      <c r="AE33" s="400">
        <f t="shared" si="55"/>
        <v>10059.398356466894</v>
      </c>
      <c r="AF33" s="400">
        <f t="shared" si="55"/>
        <v>13254.466650591847</v>
      </c>
      <c r="AG33" s="400">
        <f t="shared" si="55"/>
        <v>13510.273869216799</v>
      </c>
      <c r="AH33" s="400">
        <f t="shared" si="55"/>
        <v>17937.347271419581</v>
      </c>
      <c r="AI33" s="400">
        <f t="shared" si="55"/>
        <v>17531.180458649866</v>
      </c>
      <c r="AJ33" s="400">
        <f t="shared" si="55"/>
        <v>20090.432790880153</v>
      </c>
      <c r="AK33" s="400">
        <f t="shared" si="55"/>
        <v>20473.722247350022</v>
      </c>
      <c r="AL33" s="400">
        <f t="shared" si="55"/>
        <v>17753.695315750578</v>
      </c>
      <c r="AM33" s="400">
        <f t="shared" si="55"/>
        <v>13686.337270150732</v>
      </c>
      <c r="AN33" s="400">
        <f t="shared" si="55"/>
        <v>174477.20042068756</v>
      </c>
      <c r="AO33" s="400">
        <f>AO26+AO29</f>
        <v>6231.9863028276304</v>
      </c>
      <c r="AP33" s="400">
        <f t="shared" ref="AP33:BA33" si="56">AP26+AP29</f>
        <v>7315.1576416379303</v>
      </c>
      <c r="AQ33" s="400">
        <f t="shared" si="56"/>
        <v>6477.7080616148996</v>
      </c>
      <c r="AR33" s="400">
        <f t="shared" si="56"/>
        <v>6481.2127754311059</v>
      </c>
      <c r="AS33" s="400">
        <f t="shared" si="56"/>
        <v>12592.599512231382</v>
      </c>
      <c r="AT33" s="400">
        <f t="shared" si="56"/>
        <v>16484.721828531656</v>
      </c>
      <c r="AU33" s="400">
        <f t="shared" si="56"/>
        <v>20414.874758831986</v>
      </c>
      <c r="AV33" s="400">
        <f t="shared" si="56"/>
        <v>21255.729769132216</v>
      </c>
      <c r="AW33" s="400">
        <f t="shared" si="56"/>
        <v>20675.439532432483</v>
      </c>
      <c r="AX33" s="400">
        <f t="shared" si="56"/>
        <v>20978.700703152081</v>
      </c>
      <c r="AY33" s="400">
        <f t="shared" si="56"/>
        <v>16725.411365682099</v>
      </c>
      <c r="AZ33" s="400">
        <f t="shared" si="56"/>
        <v>8013.0352327118471</v>
      </c>
      <c r="BA33" s="400">
        <f t="shared" si="56"/>
        <v>163646.5774842173</v>
      </c>
      <c r="BB33" s="400">
        <f>BB26+BB29</f>
        <v>4078.7677429803675</v>
      </c>
      <c r="BC33" s="400">
        <f t="shared" ref="BC33:BO33" si="57">BC26+BC29</f>
        <v>-5842.0078759119388</v>
      </c>
      <c r="BD33" s="400">
        <f t="shared" si="57"/>
        <v>113.82793019575684</v>
      </c>
      <c r="BE33" s="400">
        <f t="shared" si="57"/>
        <v>862.11831130348401</v>
      </c>
      <c r="BF33" s="400">
        <f t="shared" si="57"/>
        <v>11031.093142411512</v>
      </c>
      <c r="BG33" s="400">
        <f t="shared" si="57"/>
        <v>17316.826022018962</v>
      </c>
      <c r="BH33" s="400">
        <f t="shared" si="57"/>
        <v>19963.19201269732</v>
      </c>
      <c r="BI33" s="400">
        <f t="shared" si="57"/>
        <v>20310.021647917703</v>
      </c>
      <c r="BJ33" s="400">
        <f t="shared" si="57"/>
        <v>20073.561313138118</v>
      </c>
      <c r="BK33" s="400">
        <f t="shared" si="57"/>
        <v>19791.366402718722</v>
      </c>
      <c r="BL33" s="400">
        <f t="shared" si="57"/>
        <v>13939.073384655559</v>
      </c>
      <c r="BM33" s="400">
        <f t="shared" si="57"/>
        <v>5102.5020053921671</v>
      </c>
      <c r="BN33" s="400">
        <f t="shared" si="57"/>
        <v>126740.34203951774</v>
      </c>
      <c r="BO33" s="400">
        <f t="shared" si="57"/>
        <v>30346.221823237833</v>
      </c>
    </row>
    <row r="34" spans="1:68" s="315" customFormat="1" x14ac:dyDescent="0.25">
      <c r="A34" s="394" t="s">
        <v>450</v>
      </c>
      <c r="B34" s="409">
        <f>B33</f>
        <v>30876.473207613286</v>
      </c>
      <c r="C34" s="409">
        <f>C33+B34</f>
        <v>61809.038674887066</v>
      </c>
      <c r="D34" s="409">
        <f t="shared" ref="D34:M34" si="58">D33+C34</f>
        <v>92797.696401821348</v>
      </c>
      <c r="E34" s="409">
        <f t="shared" si="58"/>
        <v>123842.44638841612</v>
      </c>
      <c r="F34" s="409">
        <f t="shared" si="58"/>
        <v>154943.28863467139</v>
      </c>
      <c r="G34" s="409">
        <f t="shared" si="58"/>
        <v>186100.22314058716</v>
      </c>
      <c r="H34" s="409">
        <f t="shared" si="58"/>
        <v>217065.15744394026</v>
      </c>
      <c r="I34" s="409">
        <f t="shared" si="58"/>
        <v>248044.83526324999</v>
      </c>
      <c r="J34" s="409">
        <f t="shared" si="58"/>
        <v>279037.51659851638</v>
      </c>
      <c r="K34" s="409">
        <f t="shared" si="58"/>
        <v>310312.34590259223</v>
      </c>
      <c r="L34" s="409">
        <f t="shared" si="58"/>
        <v>341313.0080524417</v>
      </c>
      <c r="M34" s="409">
        <f t="shared" si="58"/>
        <v>372282.00579206477</v>
      </c>
      <c r="N34" s="410">
        <f>M34</f>
        <v>372282.00579206477</v>
      </c>
      <c r="O34" s="409">
        <f t="shared" ref="O34:Z34" si="59">O33+N34</f>
        <v>392280.11366574396</v>
      </c>
      <c r="P34" s="409">
        <f t="shared" si="59"/>
        <v>411842.5770035563</v>
      </c>
      <c r="Q34" s="409">
        <f t="shared" si="59"/>
        <v>430552.64440200175</v>
      </c>
      <c r="R34" s="409">
        <f t="shared" si="59"/>
        <v>449094.26660108025</v>
      </c>
      <c r="S34" s="409">
        <f t="shared" si="59"/>
        <v>467968.38941179187</v>
      </c>
      <c r="T34" s="409">
        <f t="shared" si="59"/>
        <v>487277.04663438658</v>
      </c>
      <c r="U34" s="409">
        <f t="shared" si="59"/>
        <v>507051.96046211442</v>
      </c>
      <c r="V34" s="409">
        <f t="shared" si="59"/>
        <v>526927.95806022536</v>
      </c>
      <c r="W34" s="409">
        <f t="shared" si="59"/>
        <v>546789.73303371936</v>
      </c>
      <c r="X34" s="409">
        <f t="shared" si="59"/>
        <v>566485.01419634651</v>
      </c>
      <c r="Y34" s="409">
        <f t="shared" si="59"/>
        <v>585241.73803835677</v>
      </c>
      <c r="Z34" s="409">
        <f t="shared" si="59"/>
        <v>600863.33435950009</v>
      </c>
      <c r="AA34" s="410">
        <f>Z34</f>
        <v>600863.33435950009</v>
      </c>
      <c r="AB34" s="409">
        <f t="shared" ref="AB34:AM34" si="60">AB33+AA34</f>
        <v>612360.26490151533</v>
      </c>
      <c r="AC34" s="409">
        <f t="shared" si="60"/>
        <v>621557.75188683567</v>
      </c>
      <c r="AD34" s="409">
        <f t="shared" si="60"/>
        <v>631043.68054971111</v>
      </c>
      <c r="AE34" s="409">
        <f t="shared" si="60"/>
        <v>641103.07890617801</v>
      </c>
      <c r="AF34" s="409">
        <f t="shared" si="60"/>
        <v>654357.54555676982</v>
      </c>
      <c r="AG34" s="409">
        <f t="shared" si="60"/>
        <v>667867.81942598661</v>
      </c>
      <c r="AH34" s="409">
        <f t="shared" si="60"/>
        <v>685805.16669740621</v>
      </c>
      <c r="AI34" s="409">
        <f t="shared" si="60"/>
        <v>703336.34715605609</v>
      </c>
      <c r="AJ34" s="409">
        <f t="shared" si="60"/>
        <v>723426.77994693629</v>
      </c>
      <c r="AK34" s="409">
        <f t="shared" si="60"/>
        <v>743900.50219428632</v>
      </c>
      <c r="AL34" s="409">
        <f t="shared" si="60"/>
        <v>761654.19751003687</v>
      </c>
      <c r="AM34" s="409">
        <f t="shared" si="60"/>
        <v>775340.53478018765</v>
      </c>
      <c r="AN34" s="410">
        <f>AM34</f>
        <v>775340.53478018765</v>
      </c>
      <c r="AO34" s="409">
        <f t="shared" ref="AO34:AZ34" si="61">AO33+AN34</f>
        <v>781572.52108301525</v>
      </c>
      <c r="AP34" s="409">
        <f t="shared" si="61"/>
        <v>788887.6787246532</v>
      </c>
      <c r="AQ34" s="409">
        <f t="shared" si="61"/>
        <v>795365.38678626809</v>
      </c>
      <c r="AR34" s="409">
        <f t="shared" si="61"/>
        <v>801846.5995616992</v>
      </c>
      <c r="AS34" s="409">
        <f t="shared" si="61"/>
        <v>814439.19907393062</v>
      </c>
      <c r="AT34" s="409">
        <f t="shared" si="61"/>
        <v>830923.92090246233</v>
      </c>
      <c r="AU34" s="409">
        <f t="shared" si="61"/>
        <v>851338.79566129437</v>
      </c>
      <c r="AV34" s="409">
        <f t="shared" si="61"/>
        <v>872594.52543042658</v>
      </c>
      <c r="AW34" s="409">
        <f t="shared" si="61"/>
        <v>893269.96496285906</v>
      </c>
      <c r="AX34" s="409">
        <f t="shared" si="61"/>
        <v>914248.66566601116</v>
      </c>
      <c r="AY34" s="409">
        <f t="shared" si="61"/>
        <v>930974.0770316933</v>
      </c>
      <c r="AZ34" s="409">
        <f t="shared" si="61"/>
        <v>938987.11226440512</v>
      </c>
      <c r="BA34" s="410">
        <f>AZ34</f>
        <v>938987.11226440512</v>
      </c>
      <c r="BB34" s="409">
        <f t="shared" ref="BB34:BM34" si="62">BB33+BA34</f>
        <v>943065.88000738551</v>
      </c>
      <c r="BC34" s="409">
        <f t="shared" si="62"/>
        <v>937223.87213147362</v>
      </c>
      <c r="BD34" s="409">
        <f t="shared" si="62"/>
        <v>937337.70006166934</v>
      </c>
      <c r="BE34" s="409">
        <f t="shared" si="62"/>
        <v>938199.81837297278</v>
      </c>
      <c r="BF34" s="409">
        <f t="shared" si="62"/>
        <v>949230.91151538433</v>
      </c>
      <c r="BG34" s="409">
        <f t="shared" si="62"/>
        <v>966547.73753740324</v>
      </c>
      <c r="BH34" s="409">
        <f t="shared" si="62"/>
        <v>986510.92955010058</v>
      </c>
      <c r="BI34" s="409">
        <f t="shared" si="62"/>
        <v>1006820.9511980183</v>
      </c>
      <c r="BJ34" s="409">
        <f t="shared" si="62"/>
        <v>1026894.5125111564</v>
      </c>
      <c r="BK34" s="409">
        <f t="shared" si="62"/>
        <v>1046685.8789138751</v>
      </c>
      <c r="BL34" s="409">
        <f t="shared" si="62"/>
        <v>1060624.9522985306</v>
      </c>
      <c r="BM34" s="409">
        <f t="shared" si="62"/>
        <v>1065727.4543039228</v>
      </c>
      <c r="BN34" s="410">
        <f>BM34</f>
        <v>1065727.4543039228</v>
      </c>
      <c r="BO34" s="410">
        <f>BN34+BO33</f>
        <v>1096073.6761271607</v>
      </c>
    </row>
    <row r="35" spans="1:68" x14ac:dyDescent="0.25">
      <c r="A35" s="401" t="s">
        <v>451</v>
      </c>
      <c r="B35" s="396"/>
      <c r="C35" s="396"/>
      <c r="D35" s="396"/>
      <c r="E35" s="396"/>
      <c r="F35" s="396"/>
      <c r="G35" s="396"/>
      <c r="H35" s="396"/>
      <c r="I35" s="396"/>
      <c r="J35" s="396"/>
      <c r="K35" s="396"/>
      <c r="L35" s="396"/>
      <c r="M35" s="396"/>
      <c r="N35" s="396"/>
      <c r="O35" s="396"/>
      <c r="P35" s="396"/>
      <c r="Q35" s="396"/>
      <c r="R35" s="396"/>
      <c r="S35" s="396"/>
      <c r="T35" s="396"/>
      <c r="U35" s="396"/>
      <c r="V35" s="396"/>
      <c r="W35" s="396"/>
      <c r="X35" s="396"/>
      <c r="Y35" s="396"/>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c r="AY35" s="396"/>
      <c r="AZ35" s="396"/>
      <c r="BA35" s="396"/>
      <c r="BB35" s="396"/>
      <c r="BC35" s="396"/>
      <c r="BD35" s="396"/>
      <c r="BE35" s="396"/>
      <c r="BF35" s="396"/>
      <c r="BG35" s="396"/>
      <c r="BH35" s="396"/>
      <c r="BI35" s="396"/>
      <c r="BJ35" s="396"/>
      <c r="BK35" s="396"/>
      <c r="BL35" s="396"/>
      <c r="BM35" s="396"/>
      <c r="BN35" s="396"/>
      <c r="BO35" s="396"/>
    </row>
    <row r="36" spans="1:68" x14ac:dyDescent="0.25">
      <c r="A36" s="315" t="s">
        <v>398</v>
      </c>
      <c r="B36" s="396">
        <f t="shared" ref="B36:M36" si="63">B9+B23</f>
        <v>40775.223207613286</v>
      </c>
      <c r="C36" s="396">
        <f t="shared" si="63"/>
        <v>40775.223207613286</v>
      </c>
      <c r="D36" s="396">
        <f t="shared" si="63"/>
        <v>40775.223207613286</v>
      </c>
      <c r="E36" s="396">
        <f t="shared" si="63"/>
        <v>40775.223207613286</v>
      </c>
      <c r="F36" s="396">
        <f t="shared" si="63"/>
        <v>44388.509207613286</v>
      </c>
      <c r="G36" s="396">
        <f t="shared" si="63"/>
        <v>62992.342207613285</v>
      </c>
      <c r="H36" s="396">
        <f t="shared" si="63"/>
        <v>64663.373207613287</v>
      </c>
      <c r="I36" s="396">
        <f t="shared" si="63"/>
        <v>61070.2805532739</v>
      </c>
      <c r="J36" s="396">
        <f t="shared" si="63"/>
        <v>60031.52565105469</v>
      </c>
      <c r="K36" s="396">
        <f t="shared" si="63"/>
        <v>60029.920383066754</v>
      </c>
      <c r="L36" s="396">
        <f t="shared" si="63"/>
        <v>66221.327607605621</v>
      </c>
      <c r="M36" s="396">
        <f t="shared" si="63"/>
        <v>75094.099989544076</v>
      </c>
      <c r="N36" s="396">
        <f>SUM(B36:M36)</f>
        <v>657592.2716378381</v>
      </c>
      <c r="O36" s="396">
        <f t="shared" ref="O36:Z36" si="64">O9+O23</f>
        <v>73214.92972567644</v>
      </c>
      <c r="P36" s="396">
        <f t="shared" si="64"/>
        <v>73641.348487949625</v>
      </c>
      <c r="Q36" s="396">
        <f t="shared" si="64"/>
        <v>73467.56083099953</v>
      </c>
      <c r="R36" s="396">
        <f t="shared" si="64"/>
        <v>73183.733875878825</v>
      </c>
      <c r="S36" s="396">
        <f t="shared" si="64"/>
        <v>73230.897036861905</v>
      </c>
      <c r="T36" s="396">
        <f t="shared" si="64"/>
        <v>73176.981482529722</v>
      </c>
      <c r="U36" s="396">
        <f t="shared" si="64"/>
        <v>73110.438984659748</v>
      </c>
      <c r="V36" s="396">
        <f t="shared" si="64"/>
        <v>73154.182914424498</v>
      </c>
      <c r="W36" s="396">
        <f t="shared" si="64"/>
        <v>73251.758114368728</v>
      </c>
      <c r="X36" s="396">
        <f t="shared" si="64"/>
        <v>73538.804779945072</v>
      </c>
      <c r="Y36" s="396">
        <f t="shared" si="64"/>
        <v>74244.313821863354</v>
      </c>
      <c r="Z36" s="396">
        <f t="shared" si="64"/>
        <v>54571.943768433659</v>
      </c>
      <c r="AA36" s="396">
        <f>SUM(O36:Z36)</f>
        <v>861786.89382359106</v>
      </c>
      <c r="AB36" s="396">
        <f t="shared" ref="AB36:AM36" si="65">AB9+AB23</f>
        <v>71760.35179025447</v>
      </c>
      <c r="AC36" s="396">
        <f t="shared" si="65"/>
        <v>71526.043619363365</v>
      </c>
      <c r="AD36" s="396">
        <f t="shared" si="65"/>
        <v>71333.258313986269</v>
      </c>
      <c r="AE36" s="396">
        <f t="shared" si="65"/>
        <v>70940.576634491357</v>
      </c>
      <c r="AF36" s="396">
        <f t="shared" si="65"/>
        <v>70562.951145689207</v>
      </c>
      <c r="AG36" s="396">
        <f t="shared" si="65"/>
        <v>70250.530503260408</v>
      </c>
      <c r="AH36" s="396">
        <f t="shared" si="65"/>
        <v>70237.769427954365</v>
      </c>
      <c r="AI36" s="396">
        <f t="shared" si="65"/>
        <v>70476.622884146869</v>
      </c>
      <c r="AJ36" s="396">
        <f t="shared" si="65"/>
        <v>70486.719101618219</v>
      </c>
      <c r="AK36" s="396">
        <f t="shared" si="65"/>
        <v>90586.716969866713</v>
      </c>
      <c r="AL36" s="396">
        <f t="shared" si="65"/>
        <v>91086.321416774881</v>
      </c>
      <c r="AM36" s="396">
        <f t="shared" si="65"/>
        <v>91373.077453854203</v>
      </c>
      <c r="AN36" s="396">
        <f>SUM(AB36:AM36)</f>
        <v>910620.93926126044</v>
      </c>
      <c r="AO36" s="396">
        <f t="shared" ref="AO36:AZ36" si="66">AO9+AO23</f>
        <v>87567.307827153709</v>
      </c>
      <c r="AP36" s="396">
        <f t="shared" si="66"/>
        <v>77535.384598236196</v>
      </c>
      <c r="AQ36" s="396">
        <f t="shared" si="66"/>
        <v>77398.754307195573</v>
      </c>
      <c r="AR36" s="396">
        <f t="shared" si="66"/>
        <v>76262.528388985942</v>
      </c>
      <c r="AS36" s="396">
        <f t="shared" si="66"/>
        <v>75866.330831265368</v>
      </c>
      <c r="AT36" s="396">
        <f t="shared" si="66"/>
        <v>75294.993480544363</v>
      </c>
      <c r="AU36" s="396">
        <f t="shared" si="66"/>
        <v>75188.726096153259</v>
      </c>
      <c r="AV36" s="396">
        <f t="shared" si="66"/>
        <v>75783.903791189208</v>
      </c>
      <c r="AW36" s="396">
        <f t="shared" si="66"/>
        <v>75556.130732511752</v>
      </c>
      <c r="AX36" s="396">
        <f t="shared" si="66"/>
        <v>77335.074210205086</v>
      </c>
      <c r="AY36" s="396">
        <f t="shared" si="66"/>
        <v>80853.450683717077</v>
      </c>
      <c r="AZ36" s="396">
        <f t="shared" si="66"/>
        <v>79146.912476191486</v>
      </c>
      <c r="BA36" s="396">
        <f>SUM(AO36:AZ36)</f>
        <v>933789.49742334895</v>
      </c>
      <c r="BB36" s="396">
        <f t="shared" ref="BB36:BM36" si="67">BB9+BB23</f>
        <v>73398.912238520395</v>
      </c>
      <c r="BC36" s="396">
        <f t="shared" si="67"/>
        <v>72944.519444333899</v>
      </c>
      <c r="BD36" s="396">
        <f t="shared" si="67"/>
        <v>77689.875018898078</v>
      </c>
      <c r="BE36" s="396">
        <f t="shared" si="67"/>
        <v>86532.359351052321</v>
      </c>
      <c r="BF36" s="396">
        <f t="shared" si="67"/>
        <v>71151.255962454423</v>
      </c>
      <c r="BG36" s="396">
        <f t="shared" si="67"/>
        <v>70730.325343353164</v>
      </c>
      <c r="BH36" s="396">
        <f t="shared" si="67"/>
        <v>70911.837616339617</v>
      </c>
      <c r="BI36" s="396">
        <f t="shared" si="67"/>
        <v>70984.267242412257</v>
      </c>
      <c r="BJ36" s="396">
        <f t="shared" si="67"/>
        <v>71017.849062330119</v>
      </c>
      <c r="BK36" s="396">
        <f t="shared" si="67"/>
        <v>87262.212136172922</v>
      </c>
      <c r="BL36" s="396">
        <f t="shared" si="67"/>
        <v>150728.71291318108</v>
      </c>
      <c r="BM36" s="396">
        <f t="shared" si="67"/>
        <v>110791.30833977848</v>
      </c>
      <c r="BN36" s="396">
        <f>SUM(BB36:BM36)</f>
        <v>1014143.4346688266</v>
      </c>
      <c r="BO36" s="396"/>
    </row>
    <row r="37" spans="1:68" x14ac:dyDescent="0.25">
      <c r="A37" s="315" t="s">
        <v>419</v>
      </c>
      <c r="B37" s="396">
        <f t="shared" ref="B37:M37" si="68">B11+B24</f>
        <v>0</v>
      </c>
      <c r="C37" s="396">
        <f t="shared" si="68"/>
        <v>0</v>
      </c>
      <c r="D37" s="396">
        <f t="shared" si="68"/>
        <v>0</v>
      </c>
      <c r="E37" s="396">
        <f t="shared" si="68"/>
        <v>0</v>
      </c>
      <c r="F37" s="396">
        <f t="shared" si="68"/>
        <v>0</v>
      </c>
      <c r="G37" s="396">
        <f t="shared" si="68"/>
        <v>0</v>
      </c>
      <c r="H37" s="396">
        <f t="shared" si="68"/>
        <v>0</v>
      </c>
      <c r="I37" s="396">
        <f t="shared" si="68"/>
        <v>0</v>
      </c>
      <c r="J37" s="396">
        <f t="shared" si="68"/>
        <v>91.41</v>
      </c>
      <c r="K37" s="396">
        <f t="shared" si="68"/>
        <v>-623.06999999999994</v>
      </c>
      <c r="L37" s="396">
        <f t="shared" si="68"/>
        <v>1189.01</v>
      </c>
      <c r="M37" s="396">
        <f t="shared" si="68"/>
        <v>1298.8500000000001</v>
      </c>
      <c r="N37" s="396">
        <f t="shared" ref="N37:N38" si="69">SUM(B37:M37)</f>
        <v>1956.2000000000003</v>
      </c>
      <c r="O37" s="396">
        <f t="shared" ref="O37:Z37" si="70">O11+O24</f>
        <v>1024.83</v>
      </c>
      <c r="P37" s="396">
        <f t="shared" si="70"/>
        <v>2284.04</v>
      </c>
      <c r="Q37" s="396">
        <f t="shared" si="70"/>
        <v>4741.6400000000003</v>
      </c>
      <c r="R37" s="396">
        <f t="shared" si="70"/>
        <v>5275.01</v>
      </c>
      <c r="S37" s="396">
        <f t="shared" si="70"/>
        <v>4351.8699999999972</v>
      </c>
      <c r="T37" s="396">
        <f t="shared" si="70"/>
        <v>3174.8799999999974</v>
      </c>
      <c r="U37" s="396">
        <f t="shared" si="70"/>
        <v>1841.9799999999996</v>
      </c>
      <c r="V37" s="396">
        <f t="shared" si="70"/>
        <v>1807.2099999999973</v>
      </c>
      <c r="W37" s="396">
        <f t="shared" si="70"/>
        <v>1681.3899999999994</v>
      </c>
      <c r="X37" s="396">
        <f t="shared" si="70"/>
        <v>2164.4899999999998</v>
      </c>
      <c r="Y37" s="396">
        <f t="shared" si="70"/>
        <v>6130.6299999999974</v>
      </c>
      <c r="Z37" s="396">
        <f t="shared" si="70"/>
        <v>15922.41</v>
      </c>
      <c r="AA37" s="396">
        <f>SUM(O37:Z37)</f>
        <v>50400.37999999999</v>
      </c>
      <c r="AB37" s="396">
        <f t="shared" ref="AB37:AM37" si="71">AB11+AB24</f>
        <v>24609.420000000002</v>
      </c>
      <c r="AC37" s="396">
        <f t="shared" si="71"/>
        <v>30340.729999999996</v>
      </c>
      <c r="AD37" s="396">
        <f t="shared" si="71"/>
        <v>29514.519999999997</v>
      </c>
      <c r="AE37" s="396">
        <f t="shared" si="71"/>
        <v>28633.589999999997</v>
      </c>
      <c r="AF37" s="396">
        <f t="shared" si="71"/>
        <v>19523.62</v>
      </c>
      <c r="AG37" s="396">
        <f t="shared" si="71"/>
        <v>19181.62</v>
      </c>
      <c r="AH37" s="396">
        <f t="shared" si="71"/>
        <v>8178.619999999999</v>
      </c>
      <c r="AI37" s="396">
        <f t="shared" si="71"/>
        <v>23850.219999999994</v>
      </c>
      <c r="AJ37" s="396">
        <f t="shared" si="71"/>
        <v>4150</v>
      </c>
      <c r="AK37" s="396">
        <f t="shared" si="71"/>
        <v>6224.32</v>
      </c>
      <c r="AL37" s="396">
        <f t="shared" si="71"/>
        <v>27121.760000000097</v>
      </c>
      <c r="AM37" s="396">
        <f t="shared" si="71"/>
        <v>27459.480000000898</v>
      </c>
      <c r="AN37" s="396">
        <f>SUM(AB37:AM37)</f>
        <v>248787.90000000095</v>
      </c>
      <c r="AO37" s="396">
        <f t="shared" ref="AO37:AZ37" si="72">AO11+AO24</f>
        <v>50156.259999999995</v>
      </c>
      <c r="AP37" s="396">
        <f t="shared" si="72"/>
        <v>43403.850000000006</v>
      </c>
      <c r="AQ37" s="396">
        <f t="shared" si="72"/>
        <v>45752.4</v>
      </c>
      <c r="AR37" s="396">
        <f t="shared" si="72"/>
        <v>46239.950000000004</v>
      </c>
      <c r="AS37" s="396">
        <f t="shared" si="72"/>
        <v>29191.27</v>
      </c>
      <c r="AT37" s="396">
        <f t="shared" si="72"/>
        <v>17799.73</v>
      </c>
      <c r="AU37" s="396">
        <f t="shared" si="72"/>
        <v>6818.339999999951</v>
      </c>
      <c r="AV37" s="396">
        <f t="shared" si="72"/>
        <v>4626.4399999999896</v>
      </c>
      <c r="AW37" s="396">
        <f t="shared" si="72"/>
        <v>8256.08</v>
      </c>
      <c r="AX37" s="396">
        <f t="shared" si="72"/>
        <v>6925.8799999999992</v>
      </c>
      <c r="AY37" s="396">
        <f t="shared" si="72"/>
        <v>26633.199999999782</v>
      </c>
      <c r="AZ37" s="396">
        <f t="shared" si="72"/>
        <v>64651.709999999817</v>
      </c>
      <c r="BA37" s="396">
        <f>SUM(AO37:AZ37)</f>
        <v>350455.10999999952</v>
      </c>
      <c r="BB37" s="396">
        <f t="shared" ref="BB37:BM37" si="73">BB11+BB24</f>
        <v>60347</v>
      </c>
      <c r="BC37" s="396">
        <f t="shared" si="73"/>
        <v>83384</v>
      </c>
      <c r="BD37" s="396">
        <f t="shared" si="73"/>
        <v>66041</v>
      </c>
      <c r="BE37" s="396">
        <f t="shared" si="73"/>
        <v>63815.169999999896</v>
      </c>
      <c r="BF37" s="396">
        <f t="shared" si="73"/>
        <v>34643.189999999639</v>
      </c>
      <c r="BG37" s="396">
        <f t="shared" si="73"/>
        <v>16739.889999999818</v>
      </c>
      <c r="BH37" s="396">
        <f t="shared" si="73"/>
        <v>8685.6399999999903</v>
      </c>
      <c r="BI37" s="396">
        <f t="shared" si="73"/>
        <v>8845.3699999999826</v>
      </c>
      <c r="BJ37" s="396">
        <f t="shared" si="73"/>
        <v>8979.7999999999829</v>
      </c>
      <c r="BK37" s="396">
        <f t="shared" si="73"/>
        <v>8270.8999999999742</v>
      </c>
      <c r="BL37" s="396">
        <f t="shared" si="73"/>
        <v>41097.259999999776</v>
      </c>
      <c r="BM37" s="396">
        <f t="shared" si="73"/>
        <v>53737.469999999754</v>
      </c>
      <c r="BN37" s="396">
        <f>SUM(BB37:BM37)</f>
        <v>454586.6899999989</v>
      </c>
      <c r="BO37" s="396"/>
    </row>
    <row r="38" spans="1:68" x14ac:dyDescent="0.25">
      <c r="A38" s="315" t="s">
        <v>417</v>
      </c>
      <c r="B38" s="396">
        <f>B36-B37</f>
        <v>40775.223207613286</v>
      </c>
      <c r="C38" s="396">
        <f t="shared" ref="C38:M38" si="74">C36-C37</f>
        <v>40775.223207613286</v>
      </c>
      <c r="D38" s="396">
        <f t="shared" si="74"/>
        <v>40775.223207613286</v>
      </c>
      <c r="E38" s="396">
        <f t="shared" si="74"/>
        <v>40775.223207613286</v>
      </c>
      <c r="F38" s="396">
        <f t="shared" si="74"/>
        <v>44388.509207613286</v>
      </c>
      <c r="G38" s="396">
        <f t="shared" si="74"/>
        <v>62992.342207613285</v>
      </c>
      <c r="H38" s="396">
        <f t="shared" si="74"/>
        <v>64663.373207613287</v>
      </c>
      <c r="I38" s="396">
        <f t="shared" si="74"/>
        <v>61070.2805532739</v>
      </c>
      <c r="J38" s="396">
        <f t="shared" si="74"/>
        <v>59940.115651054686</v>
      </c>
      <c r="K38" s="396">
        <f t="shared" si="74"/>
        <v>60652.990383066754</v>
      </c>
      <c r="L38" s="396">
        <f t="shared" si="74"/>
        <v>65032.317607605619</v>
      </c>
      <c r="M38" s="396">
        <f t="shared" si="74"/>
        <v>73795.249989544071</v>
      </c>
      <c r="N38" s="396">
        <f t="shared" si="69"/>
        <v>655636.07163783803</v>
      </c>
      <c r="O38" s="396">
        <f>O36-O37</f>
        <v>72190.099725676439</v>
      </c>
      <c r="P38" s="396">
        <f t="shared" ref="P38:Z38" si="75">P36-P37</f>
        <v>71357.308487949631</v>
      </c>
      <c r="Q38" s="396">
        <f t="shared" si="75"/>
        <v>68725.92083099953</v>
      </c>
      <c r="R38" s="396">
        <f t="shared" si="75"/>
        <v>67908.72387587883</v>
      </c>
      <c r="S38" s="396">
        <f t="shared" si="75"/>
        <v>68879.027036861909</v>
      </c>
      <c r="T38" s="396">
        <f t="shared" si="75"/>
        <v>70002.101482529717</v>
      </c>
      <c r="U38" s="396">
        <f t="shared" si="75"/>
        <v>71268.458984659752</v>
      </c>
      <c r="V38" s="396">
        <f t="shared" si="75"/>
        <v>71346.972914424507</v>
      </c>
      <c r="W38" s="396">
        <f t="shared" si="75"/>
        <v>71570.368114368728</v>
      </c>
      <c r="X38" s="396">
        <f t="shared" si="75"/>
        <v>71374.314779945067</v>
      </c>
      <c r="Y38" s="396">
        <f t="shared" si="75"/>
        <v>68113.683821863349</v>
      </c>
      <c r="Z38" s="396">
        <f t="shared" si="75"/>
        <v>38649.533768433655</v>
      </c>
      <c r="AA38" s="396">
        <f>SUM(O38:Z38)</f>
        <v>811386.51382359117</v>
      </c>
      <c r="AB38" s="396">
        <f>AB36-AB37</f>
        <v>47150.931790254472</v>
      </c>
      <c r="AC38" s="396">
        <f t="shared" ref="AC38:AM38" si="76">AC36-AC37</f>
        <v>41185.313619363369</v>
      </c>
      <c r="AD38" s="396">
        <f t="shared" si="76"/>
        <v>41818.738313986272</v>
      </c>
      <c r="AE38" s="396">
        <f t="shared" si="76"/>
        <v>42306.986634491361</v>
      </c>
      <c r="AF38" s="396">
        <f t="shared" si="76"/>
        <v>51039.331145689212</v>
      </c>
      <c r="AG38" s="396">
        <f t="shared" si="76"/>
        <v>51068.910503260413</v>
      </c>
      <c r="AH38" s="396">
        <f t="shared" si="76"/>
        <v>62059.149427954369</v>
      </c>
      <c r="AI38" s="396">
        <f t="shared" si="76"/>
        <v>46626.402884146875</v>
      </c>
      <c r="AJ38" s="396">
        <f t="shared" si="76"/>
        <v>66336.719101618219</v>
      </c>
      <c r="AK38" s="396">
        <f t="shared" si="76"/>
        <v>84362.396969866706</v>
      </c>
      <c r="AL38" s="396">
        <f t="shared" si="76"/>
        <v>63964.561416774784</v>
      </c>
      <c r="AM38" s="396">
        <f t="shared" si="76"/>
        <v>63913.597453853305</v>
      </c>
      <c r="AN38" s="396">
        <f>SUM(AB38:AM38)</f>
        <v>661833.03926125937</v>
      </c>
      <c r="AO38" s="396">
        <f>AO36-AO37</f>
        <v>37411.047827153714</v>
      </c>
      <c r="AP38" s="396">
        <f t="shared" ref="AP38:AZ38" si="77">AP36-AP37</f>
        <v>34131.534598236191</v>
      </c>
      <c r="AQ38" s="396">
        <f t="shared" si="77"/>
        <v>31646.354307195572</v>
      </c>
      <c r="AR38" s="396">
        <f t="shared" si="77"/>
        <v>30022.578388985938</v>
      </c>
      <c r="AS38" s="396">
        <f t="shared" si="77"/>
        <v>46675.060831265364</v>
      </c>
      <c r="AT38" s="396">
        <f t="shared" si="77"/>
        <v>57495.263480544367</v>
      </c>
      <c r="AU38" s="396">
        <f t="shared" si="77"/>
        <v>68370.386096153306</v>
      </c>
      <c r="AV38" s="396">
        <f t="shared" si="77"/>
        <v>71157.463791189221</v>
      </c>
      <c r="AW38" s="396">
        <f t="shared" si="77"/>
        <v>67300.050732511751</v>
      </c>
      <c r="AX38" s="396">
        <f t="shared" si="77"/>
        <v>70409.194210205082</v>
      </c>
      <c r="AY38" s="396">
        <f t="shared" si="77"/>
        <v>54220.250683717299</v>
      </c>
      <c r="AZ38" s="396">
        <f t="shared" si="77"/>
        <v>14495.202476191669</v>
      </c>
      <c r="BA38" s="396">
        <f>SUM(AO38:AZ38)</f>
        <v>583334.38742334943</v>
      </c>
      <c r="BB38" s="396">
        <f>BB36-BB37</f>
        <v>13051.912238520395</v>
      </c>
      <c r="BC38" s="396">
        <f t="shared" ref="BC38:BM38" si="78">BC36-BC37</f>
        <v>-10439.480555666101</v>
      </c>
      <c r="BD38" s="396">
        <f t="shared" si="78"/>
        <v>11648.875018898078</v>
      </c>
      <c r="BE38" s="396">
        <f t="shared" si="78"/>
        <v>22717.189351052424</v>
      </c>
      <c r="BF38" s="396">
        <f t="shared" si="78"/>
        <v>36508.065962454784</v>
      </c>
      <c r="BG38" s="396">
        <f t="shared" si="78"/>
        <v>53990.435343353347</v>
      </c>
      <c r="BH38" s="396">
        <f t="shared" si="78"/>
        <v>62226.197616339625</v>
      </c>
      <c r="BI38" s="396">
        <f t="shared" si="78"/>
        <v>62138.897242412277</v>
      </c>
      <c r="BJ38" s="396">
        <f t="shared" si="78"/>
        <v>62038.049062330138</v>
      </c>
      <c r="BK38" s="396">
        <f t="shared" si="78"/>
        <v>78991.312136172943</v>
      </c>
      <c r="BL38" s="396">
        <f t="shared" si="78"/>
        <v>109631.4529131813</v>
      </c>
      <c r="BM38" s="396">
        <f t="shared" si="78"/>
        <v>57053.838339778726</v>
      </c>
      <c r="BN38" s="396">
        <f>SUM(BB38:BM38)</f>
        <v>559556.74466882797</v>
      </c>
      <c r="BO38" s="396"/>
    </row>
    <row r="39" spans="1:68" x14ac:dyDescent="0.25">
      <c r="B39" s="396"/>
      <c r="C39" s="396"/>
      <c r="D39" s="396"/>
      <c r="E39" s="396"/>
      <c r="F39" s="396"/>
      <c r="G39" s="396"/>
      <c r="H39" s="396"/>
      <c r="I39" s="396"/>
      <c r="J39" s="396"/>
      <c r="K39" s="396"/>
      <c r="L39" s="396"/>
      <c r="M39" s="396"/>
      <c r="N39" s="396"/>
      <c r="O39" s="396"/>
      <c r="P39" s="396"/>
      <c r="Q39" s="396"/>
      <c r="R39" s="396"/>
      <c r="S39" s="396"/>
      <c r="T39" s="396"/>
      <c r="U39" s="396"/>
      <c r="V39" s="396"/>
      <c r="W39" s="396"/>
      <c r="X39" s="396"/>
      <c r="Y39" s="396"/>
      <c r="Z39" s="396"/>
      <c r="AA39" s="396"/>
      <c r="AB39" s="396"/>
      <c r="AC39" s="396"/>
      <c r="AD39" s="396"/>
      <c r="AE39" s="396"/>
      <c r="AF39" s="396"/>
      <c r="AG39" s="396"/>
      <c r="AH39" s="396"/>
      <c r="AI39" s="396"/>
      <c r="AJ39" s="396"/>
      <c r="AK39" s="396"/>
      <c r="AL39" s="396"/>
      <c r="AM39" s="396"/>
      <c r="AN39" s="396"/>
      <c r="AO39" s="396"/>
      <c r="AP39" s="396"/>
      <c r="AQ39" s="396"/>
      <c r="AR39" s="396"/>
      <c r="AS39" s="396"/>
      <c r="AT39" s="396"/>
      <c r="AU39" s="396"/>
      <c r="AV39" s="396"/>
      <c r="AW39" s="396"/>
      <c r="AX39" s="396"/>
      <c r="AY39" s="396"/>
      <c r="AZ39" s="396"/>
      <c r="BA39" s="396"/>
      <c r="BB39" s="396"/>
      <c r="BC39" s="396"/>
      <c r="BD39" s="396"/>
      <c r="BE39" s="396"/>
      <c r="BF39" s="396"/>
      <c r="BG39" s="396"/>
      <c r="BH39" s="396"/>
      <c r="BI39" s="396"/>
      <c r="BJ39" s="396"/>
      <c r="BK39" s="396"/>
      <c r="BL39" s="396"/>
      <c r="BM39" s="396"/>
      <c r="BN39" s="396"/>
      <c r="BO39" s="396"/>
    </row>
    <row r="40" spans="1:68" x14ac:dyDescent="0.25">
      <c r="A40" s="315" t="s">
        <v>433</v>
      </c>
      <c r="B40" s="396">
        <f t="shared" ref="B40:M40" si="79">B16+B29</f>
        <v>0</v>
      </c>
      <c r="C40" s="396">
        <f t="shared" si="79"/>
        <v>74.074988827164134</v>
      </c>
      <c r="D40" s="396">
        <f t="shared" si="79"/>
        <v>148.14997765432827</v>
      </c>
      <c r="E40" s="396">
        <f t="shared" si="79"/>
        <v>222.2249664814924</v>
      </c>
      <c r="F40" s="396">
        <f t="shared" si="79"/>
        <v>296.29995530865654</v>
      </c>
      <c r="G40" s="396">
        <f t="shared" si="79"/>
        <v>376.93908036915406</v>
      </c>
      <c r="H40" s="396">
        <f t="shared" si="79"/>
        <v>129.15503287731207</v>
      </c>
      <c r="I40" s="396">
        <f t="shared" si="79"/>
        <v>160.03179358394738</v>
      </c>
      <c r="J40" s="396">
        <f t="shared" si="79"/>
        <v>189.19285254813565</v>
      </c>
      <c r="K40" s="396">
        <f t="shared" si="79"/>
        <v>216.67386898737021</v>
      </c>
      <c r="L40" s="396">
        <f t="shared" si="79"/>
        <v>245.4840394193269</v>
      </c>
      <c r="M40" s="396">
        <f t="shared" si="79"/>
        <v>276.37439028293954</v>
      </c>
      <c r="N40" s="396">
        <f>SUM(B40:M40)</f>
        <v>2334.6009463398273</v>
      </c>
      <c r="O40" s="396">
        <f t="shared" ref="O40:BO40" si="80">O16+O29</f>
        <v>311.42713402797301</v>
      </c>
      <c r="P40" s="396">
        <f t="shared" si="80"/>
        <v>345.71743139766932</v>
      </c>
      <c r="Q40" s="396">
        <f t="shared" si="80"/>
        <v>379.61215292944541</v>
      </c>
      <c r="R40" s="396">
        <f t="shared" si="80"/>
        <v>412.2569653241701</v>
      </c>
      <c r="S40" s="396">
        <f t="shared" si="80"/>
        <v>444.51360916521253</v>
      </c>
      <c r="T40" s="396">
        <f t="shared" si="80"/>
        <v>477.23114700772192</v>
      </c>
      <c r="U40" s="396">
        <f t="shared" si="80"/>
        <v>510.48214521192358</v>
      </c>
      <c r="V40" s="396">
        <f t="shared" si="80"/>
        <v>544.33466322963693</v>
      </c>
      <c r="W40" s="396">
        <f t="shared" si="80"/>
        <v>578.22447536398852</v>
      </c>
      <c r="X40" s="396">
        <f t="shared" si="80"/>
        <v>612.22040021831378</v>
      </c>
      <c r="Y40" s="396">
        <f t="shared" si="80"/>
        <v>646.12319973878766</v>
      </c>
      <c r="Z40" s="396">
        <f t="shared" si="80"/>
        <v>678.47719955417278</v>
      </c>
      <c r="AA40" s="396">
        <f t="shared" si="80"/>
        <v>5940.6205231690146</v>
      </c>
      <c r="AB40" s="396">
        <f t="shared" si="80"/>
        <v>696.83572809417865</v>
      </c>
      <c r="AC40" s="396">
        <f t="shared" si="80"/>
        <v>719.23242069454955</v>
      </c>
      <c r="AD40" s="396">
        <f t="shared" si="80"/>
        <v>738.79544466374716</v>
      </c>
      <c r="AE40" s="396">
        <f t="shared" si="80"/>
        <v>1357.6009338072781</v>
      </c>
      <c r="AF40" s="396">
        <f t="shared" si="80"/>
        <v>1393.5618724465958</v>
      </c>
      <c r="AG40" s="396">
        <f t="shared" si="80"/>
        <v>1436.9453039204316</v>
      </c>
      <c r="AH40" s="396">
        <f t="shared" si="80"/>
        <v>3192.9201286922025</v>
      </c>
      <c r="AI40" s="396">
        <f t="shared" si="80"/>
        <v>3306.6952359767856</v>
      </c>
      <c r="AJ40" s="396">
        <f t="shared" si="80"/>
        <v>3392.1769745977217</v>
      </c>
      <c r="AK40" s="396">
        <f t="shared" si="80"/>
        <v>6181.0835971450742</v>
      </c>
      <c r="AL40" s="396">
        <f t="shared" si="80"/>
        <v>6453.1523273728935</v>
      </c>
      <c r="AM40" s="396">
        <f t="shared" si="80"/>
        <v>6659.4380379419918</v>
      </c>
      <c r="AN40" s="396">
        <f t="shared" si="80"/>
        <v>35528.438005353448</v>
      </c>
      <c r="AO40" s="396">
        <f t="shared" si="80"/>
        <v>8391.2392541152622</v>
      </c>
      <c r="AP40" s="396">
        <f t="shared" si="80"/>
        <v>8538.701134300627</v>
      </c>
      <c r="AQ40" s="396">
        <f t="shared" si="80"/>
        <v>8673.236266508673</v>
      </c>
      <c r="AR40" s="396">
        <f t="shared" si="80"/>
        <v>9262.9849300393871</v>
      </c>
      <c r="AS40" s="396">
        <f t="shared" si="80"/>
        <v>9387.5786303536788</v>
      </c>
      <c r="AT40" s="396">
        <f t="shared" si="80"/>
        <v>9581.2801328034293</v>
      </c>
      <c r="AU40" s="396">
        <f t="shared" si="80"/>
        <v>9819.8854762476894</v>
      </c>
      <c r="AV40" s="396">
        <f t="shared" si="80"/>
        <v>10103.622578546725</v>
      </c>
      <c r="AW40" s="396">
        <f t="shared" si="80"/>
        <v>10398.926053280162</v>
      </c>
      <c r="AX40" s="396">
        <f t="shared" si="80"/>
        <v>11771.774043849851</v>
      </c>
      <c r="AY40" s="396">
        <f t="shared" si="80"/>
        <v>12093.896107361541</v>
      </c>
      <c r="AZ40" s="396">
        <f t="shared" si="80"/>
        <v>12341.953754239546</v>
      </c>
      <c r="BA40" s="396">
        <f t="shared" si="80"/>
        <v>120365.07836164656</v>
      </c>
      <c r="BB40" s="396">
        <f t="shared" si="80"/>
        <v>12408.269305568123</v>
      </c>
      <c r="BC40" s="396">
        <f t="shared" si="80"/>
        <v>12467.981804059353</v>
      </c>
      <c r="BD40" s="396">
        <f t="shared" si="80"/>
        <v>12420.221180517183</v>
      </c>
      <c r="BE40" s="396">
        <f t="shared" si="80"/>
        <v>12473.514783728639</v>
      </c>
      <c r="BF40" s="396">
        <f t="shared" si="80"/>
        <v>12577.445925009704</v>
      </c>
      <c r="BG40" s="396">
        <f t="shared" si="80"/>
        <v>12744.470326787934</v>
      </c>
      <c r="BH40" s="396">
        <f t="shared" si="80"/>
        <v>12305.223707853487</v>
      </c>
      <c r="BI40" s="396">
        <f t="shared" si="80"/>
        <v>12574.870564190958</v>
      </c>
      <c r="BJ40" s="396">
        <f t="shared" si="80"/>
        <v>12844.139118908077</v>
      </c>
      <c r="BK40" s="396">
        <f t="shared" si="80"/>
        <v>11105.677463072438</v>
      </c>
      <c r="BL40" s="396">
        <f t="shared" si="80"/>
        <v>11395.575578612192</v>
      </c>
      <c r="BM40" s="396">
        <f t="shared" si="80"/>
        <v>11797.923010803566</v>
      </c>
      <c r="BN40" s="396">
        <f t="shared" si="80"/>
        <v>147115.31276911165</v>
      </c>
      <c r="BO40" s="396">
        <f t="shared" si="80"/>
        <v>103264.5070119692</v>
      </c>
    </row>
    <row r="41" spans="1:68" x14ac:dyDescent="0.25">
      <c r="B41" s="396"/>
      <c r="C41" s="396"/>
      <c r="D41" s="396"/>
      <c r="E41" s="396"/>
      <c r="F41" s="396"/>
      <c r="G41" s="396"/>
      <c r="H41" s="396"/>
      <c r="I41" s="396"/>
      <c r="J41" s="396"/>
      <c r="K41" s="396"/>
      <c r="L41" s="396"/>
      <c r="M41" s="396"/>
      <c r="N41" s="396"/>
      <c r="O41" s="396"/>
      <c r="P41" s="396"/>
      <c r="Q41" s="396"/>
      <c r="R41" s="396"/>
      <c r="S41" s="396"/>
      <c r="T41" s="396"/>
      <c r="U41" s="396"/>
      <c r="V41" s="396"/>
      <c r="W41" s="396"/>
      <c r="X41" s="396"/>
      <c r="Y41" s="396"/>
      <c r="Z41" s="396"/>
      <c r="AA41" s="396"/>
      <c r="AB41" s="396"/>
      <c r="AC41" s="396"/>
      <c r="AD41" s="396"/>
      <c r="AE41" s="396"/>
      <c r="AF41" s="396"/>
      <c r="AG41" s="396"/>
      <c r="AH41" s="396"/>
      <c r="AI41" s="396"/>
      <c r="AJ41" s="396"/>
      <c r="AK41" s="396"/>
      <c r="AL41" s="396"/>
      <c r="AM41" s="396"/>
      <c r="AN41" s="396"/>
      <c r="AO41" s="396"/>
      <c r="AP41" s="396"/>
      <c r="AQ41" s="396"/>
      <c r="AR41" s="396"/>
      <c r="AS41" s="396"/>
      <c r="AT41" s="396"/>
      <c r="AU41" s="396"/>
      <c r="AV41" s="396"/>
      <c r="AW41" s="396"/>
      <c r="AX41" s="396"/>
      <c r="AY41" s="396"/>
      <c r="AZ41" s="396"/>
      <c r="BA41" s="396"/>
      <c r="BB41" s="396"/>
      <c r="BC41" s="396"/>
      <c r="BD41" s="396"/>
      <c r="BE41" s="396"/>
      <c r="BF41" s="396"/>
      <c r="BG41" s="396"/>
      <c r="BH41" s="396"/>
      <c r="BI41" s="396"/>
      <c r="BJ41" s="396"/>
      <c r="BK41" s="396"/>
      <c r="BL41" s="396"/>
      <c r="BM41" s="396"/>
      <c r="BN41" s="396"/>
      <c r="BO41" s="396"/>
    </row>
    <row r="42" spans="1:68" s="315" customFormat="1" x14ac:dyDescent="0.25">
      <c r="A42" s="315" t="s">
        <v>435</v>
      </c>
      <c r="B42" s="400">
        <f>B38+B40</f>
        <v>40775.223207613286</v>
      </c>
      <c r="C42" s="400">
        <f t="shared" ref="C42:M42" si="81">C38+C40</f>
        <v>40849.298196440453</v>
      </c>
      <c r="D42" s="400">
        <f t="shared" si="81"/>
        <v>40923.373185267614</v>
      </c>
      <c r="E42" s="400">
        <f t="shared" si="81"/>
        <v>40997.448174094781</v>
      </c>
      <c r="F42" s="400">
        <f t="shared" si="81"/>
        <v>44684.809162921942</v>
      </c>
      <c r="G42" s="400">
        <f t="shared" si="81"/>
        <v>63369.281287982441</v>
      </c>
      <c r="H42" s="400">
        <f t="shared" si="81"/>
        <v>64792.528240490603</v>
      </c>
      <c r="I42" s="400">
        <f t="shared" si="81"/>
        <v>61230.312346857849</v>
      </c>
      <c r="J42" s="400">
        <f t="shared" si="81"/>
        <v>60129.308503602821</v>
      </c>
      <c r="K42" s="400">
        <f t="shared" si="81"/>
        <v>60869.664252054121</v>
      </c>
      <c r="L42" s="400">
        <f t="shared" si="81"/>
        <v>65277.801647024942</v>
      </c>
      <c r="M42" s="400">
        <f t="shared" si="81"/>
        <v>74071.624379827015</v>
      </c>
      <c r="N42" s="400">
        <f>SUM(B42:M42)</f>
        <v>657970.67258417793</v>
      </c>
      <c r="O42" s="400">
        <f>O38+O40</f>
        <v>72501.526859704405</v>
      </c>
      <c r="P42" s="400">
        <f t="shared" ref="P42:AA42" si="82">P38+P40</f>
        <v>71703.025919347303</v>
      </c>
      <c r="Q42" s="400">
        <f t="shared" si="82"/>
        <v>69105.532983928977</v>
      </c>
      <c r="R42" s="400">
        <f t="shared" si="82"/>
        <v>68320.980841202996</v>
      </c>
      <c r="S42" s="400">
        <f t="shared" si="82"/>
        <v>69323.540646027119</v>
      </c>
      <c r="T42" s="400">
        <f t="shared" si="82"/>
        <v>70479.332629537443</v>
      </c>
      <c r="U42" s="400">
        <f t="shared" si="82"/>
        <v>71778.941129871673</v>
      </c>
      <c r="V42" s="400">
        <f t="shared" si="82"/>
        <v>71891.307577654137</v>
      </c>
      <c r="W42" s="400">
        <f t="shared" si="82"/>
        <v>72148.592589732711</v>
      </c>
      <c r="X42" s="400">
        <f t="shared" si="82"/>
        <v>71986.535180163381</v>
      </c>
      <c r="Y42" s="400">
        <f t="shared" si="82"/>
        <v>68759.807021602144</v>
      </c>
      <c r="Z42" s="400">
        <f t="shared" si="82"/>
        <v>39328.01096798783</v>
      </c>
      <c r="AA42" s="400">
        <f t="shared" si="82"/>
        <v>817327.13434676023</v>
      </c>
      <c r="AB42" s="400">
        <f>AB38+AB40</f>
        <v>47847.76751834865</v>
      </c>
      <c r="AC42" s="400">
        <f t="shared" ref="AC42:AN42" si="83">AC38+AC40</f>
        <v>41904.546040057918</v>
      </c>
      <c r="AD42" s="400">
        <f t="shared" si="83"/>
        <v>42557.533758650017</v>
      </c>
      <c r="AE42" s="400">
        <f t="shared" si="83"/>
        <v>43664.587568298637</v>
      </c>
      <c r="AF42" s="400">
        <f t="shared" si="83"/>
        <v>52432.893018135808</v>
      </c>
      <c r="AG42" s="400">
        <f t="shared" si="83"/>
        <v>52505.855807180844</v>
      </c>
      <c r="AH42" s="400">
        <f t="shared" si="83"/>
        <v>65252.069556646573</v>
      </c>
      <c r="AI42" s="400">
        <f t="shared" si="83"/>
        <v>49933.098120123657</v>
      </c>
      <c r="AJ42" s="400">
        <f t="shared" si="83"/>
        <v>69728.89607621594</v>
      </c>
      <c r="AK42" s="400">
        <f t="shared" si="83"/>
        <v>90543.480567011778</v>
      </c>
      <c r="AL42" s="400">
        <f t="shared" si="83"/>
        <v>70417.713744147681</v>
      </c>
      <c r="AM42" s="400">
        <f t="shared" si="83"/>
        <v>70573.035491795294</v>
      </c>
      <c r="AN42" s="400">
        <f t="shared" si="83"/>
        <v>697361.47726661281</v>
      </c>
      <c r="AO42" s="400">
        <f>AO38+AO40</f>
        <v>45802.28708126898</v>
      </c>
      <c r="AP42" s="400">
        <f t="shared" ref="AP42:BA42" si="84">AP38+AP40</f>
        <v>42670.235732536821</v>
      </c>
      <c r="AQ42" s="400">
        <f t="shared" si="84"/>
        <v>40319.590573704249</v>
      </c>
      <c r="AR42" s="400">
        <f t="shared" si="84"/>
        <v>39285.563319025328</v>
      </c>
      <c r="AS42" s="400">
        <f t="shared" si="84"/>
        <v>56062.639461619045</v>
      </c>
      <c r="AT42" s="400">
        <f t="shared" si="84"/>
        <v>67076.543613347792</v>
      </c>
      <c r="AU42" s="400">
        <f t="shared" si="84"/>
        <v>78190.27157240099</v>
      </c>
      <c r="AV42" s="400">
        <f t="shared" si="84"/>
        <v>81261.086369735945</v>
      </c>
      <c r="AW42" s="400">
        <f t="shared" si="84"/>
        <v>77698.976785791907</v>
      </c>
      <c r="AX42" s="400">
        <f t="shared" si="84"/>
        <v>82180.968254054926</v>
      </c>
      <c r="AY42" s="400">
        <f t="shared" si="84"/>
        <v>66314.146791078834</v>
      </c>
      <c r="AZ42" s="400">
        <f t="shared" si="84"/>
        <v>26837.156230431217</v>
      </c>
      <c r="BA42" s="400">
        <f t="shared" si="84"/>
        <v>703699.46578499605</v>
      </c>
      <c r="BB42" s="400">
        <f>BB38+BB40</f>
        <v>25460.181544088518</v>
      </c>
      <c r="BC42" s="400">
        <f t="shared" ref="BC42:BO42" si="85">BC38+BC40</f>
        <v>2028.5012483932514</v>
      </c>
      <c r="BD42" s="400">
        <f t="shared" si="85"/>
        <v>24069.09619941526</v>
      </c>
      <c r="BE42" s="400">
        <f t="shared" si="85"/>
        <v>35190.704134781059</v>
      </c>
      <c r="BF42" s="400">
        <f t="shared" si="85"/>
        <v>49085.51188746449</v>
      </c>
      <c r="BG42" s="400">
        <f t="shared" si="85"/>
        <v>66734.905670141277</v>
      </c>
      <c r="BH42" s="400">
        <f t="shared" si="85"/>
        <v>74531.421324193114</v>
      </c>
      <c r="BI42" s="400">
        <f t="shared" si="85"/>
        <v>74713.767806603239</v>
      </c>
      <c r="BJ42" s="400">
        <f t="shared" si="85"/>
        <v>74882.18818123822</v>
      </c>
      <c r="BK42" s="400">
        <f t="shared" si="85"/>
        <v>90096.989599245382</v>
      </c>
      <c r="BL42" s="400">
        <f t="shared" si="85"/>
        <v>121027.02849179349</v>
      </c>
      <c r="BM42" s="400">
        <f t="shared" si="85"/>
        <v>68851.761350582296</v>
      </c>
      <c r="BN42" s="400">
        <f t="shared" si="85"/>
        <v>706672.05743793957</v>
      </c>
      <c r="BO42" s="400">
        <f t="shared" si="85"/>
        <v>103264.5070119692</v>
      </c>
    </row>
    <row r="43" spans="1:68" s="315" customFormat="1" x14ac:dyDescent="0.25">
      <c r="A43" s="394" t="s">
        <v>452</v>
      </c>
      <c r="B43" s="409">
        <f>B42</f>
        <v>40775.223207613286</v>
      </c>
      <c r="C43" s="409">
        <f>C42+B43</f>
        <v>81624.521404053739</v>
      </c>
      <c r="D43" s="409">
        <f t="shared" ref="D43:M43" si="86">D42+C43</f>
        <v>122547.89458932135</v>
      </c>
      <c r="E43" s="409">
        <f t="shared" si="86"/>
        <v>163545.34276341612</v>
      </c>
      <c r="F43" s="409">
        <f t="shared" si="86"/>
        <v>208230.15192633806</v>
      </c>
      <c r="G43" s="409">
        <f t="shared" si="86"/>
        <v>271599.43321432051</v>
      </c>
      <c r="H43" s="409">
        <f t="shared" si="86"/>
        <v>336391.9614548111</v>
      </c>
      <c r="I43" s="409">
        <f t="shared" si="86"/>
        <v>397622.27380166895</v>
      </c>
      <c r="J43" s="409">
        <f t="shared" si="86"/>
        <v>457751.58230527176</v>
      </c>
      <c r="K43" s="409">
        <f t="shared" si="86"/>
        <v>518621.24655732588</v>
      </c>
      <c r="L43" s="409">
        <f t="shared" si="86"/>
        <v>583899.04820435087</v>
      </c>
      <c r="M43" s="409">
        <f t="shared" si="86"/>
        <v>657970.67258417793</v>
      </c>
      <c r="N43" s="410">
        <f>M43</f>
        <v>657970.67258417793</v>
      </c>
      <c r="O43" s="409">
        <f>O42+N43</f>
        <v>730472.19944388233</v>
      </c>
      <c r="P43" s="409">
        <f t="shared" ref="P43:Z43" si="87">P42+O43</f>
        <v>802175.22536322963</v>
      </c>
      <c r="Q43" s="409">
        <f t="shared" si="87"/>
        <v>871280.75834715855</v>
      </c>
      <c r="R43" s="409">
        <f t="shared" si="87"/>
        <v>939601.73918836156</v>
      </c>
      <c r="S43" s="409">
        <f t="shared" si="87"/>
        <v>1008925.2798343886</v>
      </c>
      <c r="T43" s="409">
        <f t="shared" si="87"/>
        <v>1079404.612463926</v>
      </c>
      <c r="U43" s="409">
        <f t="shared" si="87"/>
        <v>1151183.5535937976</v>
      </c>
      <c r="V43" s="409">
        <f t="shared" si="87"/>
        <v>1223074.8611714519</v>
      </c>
      <c r="W43" s="409">
        <f t="shared" si="87"/>
        <v>1295223.4537611846</v>
      </c>
      <c r="X43" s="409">
        <f t="shared" si="87"/>
        <v>1367209.9889413479</v>
      </c>
      <c r="Y43" s="409">
        <f t="shared" si="87"/>
        <v>1435969.79596295</v>
      </c>
      <c r="Z43" s="409">
        <f t="shared" si="87"/>
        <v>1475297.8069309378</v>
      </c>
      <c r="AA43" s="410">
        <f>Z43</f>
        <v>1475297.8069309378</v>
      </c>
      <c r="AB43" s="409">
        <f>AB42+AA43</f>
        <v>1523145.5744492866</v>
      </c>
      <c r="AC43" s="409">
        <f t="shared" ref="AC43:AM43" si="88">AC42+AB43</f>
        <v>1565050.1204893445</v>
      </c>
      <c r="AD43" s="409">
        <f t="shared" si="88"/>
        <v>1607607.6542479945</v>
      </c>
      <c r="AE43" s="409">
        <f t="shared" si="88"/>
        <v>1651272.2418162932</v>
      </c>
      <c r="AF43" s="409">
        <f t="shared" si="88"/>
        <v>1703705.134834429</v>
      </c>
      <c r="AG43" s="409">
        <f t="shared" si="88"/>
        <v>1756210.9906416098</v>
      </c>
      <c r="AH43" s="409">
        <f t="shared" si="88"/>
        <v>1821463.0601982563</v>
      </c>
      <c r="AI43" s="409">
        <f t="shared" si="88"/>
        <v>1871396.1583183799</v>
      </c>
      <c r="AJ43" s="409">
        <f t="shared" si="88"/>
        <v>1941125.0543945958</v>
      </c>
      <c r="AK43" s="409">
        <f t="shared" si="88"/>
        <v>2031668.5349616075</v>
      </c>
      <c r="AL43" s="409">
        <f t="shared" si="88"/>
        <v>2102086.248705755</v>
      </c>
      <c r="AM43" s="409">
        <f t="shared" si="88"/>
        <v>2172659.2841975503</v>
      </c>
      <c r="AN43" s="410">
        <f>AM43</f>
        <v>2172659.2841975503</v>
      </c>
      <c r="AO43" s="409">
        <f>AO42+AN43</f>
        <v>2218461.5712788193</v>
      </c>
      <c r="AP43" s="409">
        <f t="shared" ref="AP43:AZ43" si="89">AP42+AO43</f>
        <v>2261131.8070113561</v>
      </c>
      <c r="AQ43" s="409">
        <f t="shared" si="89"/>
        <v>2301451.3975850604</v>
      </c>
      <c r="AR43" s="409">
        <f t="shared" si="89"/>
        <v>2340736.960904086</v>
      </c>
      <c r="AS43" s="409">
        <f t="shared" si="89"/>
        <v>2396799.6003657049</v>
      </c>
      <c r="AT43" s="409">
        <f t="shared" si="89"/>
        <v>2463876.1439790525</v>
      </c>
      <c r="AU43" s="409">
        <f t="shared" si="89"/>
        <v>2542066.4155514534</v>
      </c>
      <c r="AV43" s="409">
        <f t="shared" si="89"/>
        <v>2623327.5019211895</v>
      </c>
      <c r="AW43" s="409">
        <f t="shared" si="89"/>
        <v>2701026.4787069815</v>
      </c>
      <c r="AX43" s="409">
        <f t="shared" si="89"/>
        <v>2783207.4469610364</v>
      </c>
      <c r="AY43" s="409">
        <f t="shared" si="89"/>
        <v>2849521.593752115</v>
      </c>
      <c r="AZ43" s="409">
        <f t="shared" si="89"/>
        <v>2876358.7499825461</v>
      </c>
      <c r="BA43" s="410">
        <f>AZ43</f>
        <v>2876358.7499825461</v>
      </c>
      <c r="BB43" s="409">
        <f>BB42+BA43</f>
        <v>2901818.9315266344</v>
      </c>
      <c r="BC43" s="409">
        <f t="shared" ref="BC43:BO43" si="90">BC42+BB43</f>
        <v>2903847.4327750276</v>
      </c>
      <c r="BD43" s="409">
        <f t="shared" si="90"/>
        <v>2927916.5289744427</v>
      </c>
      <c r="BE43" s="409">
        <f t="shared" si="90"/>
        <v>2963107.2331092237</v>
      </c>
      <c r="BF43" s="409">
        <f t="shared" si="90"/>
        <v>3012192.7449966883</v>
      </c>
      <c r="BG43" s="409">
        <f t="shared" si="90"/>
        <v>3078927.6506668297</v>
      </c>
      <c r="BH43" s="409">
        <f t="shared" si="90"/>
        <v>3153459.0719910227</v>
      </c>
      <c r="BI43" s="409">
        <f t="shared" si="90"/>
        <v>3228172.8397976258</v>
      </c>
      <c r="BJ43" s="409">
        <f t="shared" si="90"/>
        <v>3303055.027978864</v>
      </c>
      <c r="BK43" s="409">
        <f t="shared" si="90"/>
        <v>3393152.0175781096</v>
      </c>
      <c r="BL43" s="409">
        <f t="shared" si="90"/>
        <v>3514179.0460699033</v>
      </c>
      <c r="BM43" s="409">
        <f t="shared" si="90"/>
        <v>3583030.8074204857</v>
      </c>
      <c r="BN43" s="410">
        <f>BM43</f>
        <v>3583030.8074204857</v>
      </c>
      <c r="BO43" s="409">
        <f t="shared" si="90"/>
        <v>3686295.3144324548</v>
      </c>
      <c r="BP43" s="411"/>
    </row>
    <row r="46" spans="1:68" x14ac:dyDescent="0.25">
      <c r="N46" s="393"/>
      <c r="AA46" s="393"/>
      <c r="AN46" s="393"/>
      <c r="BA46" s="393"/>
      <c r="BN46" s="393"/>
      <c r="BO46" s="393"/>
    </row>
  </sheetData>
  <mergeCells count="1">
    <mergeCell ref="A1:A2"/>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0F068-31D7-4F6E-9CD6-D01C863BA19F}">
  <sheetPr>
    <tabColor rgb="FF00B0F0"/>
  </sheetPr>
  <dimension ref="A1:AA12"/>
  <sheetViews>
    <sheetView showGridLines="0" workbookViewId="0">
      <selection activeCell="E20" sqref="E20"/>
    </sheetView>
  </sheetViews>
  <sheetFormatPr defaultRowHeight="15" x14ac:dyDescent="0.25"/>
  <cols>
    <col min="1" max="1" width="20.85546875" customWidth="1"/>
    <col min="2" max="2" width="12.28515625" customWidth="1"/>
    <col min="3" max="3" width="13" customWidth="1"/>
    <col min="4" max="4" width="10.7109375" customWidth="1"/>
    <col min="5" max="5" width="10.7109375" bestFit="1" customWidth="1"/>
  </cols>
  <sheetData>
    <row r="1" spans="1:27" ht="15" customHeight="1" x14ac:dyDescent="0.25">
      <c r="A1" s="58" t="s">
        <v>501</v>
      </c>
    </row>
    <row r="2" spans="1:27" ht="15" customHeight="1" x14ac:dyDescent="0.25">
      <c r="A2" s="446" t="s">
        <v>500</v>
      </c>
      <c r="B2" s="446" t="s">
        <v>499</v>
      </c>
      <c r="C2" s="446" t="s">
        <v>498</v>
      </c>
      <c r="D2" s="446" t="s">
        <v>497</v>
      </c>
      <c r="E2" s="446" t="s">
        <v>496</v>
      </c>
      <c r="F2" s="446" t="s">
        <v>495</v>
      </c>
      <c r="G2" s="446" t="s">
        <v>494</v>
      </c>
      <c r="H2" s="446" t="s">
        <v>493</v>
      </c>
      <c r="I2" s="446" t="s">
        <v>492</v>
      </c>
      <c r="J2" s="446" t="s">
        <v>491</v>
      </c>
      <c r="K2" s="446" t="s">
        <v>490</v>
      </c>
      <c r="L2" s="446" t="s">
        <v>489</v>
      </c>
      <c r="M2" s="446" t="s">
        <v>488</v>
      </c>
      <c r="N2" s="446" t="s">
        <v>487</v>
      </c>
      <c r="O2" s="446" t="s">
        <v>486</v>
      </c>
      <c r="P2" s="446" t="s">
        <v>485</v>
      </c>
      <c r="Q2" s="446" t="s">
        <v>484</v>
      </c>
      <c r="R2" s="446" t="s">
        <v>483</v>
      </c>
      <c r="S2" s="446" t="s">
        <v>482</v>
      </c>
      <c r="T2" s="446" t="s">
        <v>481</v>
      </c>
      <c r="U2" s="446" t="s">
        <v>480</v>
      </c>
      <c r="V2" s="446" t="s">
        <v>479</v>
      </c>
      <c r="W2" s="446" t="s">
        <v>478</v>
      </c>
      <c r="X2" s="446" t="s">
        <v>477</v>
      </c>
      <c r="Y2" s="446" t="s">
        <v>476</v>
      </c>
      <c r="Z2" s="446" t="s">
        <v>475</v>
      </c>
      <c r="AA2" s="446" t="s">
        <v>474</v>
      </c>
    </row>
    <row r="3" spans="1:27" x14ac:dyDescent="0.25">
      <c r="A3" s="444" t="s">
        <v>434</v>
      </c>
      <c r="B3" s="445">
        <v>2.18E-2</v>
      </c>
      <c r="C3" s="445">
        <v>2.18E-2</v>
      </c>
      <c r="D3" s="445">
        <v>2.18E-2</v>
      </c>
      <c r="E3" s="445">
        <v>2.18E-2</v>
      </c>
      <c r="F3" s="445">
        <v>5.7299999999999999E-3</v>
      </c>
      <c r="G3" s="445">
        <v>5.6999999999999993E-3</v>
      </c>
      <c r="H3" s="445">
        <v>5.6999999999999993E-3</v>
      </c>
      <c r="I3" s="445">
        <v>5.6999999999999993E-3</v>
      </c>
      <c r="J3" s="445">
        <v>5.6999999999999993E-3</v>
      </c>
      <c r="K3" s="445">
        <v>5.6999999999999993E-3</v>
      </c>
      <c r="L3" s="445">
        <v>5.6999999999999993E-3</v>
      </c>
      <c r="M3" s="445">
        <v>1.0200000000000001E-2</v>
      </c>
      <c r="N3" s="445">
        <v>2.2000000000000002E-2</v>
      </c>
      <c r="O3" s="445">
        <v>3.8699999999999998E-2</v>
      </c>
      <c r="P3" s="445">
        <v>4.7300000000000002E-2</v>
      </c>
      <c r="Q3" s="445">
        <v>4.9800000000000004E-2</v>
      </c>
      <c r="R3" s="445">
        <v>4.9800000000000004E-2</v>
      </c>
      <c r="S3" s="445">
        <v>5.4900000000000004E-2</v>
      </c>
      <c r="T3" s="445">
        <v>5.4900000000000004E-2</v>
      </c>
      <c r="U3" s="445">
        <v>5.4900000000000004E-2</v>
      </c>
      <c r="V3" s="445">
        <v>5.2000000000000005E-2</v>
      </c>
      <c r="W3" s="445">
        <v>4.4039999999999996E-2</v>
      </c>
      <c r="X3" s="445">
        <v>3.6400000000000002E-2</v>
      </c>
      <c r="Y3" s="445">
        <v>3.1649999999999998E-2</v>
      </c>
      <c r="Z3" s="445">
        <v>2.9100000000000001E-2</v>
      </c>
      <c r="AA3" s="445">
        <v>2.9100000000000001E-2</v>
      </c>
    </row>
    <row r="6" spans="1:27" s="448" customFormat="1" ht="30" x14ac:dyDescent="0.25">
      <c r="A6" s="451" t="s">
        <v>433</v>
      </c>
      <c r="B6" s="449" t="s">
        <v>504</v>
      </c>
      <c r="C6" s="449" t="s">
        <v>505</v>
      </c>
      <c r="D6" s="452" t="s">
        <v>506</v>
      </c>
      <c r="E6" s="452" t="s">
        <v>507</v>
      </c>
    </row>
    <row r="7" spans="1:27" x14ac:dyDescent="0.25">
      <c r="A7" s="392" t="s">
        <v>503</v>
      </c>
      <c r="B7" s="396">
        <f>'TVA - Continuity'!BO42</f>
        <v>15080.335782702965</v>
      </c>
      <c r="C7" s="396">
        <f>Staff7_TVA!BO42</f>
        <v>12055.371693993609</v>
      </c>
      <c r="D7" s="396">
        <f>B7-C7</f>
        <v>3024.9640887093556</v>
      </c>
      <c r="E7" s="453">
        <f>D7/B7</f>
        <v>0.20058996910260893</v>
      </c>
    </row>
    <row r="8" spans="1:27" x14ac:dyDescent="0.25">
      <c r="A8" s="392" t="s">
        <v>502</v>
      </c>
      <c r="B8" s="450">
        <f>'S&amp;TVA - Continuity'!BO43</f>
        <v>122927.8912321541</v>
      </c>
      <c r="C8" s="450">
        <f>Staff7_STVA!BO42</f>
        <v>103264.5070119692</v>
      </c>
      <c r="D8" s="450">
        <f t="shared" ref="D8:D9" si="0">B8-C8</f>
        <v>19663.384220184904</v>
      </c>
      <c r="E8" s="454">
        <f t="shared" ref="E8:E9" si="1">D8/B8</f>
        <v>0.15995868816337083</v>
      </c>
    </row>
    <row r="9" spans="1:27" x14ac:dyDescent="0.25">
      <c r="A9" s="394" t="s">
        <v>343</v>
      </c>
      <c r="B9" s="409">
        <f>SUM(B7:B8)</f>
        <v>138008.22701485705</v>
      </c>
      <c r="C9" s="409">
        <f>SUM(C7:C8)</f>
        <v>115319.87870596281</v>
      </c>
      <c r="D9" s="409">
        <f t="shared" si="0"/>
        <v>22688.348308894245</v>
      </c>
      <c r="E9" s="455">
        <f t="shared" si="1"/>
        <v>0.16439852028858951</v>
      </c>
    </row>
    <row r="11" spans="1:27" x14ac:dyDescent="0.25">
      <c r="A11" s="446" t="s">
        <v>508</v>
      </c>
      <c r="B11" s="456">
        <f>'TVA - Continuity'!$BO$21+'TVA - Continuity'!$BO$34-B7+'S&amp;TVA - Continuity'!$BO$44-B8</f>
        <v>4070047.9871109826</v>
      </c>
      <c r="C11" s="456">
        <f>B11</f>
        <v>4070047.9871109826</v>
      </c>
      <c r="D11" s="456">
        <f>C11</f>
        <v>4070047.9871109826</v>
      </c>
    </row>
    <row r="12" spans="1:27" x14ac:dyDescent="0.25">
      <c r="A12" s="446" t="s">
        <v>509</v>
      </c>
      <c r="B12" s="445">
        <f>B9/B11</f>
        <v>3.3908255492785623E-2</v>
      </c>
      <c r="C12" s="445">
        <f>C9/C11</f>
        <v>2.8333788464204229E-2</v>
      </c>
      <c r="D12" s="445">
        <f>D9/D11</f>
        <v>5.5744670285813947E-3</v>
      </c>
    </row>
  </sheetData>
  <hyperlinks>
    <hyperlink ref="A1" r:id="rId1" xr:uid="{09702FB9-1E5E-4DBD-B925-147901BE644D}"/>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BP47"/>
  <sheetViews>
    <sheetView showGridLines="0" zoomScale="80" zoomScaleNormal="80" workbookViewId="0">
      <pane xSplit="1" ySplit="2" topLeftCell="B3" activePane="bottomRight" state="frozen"/>
      <selection activeCell="BX23" sqref="BX23"/>
      <selection pane="topRight" activeCell="BX23" sqref="BX23"/>
      <selection pane="bottomLeft" activeCell="BX23" sqref="BX23"/>
      <selection pane="bottomRight" activeCell="BQ26" sqref="BQ26"/>
    </sheetView>
  </sheetViews>
  <sheetFormatPr defaultRowHeight="15" outlineLevelCol="1" x14ac:dyDescent="0.25"/>
  <cols>
    <col min="1" max="1" width="26.7109375" style="315" customWidth="1"/>
    <col min="2" max="13" width="10.7109375" style="391" hidden="1" customWidth="1" outlineLevel="1"/>
    <col min="14" max="14" width="12.42578125" style="391" customWidth="1" collapsed="1"/>
    <col min="15" max="26" width="10.7109375" style="391" hidden="1" customWidth="1" outlineLevel="1"/>
    <col min="27" max="27" width="12.42578125" style="391" customWidth="1" collapsed="1"/>
    <col min="28" max="39" width="10.7109375" style="391" hidden="1" customWidth="1" outlineLevel="1"/>
    <col min="40" max="40" width="12.42578125" style="391" customWidth="1" collapsed="1"/>
    <col min="41" max="52" width="10.7109375" style="391" hidden="1" customWidth="1" outlineLevel="1"/>
    <col min="53" max="53" width="12.42578125" style="391" customWidth="1" collapsed="1"/>
    <col min="54" max="65" width="11.5703125" style="391" hidden="1" customWidth="1" outlineLevel="1"/>
    <col min="66" max="66" width="12.28515625" style="391" bestFit="1" customWidth="1" collapsed="1"/>
    <col min="67" max="67" width="12.28515625" style="391" bestFit="1" customWidth="1"/>
    <col min="72" max="72" width="8" bestFit="1" customWidth="1"/>
  </cols>
  <sheetData>
    <row r="1" spans="1:67" s="315" customFormat="1" ht="21" customHeight="1" x14ac:dyDescent="0.25">
      <c r="A1" s="508" t="s">
        <v>351</v>
      </c>
      <c r="B1" s="395">
        <v>2020</v>
      </c>
      <c r="C1" s="395">
        <v>2020</v>
      </c>
      <c r="D1" s="395">
        <v>2020</v>
      </c>
      <c r="E1" s="395">
        <v>2020</v>
      </c>
      <c r="F1" s="395">
        <v>2020</v>
      </c>
      <c r="G1" s="395">
        <v>2020</v>
      </c>
      <c r="H1" s="395">
        <v>2020</v>
      </c>
      <c r="I1" s="395">
        <v>2020</v>
      </c>
      <c r="J1" s="395">
        <v>2020</v>
      </c>
      <c r="K1" s="395">
        <v>2020</v>
      </c>
      <c r="L1" s="395">
        <v>2020</v>
      </c>
      <c r="M1" s="395">
        <v>2020</v>
      </c>
      <c r="N1" s="395">
        <v>2020</v>
      </c>
      <c r="O1" s="395">
        <v>2021</v>
      </c>
      <c r="P1" s="395">
        <v>2021</v>
      </c>
      <c r="Q1" s="395">
        <v>2021</v>
      </c>
      <c r="R1" s="395">
        <v>2021</v>
      </c>
      <c r="S1" s="395">
        <v>2021</v>
      </c>
      <c r="T1" s="395">
        <v>2021</v>
      </c>
      <c r="U1" s="395">
        <v>2021</v>
      </c>
      <c r="V1" s="395">
        <v>2021</v>
      </c>
      <c r="W1" s="395">
        <v>2021</v>
      </c>
      <c r="X1" s="395">
        <v>2021</v>
      </c>
      <c r="Y1" s="395">
        <v>2021</v>
      </c>
      <c r="Z1" s="395">
        <v>2021</v>
      </c>
      <c r="AA1" s="395">
        <v>2021</v>
      </c>
      <c r="AB1" s="395">
        <v>2022</v>
      </c>
      <c r="AC1" s="395">
        <v>2022</v>
      </c>
      <c r="AD1" s="395">
        <v>2022</v>
      </c>
      <c r="AE1" s="395">
        <v>2022</v>
      </c>
      <c r="AF1" s="395">
        <v>2022</v>
      </c>
      <c r="AG1" s="395">
        <v>2022</v>
      </c>
      <c r="AH1" s="395">
        <v>2022</v>
      </c>
      <c r="AI1" s="395">
        <v>2022</v>
      </c>
      <c r="AJ1" s="395">
        <v>2022</v>
      </c>
      <c r="AK1" s="395">
        <v>2022</v>
      </c>
      <c r="AL1" s="395">
        <v>2022</v>
      </c>
      <c r="AM1" s="395">
        <v>2022</v>
      </c>
      <c r="AN1" s="395">
        <v>2022</v>
      </c>
      <c r="AO1" s="395">
        <v>2023</v>
      </c>
      <c r="AP1" s="395">
        <v>2023</v>
      </c>
      <c r="AQ1" s="395">
        <v>2023</v>
      </c>
      <c r="AR1" s="395">
        <v>2023</v>
      </c>
      <c r="AS1" s="395">
        <v>2023</v>
      </c>
      <c r="AT1" s="395">
        <v>2023</v>
      </c>
      <c r="AU1" s="395">
        <v>2023</v>
      </c>
      <c r="AV1" s="395">
        <v>2023</v>
      </c>
      <c r="AW1" s="395">
        <v>2023</v>
      </c>
      <c r="AX1" s="395">
        <v>2023</v>
      </c>
      <c r="AY1" s="395">
        <v>2023</v>
      </c>
      <c r="AZ1" s="395">
        <v>2023</v>
      </c>
      <c r="BA1" s="395">
        <v>2023</v>
      </c>
      <c r="BB1" s="395">
        <v>2024</v>
      </c>
      <c r="BC1" s="395">
        <v>2024</v>
      </c>
      <c r="BD1" s="395">
        <v>2024</v>
      </c>
      <c r="BE1" s="395">
        <v>2024</v>
      </c>
      <c r="BF1" s="395">
        <v>2024</v>
      </c>
      <c r="BG1" s="395">
        <v>2024</v>
      </c>
      <c r="BH1" s="395">
        <v>2024</v>
      </c>
      <c r="BI1" s="395">
        <v>2024</v>
      </c>
      <c r="BJ1" s="395">
        <v>2024</v>
      </c>
      <c r="BK1" s="395">
        <v>2024</v>
      </c>
      <c r="BL1" s="395">
        <v>2024</v>
      </c>
      <c r="BM1" s="395">
        <v>2024</v>
      </c>
      <c r="BN1" s="395">
        <v>2024</v>
      </c>
      <c r="BO1" s="395">
        <v>2025</v>
      </c>
    </row>
    <row r="2" spans="1:67" s="315" customFormat="1" x14ac:dyDescent="0.25">
      <c r="A2" s="509"/>
      <c r="B2" s="399" t="s">
        <v>420</v>
      </c>
      <c r="C2" s="399" t="s">
        <v>421</v>
      </c>
      <c r="D2" s="399" t="s">
        <v>422</v>
      </c>
      <c r="E2" s="399" t="s">
        <v>423</v>
      </c>
      <c r="F2" s="399" t="s">
        <v>424</v>
      </c>
      <c r="G2" s="399" t="s">
        <v>425</v>
      </c>
      <c r="H2" s="399" t="s">
        <v>426</v>
      </c>
      <c r="I2" s="399" t="s">
        <v>427</v>
      </c>
      <c r="J2" s="399" t="s">
        <v>428</v>
      </c>
      <c r="K2" s="399" t="s">
        <v>429</v>
      </c>
      <c r="L2" s="399" t="s">
        <v>430</v>
      </c>
      <c r="M2" s="399" t="s">
        <v>431</v>
      </c>
      <c r="N2" s="399" t="s">
        <v>343</v>
      </c>
      <c r="O2" s="399" t="s">
        <v>420</v>
      </c>
      <c r="P2" s="399" t="s">
        <v>421</v>
      </c>
      <c r="Q2" s="399" t="s">
        <v>422</v>
      </c>
      <c r="R2" s="399" t="s">
        <v>423</v>
      </c>
      <c r="S2" s="399" t="s">
        <v>424</v>
      </c>
      <c r="T2" s="399" t="s">
        <v>425</v>
      </c>
      <c r="U2" s="399" t="s">
        <v>426</v>
      </c>
      <c r="V2" s="399" t="s">
        <v>427</v>
      </c>
      <c r="W2" s="399" t="s">
        <v>428</v>
      </c>
      <c r="X2" s="399" t="s">
        <v>429</v>
      </c>
      <c r="Y2" s="399" t="s">
        <v>430</v>
      </c>
      <c r="Z2" s="399" t="s">
        <v>431</v>
      </c>
      <c r="AA2" s="399" t="s">
        <v>343</v>
      </c>
      <c r="AB2" s="399" t="s">
        <v>420</v>
      </c>
      <c r="AC2" s="399" t="s">
        <v>421</v>
      </c>
      <c r="AD2" s="399" t="s">
        <v>422</v>
      </c>
      <c r="AE2" s="399" t="s">
        <v>423</v>
      </c>
      <c r="AF2" s="399" t="s">
        <v>424</v>
      </c>
      <c r="AG2" s="399" t="s">
        <v>425</v>
      </c>
      <c r="AH2" s="399" t="s">
        <v>426</v>
      </c>
      <c r="AI2" s="399" t="s">
        <v>427</v>
      </c>
      <c r="AJ2" s="399" t="s">
        <v>428</v>
      </c>
      <c r="AK2" s="399" t="s">
        <v>429</v>
      </c>
      <c r="AL2" s="399" t="s">
        <v>430</v>
      </c>
      <c r="AM2" s="399" t="s">
        <v>431</v>
      </c>
      <c r="AN2" s="399" t="s">
        <v>343</v>
      </c>
      <c r="AO2" s="399" t="s">
        <v>420</v>
      </c>
      <c r="AP2" s="399" t="s">
        <v>421</v>
      </c>
      <c r="AQ2" s="399" t="s">
        <v>422</v>
      </c>
      <c r="AR2" s="399" t="s">
        <v>423</v>
      </c>
      <c r="AS2" s="399" t="s">
        <v>424</v>
      </c>
      <c r="AT2" s="399" t="s">
        <v>425</v>
      </c>
      <c r="AU2" s="399" t="s">
        <v>426</v>
      </c>
      <c r="AV2" s="399" t="s">
        <v>427</v>
      </c>
      <c r="AW2" s="399" t="s">
        <v>428</v>
      </c>
      <c r="AX2" s="399" t="s">
        <v>429</v>
      </c>
      <c r="AY2" s="399" t="s">
        <v>430</v>
      </c>
      <c r="AZ2" s="399" t="s">
        <v>431</v>
      </c>
      <c r="BA2" s="399" t="s">
        <v>343</v>
      </c>
      <c r="BB2" s="399" t="s">
        <v>420</v>
      </c>
      <c r="BC2" s="399" t="s">
        <v>421</v>
      </c>
      <c r="BD2" s="399" t="s">
        <v>422</v>
      </c>
      <c r="BE2" s="399" t="s">
        <v>423</v>
      </c>
      <c r="BF2" s="399" t="s">
        <v>424</v>
      </c>
      <c r="BG2" s="399" t="s">
        <v>425</v>
      </c>
      <c r="BH2" s="399" t="s">
        <v>426</v>
      </c>
      <c r="BI2" s="399" t="s">
        <v>427</v>
      </c>
      <c r="BJ2" s="399" t="s">
        <v>428</v>
      </c>
      <c r="BK2" s="399" t="s">
        <v>429</v>
      </c>
      <c r="BL2" s="399" t="s">
        <v>430</v>
      </c>
      <c r="BM2" s="399" t="s">
        <v>431</v>
      </c>
      <c r="BN2" s="399" t="s">
        <v>343</v>
      </c>
      <c r="BO2" s="399" t="s">
        <v>343</v>
      </c>
    </row>
    <row r="3" spans="1:67" x14ac:dyDescent="0.25">
      <c r="A3" s="401" t="s">
        <v>438</v>
      </c>
      <c r="B3" s="396"/>
      <c r="C3" s="396"/>
      <c r="D3" s="396"/>
      <c r="E3" s="396"/>
      <c r="F3" s="396"/>
      <c r="G3" s="396"/>
      <c r="H3" s="396"/>
      <c r="I3" s="396"/>
      <c r="J3" s="396"/>
      <c r="K3" s="396"/>
      <c r="L3" s="396"/>
      <c r="M3" s="396"/>
      <c r="N3" s="396"/>
      <c r="O3" s="396"/>
      <c r="P3" s="396"/>
      <c r="Q3" s="396"/>
      <c r="R3" s="396"/>
      <c r="S3" s="396"/>
      <c r="T3" s="396"/>
      <c r="U3" s="396"/>
      <c r="V3" s="396"/>
      <c r="W3" s="396"/>
      <c r="X3" s="396"/>
      <c r="Y3" s="396"/>
      <c r="Z3" s="396"/>
      <c r="AA3" s="396"/>
      <c r="AB3" s="396"/>
      <c r="AC3" s="396"/>
      <c r="AD3" s="396"/>
      <c r="AE3" s="396"/>
      <c r="AF3" s="396"/>
      <c r="AG3" s="396"/>
      <c r="AH3" s="396"/>
      <c r="AI3" s="396"/>
      <c r="AJ3" s="396"/>
      <c r="AK3" s="396"/>
      <c r="AL3" s="396"/>
      <c r="AM3" s="396"/>
      <c r="AN3" s="396"/>
      <c r="AO3" s="396"/>
      <c r="AP3" s="396"/>
      <c r="AQ3" s="396"/>
      <c r="AR3" s="396"/>
      <c r="AS3" s="396"/>
      <c r="AT3" s="396"/>
      <c r="AU3" s="396"/>
      <c r="AV3" s="396"/>
      <c r="AW3" s="396"/>
      <c r="AX3" s="396"/>
      <c r="AY3" s="396"/>
      <c r="AZ3" s="396"/>
      <c r="BA3" s="396"/>
      <c r="BB3" s="396"/>
      <c r="BC3" s="396"/>
      <c r="BD3" s="396"/>
      <c r="BE3" s="396"/>
      <c r="BF3" s="396"/>
      <c r="BG3" s="396"/>
      <c r="BH3" s="396"/>
      <c r="BI3" s="396"/>
      <c r="BJ3" s="396"/>
      <c r="BK3" s="396"/>
      <c r="BL3" s="396"/>
      <c r="BM3" s="396"/>
      <c r="BN3" s="396"/>
      <c r="BO3" s="396"/>
    </row>
    <row r="4" spans="1:67" x14ac:dyDescent="0.25">
      <c r="A4" s="392" t="s">
        <v>137</v>
      </c>
      <c r="B4" s="396">
        <f>SUM('S&amp;TVA Q4 2020'!B$18:B$20)</f>
        <v>0</v>
      </c>
      <c r="C4" s="396">
        <f>SUM('S&amp;TVA Q4 2020'!C$18:C$20)</f>
        <v>0</v>
      </c>
      <c r="D4" s="396">
        <f>SUM('S&amp;TVA Q4 2020'!D$18:D$20)</f>
        <v>0</v>
      </c>
      <c r="E4" s="396">
        <f>SUM('S&amp;TVA Q4 2020'!E$18:E$20)</f>
        <v>0</v>
      </c>
      <c r="F4" s="396">
        <f>SUM('S&amp;TVA Q4 2020'!F$18:F$20)</f>
        <v>3613.29</v>
      </c>
      <c r="G4" s="396">
        <f>SUM('S&amp;TVA Q4 2020'!G$18:G$20)</f>
        <v>7218.33</v>
      </c>
      <c r="H4" s="396">
        <f>SUM('S&amp;TVA Q4 2020'!H$18:H$20)</f>
        <v>7222.83</v>
      </c>
      <c r="I4" s="396">
        <f>SUM('S&amp;TVA Q4 2020'!I$18:I$20)</f>
        <v>7588.08</v>
      </c>
      <c r="J4" s="396">
        <f>SUM('S&amp;TVA Q4 2020'!J$18:J$20)</f>
        <v>7173.33</v>
      </c>
      <c r="K4" s="396">
        <f>SUM('S&amp;TVA Q4 2020'!K$18:K$20)</f>
        <v>7083.33</v>
      </c>
      <c r="L4" s="396">
        <f>SUM('S&amp;TVA Q4 2020'!L$18:L$20)</f>
        <v>7094.53</v>
      </c>
      <c r="M4" s="396">
        <f>SUM('S&amp;TVA Q4 2020'!M$18:M$20)</f>
        <v>7083.33</v>
      </c>
      <c r="N4" s="396">
        <f>SUM(B4:M4)</f>
        <v>54077.05</v>
      </c>
      <c r="O4" s="396">
        <f>SUM('S&amp;TVA 2021'!B18:B21)</f>
        <v>7089.22</v>
      </c>
      <c r="P4" s="396">
        <f>SUM('S&amp;TVA 2021'!C18:C21)</f>
        <v>7207.8099999999995</v>
      </c>
      <c r="Q4" s="396">
        <f>SUM('S&amp;TVA 2021'!D18:D21)</f>
        <v>7122.92</v>
      </c>
      <c r="R4" s="396">
        <f>SUM('S&amp;TVA 2021'!E18:E21)</f>
        <v>7083.33</v>
      </c>
      <c r="S4" s="396">
        <f>SUM('S&amp;TVA 2021'!F18:F21)</f>
        <v>7164.24</v>
      </c>
      <c r="T4" s="396">
        <f>SUM('S&amp;TVA 2021'!G18:G21)</f>
        <v>7169.55</v>
      </c>
      <c r="U4" s="396">
        <f>SUM('S&amp;TVA 2021'!H18:H21)</f>
        <v>7083.33</v>
      </c>
      <c r="V4" s="396">
        <f>SUM('S&amp;TVA 2021'!I18:I21)</f>
        <v>7086.34</v>
      </c>
      <c r="W4" s="396">
        <f>SUM('S&amp;TVA 2021'!J18:J21)</f>
        <v>7101.33</v>
      </c>
      <c r="X4" s="396">
        <f>SUM('S&amp;TVA 2021'!K18:K21)</f>
        <v>7083.33</v>
      </c>
      <c r="Y4" s="396">
        <f>SUM('S&amp;TVA 2021'!L18:L21)</f>
        <v>7135.53</v>
      </c>
      <c r="Z4" s="396">
        <f>SUM('S&amp;TVA 2021'!M18:M21)</f>
        <v>7168.98</v>
      </c>
      <c r="AA4" s="396">
        <f>SUM(O4:Z4)</f>
        <v>85495.91</v>
      </c>
      <c r="AB4" s="396">
        <f>SUM('S&amp;TVA 2022'!B18:B21)</f>
        <v>7226.73</v>
      </c>
      <c r="AC4" s="396">
        <f>SUM('S&amp;TVA 2022'!C18:C21)</f>
        <v>7201.23</v>
      </c>
      <c r="AD4" s="396">
        <f>SUM('S&amp;TVA 2022'!D18:D21)</f>
        <v>7182.03</v>
      </c>
      <c r="AE4" s="396">
        <f>SUM('S&amp;TVA 2022'!E18:E21)</f>
        <v>7200.7</v>
      </c>
      <c r="AF4" s="396">
        <f>SUM('S&amp;TVA 2022'!F18:F21)</f>
        <v>7308.44</v>
      </c>
      <c r="AG4" s="396">
        <f>SUM('S&amp;TVA 2022'!G18:G21)</f>
        <v>7200.15</v>
      </c>
      <c r="AH4" s="396">
        <f>SUM('S&amp;TVA 2022'!H18:H21)</f>
        <v>7166.84</v>
      </c>
      <c r="AI4" s="396">
        <f>SUM('S&amp;TVA 2022'!I18:I21)</f>
        <v>7165.35</v>
      </c>
      <c r="AJ4" s="396">
        <f>SUM('S&amp;TVA 2022'!J18:J21)</f>
        <v>7163.39</v>
      </c>
      <c r="AK4" s="396">
        <f>SUM('S&amp;TVA 2022'!K18:K21)</f>
        <v>7083.33</v>
      </c>
      <c r="AL4" s="396">
        <f>SUM('S&amp;TVA 2022'!L18:L21)</f>
        <v>7123.54</v>
      </c>
      <c r="AM4" s="396">
        <f>SUM('S&amp;TVA 2022'!M18:M21)</f>
        <v>7202.09</v>
      </c>
      <c r="AN4" s="396">
        <f>SUM(AB4:AM4)</f>
        <v>86223.819999999978</v>
      </c>
      <c r="AO4" s="396">
        <f>SUM('S&amp;TVA 2023'!B18:B21)</f>
        <v>7190.2699999999995</v>
      </c>
      <c r="AP4" s="396">
        <f>SUM('S&amp;TVA 2023'!C18:C21)</f>
        <v>7223.48</v>
      </c>
      <c r="AQ4" s="396">
        <f>SUM('S&amp;TVA 2023'!D18:D21)</f>
        <v>7193.88</v>
      </c>
      <c r="AR4" s="396">
        <f>SUM('S&amp;TVA 2023'!E18:E21)</f>
        <v>7143.41</v>
      </c>
      <c r="AS4" s="396">
        <f>SUM('S&amp;TVA 2023'!F18:F21)</f>
        <v>7192.08</v>
      </c>
      <c r="AT4" s="396">
        <f>SUM('S&amp;TVA 2023'!G18:G21)</f>
        <v>7191.89</v>
      </c>
      <c r="AU4" s="396">
        <f>SUM('S&amp;TVA 2023'!H18:H21)</f>
        <v>7158.08</v>
      </c>
      <c r="AV4" s="396">
        <f>SUM('S&amp;TVA 2023'!I18:I21)</f>
        <v>7176.33</v>
      </c>
      <c r="AW4" s="396">
        <f>SUM('S&amp;TVA 2023'!J18:J21)</f>
        <v>7157.9</v>
      </c>
      <c r="AX4" s="396">
        <f>SUM('S&amp;TVA 2023'!K18:K21)</f>
        <v>7098.68</v>
      </c>
      <c r="AY4" s="396">
        <f>SUM('S&amp;TVA 2023'!L18:L21)</f>
        <v>7161.82</v>
      </c>
      <c r="AZ4" s="396">
        <f>SUM('S&amp;TVA 2023'!M18:M21)</f>
        <v>7126.9</v>
      </c>
      <c r="BA4" s="396">
        <f>SUM(AO4:AZ4)</f>
        <v>86014.720000000001</v>
      </c>
      <c r="BB4" s="396">
        <f>SUM('S&amp;TVA 2024'!B27:B30)</f>
        <v>7177.07</v>
      </c>
      <c r="BC4" s="396">
        <f>SUM('S&amp;TVA 2024'!C27:C30)</f>
        <v>7183.8799999999992</v>
      </c>
      <c r="BD4" s="396">
        <f>SUM('S&amp;TVA 2024'!D27:D30)</f>
        <v>7186.96</v>
      </c>
      <c r="BE4" s="396">
        <f>SUM('S&amp;TVA 2024'!E27:E30)</f>
        <v>7184.94</v>
      </c>
      <c r="BF4" s="396">
        <f>SUM('S&amp;TVA 2024'!F27:F30)</f>
        <v>7211.49</v>
      </c>
      <c r="BG4" s="396">
        <f>SUM('S&amp;TVA 2024'!G27:G30)</f>
        <v>7136.97</v>
      </c>
      <c r="BH4" s="396">
        <f>SUM('S&amp;TVA 2024'!H27:H30)</f>
        <v>7123.09</v>
      </c>
      <c r="BI4" s="396">
        <f>SUM('S&amp;TVA 2024'!I27:I30)</f>
        <v>7155.92</v>
      </c>
      <c r="BJ4" s="396">
        <f>SUM('S&amp;TVA 2024'!J27:J30)</f>
        <v>7155.51</v>
      </c>
      <c r="BK4" s="396">
        <f>SUM('S&amp;TVA 2024'!K27:K30)</f>
        <v>7083.33</v>
      </c>
      <c r="BL4" s="396">
        <f>SUM('S&amp;TVA 2024'!L27:L30)</f>
        <v>7112.13</v>
      </c>
      <c r="BM4" s="396">
        <f>SUM('S&amp;TVA 2024'!M27:M30)</f>
        <v>7197.33</v>
      </c>
      <c r="BN4" s="396">
        <f>SUM(BB4:BM4)</f>
        <v>85908.62</v>
      </c>
      <c r="BO4" s="396"/>
    </row>
    <row r="5" spans="1:67" x14ac:dyDescent="0.25">
      <c r="A5" s="392" t="s">
        <v>349</v>
      </c>
      <c r="B5" s="396">
        <f>Allocation!C3</f>
        <v>0</v>
      </c>
      <c r="C5" s="396">
        <f>Allocation!D3</f>
        <v>0</v>
      </c>
      <c r="D5" s="396">
        <f>Allocation!E3</f>
        <v>0</v>
      </c>
      <c r="E5" s="396">
        <f>Allocation!F3</f>
        <v>0</v>
      </c>
      <c r="F5" s="396">
        <f>Allocation!G3-F4</f>
        <v>-3.9999999999054126E-3</v>
      </c>
      <c r="G5" s="396">
        <f>Allocation!H3-G4</f>
        <v>14998.788999999999</v>
      </c>
      <c r="H5" s="396">
        <f>Allocation!I3-H4</f>
        <v>16665.32</v>
      </c>
      <c r="I5" s="396">
        <f>Allocation!J3-I4</f>
        <v>9393.948781150184</v>
      </c>
      <c r="J5" s="396">
        <f>Allocation!K3-J4</f>
        <v>9022.762512541849</v>
      </c>
      <c r="K5" s="396">
        <f>Allocation!L3-K4</f>
        <v>9022.762512541849</v>
      </c>
      <c r="L5" s="396">
        <f>Allocation!M3-L4</f>
        <v>15208.699513615076</v>
      </c>
      <c r="M5" s="396">
        <f>Allocation!N3-M4</f>
        <v>24159.741434640004</v>
      </c>
      <c r="N5" s="396">
        <f t="shared" ref="N5:N6" si="0">SUM(B5:M5)</f>
        <v>98472.019754488967</v>
      </c>
      <c r="O5" s="396">
        <f>Allocation!P3-O4</f>
        <v>24596.102879082999</v>
      </c>
      <c r="P5" s="396">
        <f>Allocation!Q3-P4+'S&amp;TVA 2021'!C32</f>
        <v>24800.777948699171</v>
      </c>
      <c r="Q5" s="396">
        <f>Allocation!R3-Q4</f>
        <v>24738.479702547927</v>
      </c>
      <c r="R5" s="396">
        <f>Allocation!S3-R4</f>
        <v>24553.024394159998</v>
      </c>
      <c r="S5" s="396">
        <f>Allocation!T3-S4</f>
        <v>24553.024394159998</v>
      </c>
      <c r="T5" s="396">
        <f>Allocation!U3-T4</f>
        <v>24553.024394159998</v>
      </c>
      <c r="U5" s="396">
        <f>Allocation!V3-U4</f>
        <v>24553.024394159998</v>
      </c>
      <c r="V5" s="396">
        <f>Allocation!W3-V4</f>
        <v>24574.566717535727</v>
      </c>
      <c r="W5" s="396">
        <f>Allocation!X3-W4</f>
        <v>24620.097008930461</v>
      </c>
      <c r="X5" s="396">
        <f>Allocation!Y3-X4</f>
        <v>24749.882683889991</v>
      </c>
      <c r="Y5" s="396">
        <f>Allocation!Z3-Y4</f>
        <v>24988.580518794945</v>
      </c>
      <c r="Z5" s="396">
        <f>Allocation!AA3-Z4</f>
        <v>24257.53183153972</v>
      </c>
      <c r="AA5" s="396">
        <f t="shared" ref="AA5:AA9" si="1">SUM(O5:Z5)</f>
        <v>295538.11686766089</v>
      </c>
      <c r="AB5" s="396">
        <f>Allocation!AC3-AB4</f>
        <v>23854.988090006653</v>
      </c>
      <c r="AC5" s="396">
        <f>Allocation!AD3-AC4</f>
        <v>23830.679484668399</v>
      </c>
      <c r="AD5" s="396">
        <f>Allocation!AE3-AD4</f>
        <v>23765.372037409099</v>
      </c>
      <c r="AE5" s="396">
        <f>Allocation!AF3-AE4</f>
        <v>23679.6149636798</v>
      </c>
      <c r="AF5" s="396">
        <f>Allocation!AG3-AF4</f>
        <v>23538.290678528301</v>
      </c>
      <c r="AG5" s="396">
        <f>Allocation!AH3-AG4</f>
        <v>23422.849040278699</v>
      </c>
      <c r="AH5" s="396">
        <f>Allocation!AI3-AH4</f>
        <v>23401.203294892643</v>
      </c>
      <c r="AI5" s="396">
        <f>Allocation!AJ3-AI4</f>
        <v>23532.603661638765</v>
      </c>
      <c r="AJ5" s="396">
        <f>Allocation!AK3-AJ4</f>
        <v>23518.974737254095</v>
      </c>
      <c r="AK5" s="396">
        <f>Allocation!AL3-AK4</f>
        <v>24064.172116982067</v>
      </c>
      <c r="AL5" s="396">
        <f>Allocation!AM3-AL4</f>
        <v>24224.45348054303</v>
      </c>
      <c r="AM5" s="396">
        <f>Allocation!AN3-AM4</f>
        <v>24238.519900163152</v>
      </c>
      <c r="AN5" s="396">
        <f t="shared" ref="AN5:AN9" si="2">SUM(AB5:AM5)</f>
        <v>285071.72148604476</v>
      </c>
      <c r="AO5" s="396">
        <f>Allocation!AP3-AO4</f>
        <v>35198.122566040765</v>
      </c>
      <c r="AP5" s="396">
        <f>Allocation!AQ3-AP4</f>
        <v>25158.183579510456</v>
      </c>
      <c r="AQ5" s="396">
        <f>Allocation!AR3-AQ4</f>
        <v>25099.731541461821</v>
      </c>
      <c r="AR5" s="396">
        <f>Allocation!AS3-AR4</f>
        <v>24747.680323923389</v>
      </c>
      <c r="AS5" s="396">
        <f>Allocation!AT3-AS4</f>
        <v>24614.510617895627</v>
      </c>
      <c r="AT5" s="396">
        <f>Allocation!AU3-AT4</f>
        <v>24384.064064138613</v>
      </c>
      <c r="AU5" s="396">
        <f>Allocation!AV3-AU4</f>
        <v>24321.059207381106</v>
      </c>
      <c r="AV5" s="396">
        <f>Allocation!AW3-AV4</f>
        <v>24523.858953466668</v>
      </c>
      <c r="AW5" s="396">
        <f>Allocation!AX3-AW4</f>
        <v>24445.483475210807</v>
      </c>
      <c r="AX5" s="396">
        <f>Allocation!AY3-AX4</f>
        <v>24873.229704317473</v>
      </c>
      <c r="AY5" s="396">
        <f>Allocation!AZ3-AY4</f>
        <v>25758.15387057187</v>
      </c>
      <c r="AZ5" s="396">
        <f>Allocation!BA3-AZ4</f>
        <v>25369.713670943078</v>
      </c>
      <c r="BA5" s="396">
        <f t="shared" ref="BA5:BA9" si="3">SUM(AO5:AZ5)</f>
        <v>308493.79157486162</v>
      </c>
      <c r="BB5" s="396">
        <f>Allocation!BC3-BB4</f>
        <v>25381.135802214903</v>
      </c>
      <c r="BC5" s="396">
        <f>Allocation!BD3-BC4</f>
        <v>25361.394895995603</v>
      </c>
      <c r="BD5" s="396">
        <f>Allocation!BE3-BD4</f>
        <v>30372.700063215598</v>
      </c>
      <c r="BE5" s="396">
        <f>Allocation!BF3-BE4+'S&amp;TVA 2024'!E40*Allocation!BB14</f>
        <v>39962.646098203622</v>
      </c>
      <c r="BF5" s="396">
        <f>Allocation!BG3-BF4</f>
        <v>25196.032318655329</v>
      </c>
      <c r="BG5" s="396">
        <f>Allocation!BH3-BG4</f>
        <v>25057.427655228465</v>
      </c>
      <c r="BH5" s="396">
        <f>Allocation!BI3-BH4</f>
        <v>25176.834213617312</v>
      </c>
      <c r="BI5" s="396">
        <f>Allocation!BJ3-BI4</f>
        <v>25139.521332909171</v>
      </c>
      <c r="BJ5" s="396">
        <f>Allocation!BK3-BJ4</f>
        <v>25150.176407315019</v>
      </c>
      <c r="BK5" s="396">
        <f>Allocation!BL3-BK4</f>
        <v>26058.568804305833</v>
      </c>
      <c r="BL5" s="396">
        <f>Allocation!BM3-BL4</f>
        <v>25943.481657333181</v>
      </c>
      <c r="BM5" s="396">
        <f>Allocation!BN3-BM4</f>
        <v>26185.937798967374</v>
      </c>
      <c r="BN5" s="396">
        <f t="shared" ref="BN5:BN9" si="4">SUM(BB5:BM5)</f>
        <v>324985.85704796144</v>
      </c>
      <c r="BO5" s="396"/>
    </row>
    <row r="6" spans="1:67" x14ac:dyDescent="0.25">
      <c r="A6" s="392" t="s">
        <v>525</v>
      </c>
      <c r="B6" s="396">
        <f>Staff3a!B14</f>
        <v>0</v>
      </c>
      <c r="C6" s="396">
        <f>Staff3a!C14</f>
        <v>0</v>
      </c>
      <c r="D6" s="396">
        <f>Staff3a!D14</f>
        <v>0</v>
      </c>
      <c r="E6" s="396">
        <f>Staff3a!E14</f>
        <v>0</v>
      </c>
      <c r="F6" s="396">
        <f>Staff3a!F14</f>
        <v>0</v>
      </c>
      <c r="G6" s="396">
        <f>Staff3a!G14</f>
        <v>0</v>
      </c>
      <c r="H6" s="396">
        <f>Staff3a!H14</f>
        <v>0</v>
      </c>
      <c r="I6" s="396">
        <f>Staff3a!I14</f>
        <v>0</v>
      </c>
      <c r="J6" s="396">
        <f>Staff3a!J14</f>
        <v>0</v>
      </c>
      <c r="K6" s="396">
        <f>Staff3a!K14</f>
        <v>0</v>
      </c>
      <c r="L6" s="396">
        <f>Staff3a!L14</f>
        <v>0</v>
      </c>
      <c r="M6" s="396">
        <f>Staff3a!M14</f>
        <v>0</v>
      </c>
      <c r="N6" s="396">
        <f t="shared" si="0"/>
        <v>0</v>
      </c>
      <c r="O6" s="396">
        <f>Staff3a!O14</f>
        <v>21.100050916496944</v>
      </c>
      <c r="P6" s="396">
        <f>Staff3a!P14</f>
        <v>130.11698065173118</v>
      </c>
      <c r="Q6" s="396">
        <f>Staff3a!Q14</f>
        <v>203.96715885947049</v>
      </c>
      <c r="R6" s="396">
        <f>Staff3a!R14</f>
        <v>0</v>
      </c>
      <c r="S6" s="396">
        <f>Staff3a!S14</f>
        <v>0</v>
      </c>
      <c r="T6" s="396">
        <f>Staff3a!T14</f>
        <v>0</v>
      </c>
      <c r="U6" s="396">
        <f>Staff3a!U14</f>
        <v>0</v>
      </c>
      <c r="V6" s="396">
        <f>Staff3a!V14</f>
        <v>5.683570701932859</v>
      </c>
      <c r="W6" s="396">
        <f>Staff3a!W14</f>
        <v>0</v>
      </c>
      <c r="X6" s="396">
        <f>Staff3a!X14</f>
        <v>128.69816887080367</v>
      </c>
      <c r="Y6" s="396">
        <f>Staff3a!Y14</f>
        <v>521.94257375381483</v>
      </c>
      <c r="Z6" s="396">
        <f>Staff3a!Z14</f>
        <v>532.6674211597151</v>
      </c>
      <c r="AA6" s="396">
        <f t="shared" si="1"/>
        <v>1544.175924913965</v>
      </c>
      <c r="AB6" s="396">
        <f>Staff3a!AB14</f>
        <v>910.86317395727372</v>
      </c>
      <c r="AC6" s="396">
        <f>Staff3a!AC14</f>
        <v>760.37273652085446</v>
      </c>
      <c r="AD6" s="396">
        <f>Staff3a!AD14</f>
        <v>661.36586978636819</v>
      </c>
      <c r="AE6" s="396">
        <f>Staff3a!AE14</f>
        <v>211.35071574642129</v>
      </c>
      <c r="AF6" s="396">
        <f>Staff3a!AF14</f>
        <v>126.81042944785277</v>
      </c>
      <c r="AG6" s="396">
        <f>Staff3a!AG14</f>
        <v>0</v>
      </c>
      <c r="AH6" s="396">
        <f>Staff3a!AH14</f>
        <v>0</v>
      </c>
      <c r="AI6" s="396">
        <f>Staff3a!AI14</f>
        <v>61.174667689161559</v>
      </c>
      <c r="AJ6" s="396">
        <f>Staff3a!AJ14</f>
        <v>0</v>
      </c>
      <c r="AK6" s="396">
        <f>Staff3a!AK14</f>
        <v>753.40953349360927</v>
      </c>
      <c r="AL6" s="396">
        <f>Staff3a!AL14</f>
        <v>2487.5793200408998</v>
      </c>
      <c r="AM6" s="396">
        <f>Staff3a!AM14</f>
        <v>2771.6281697341519</v>
      </c>
      <c r="AN6" s="396">
        <f t="shared" si="2"/>
        <v>8744.5546164165935</v>
      </c>
      <c r="AO6" s="396">
        <f>Staff3a!AO14</f>
        <v>2288.2085889570553</v>
      </c>
      <c r="AP6" s="396">
        <f>Staff3a!AP14</f>
        <v>2110.2368098159509</v>
      </c>
      <c r="AQ6" s="396">
        <f>Staff3a!AQ14</f>
        <v>2065.7438650306754</v>
      </c>
      <c r="AR6" s="396">
        <f>Staff3a!AR14</f>
        <v>302.33122287464892</v>
      </c>
      <c r="AS6" s="396">
        <f>Staff3a!AS14</f>
        <v>229.03880520806737</v>
      </c>
      <c r="AT6" s="396">
        <f>Staff3a!AT14</f>
        <v>73.292417666581557</v>
      </c>
      <c r="AU6" s="396">
        <f>Staff3a!AU14</f>
        <v>11.817641051825374</v>
      </c>
      <c r="AV6" s="396">
        <f>Staff3a!AV14</f>
        <v>145.75090630584629</v>
      </c>
      <c r="AW6" s="396">
        <f>Staff3a!AW14</f>
        <v>118.17641051825375</v>
      </c>
      <c r="AX6" s="396">
        <f>Staff3a!AX14</f>
        <v>337.77217258105685</v>
      </c>
      <c r="AY6" s="396">
        <f>Staff3a!AY14</f>
        <v>3114.0946642838899</v>
      </c>
      <c r="AZ6" s="396">
        <f>Staff3a!AZ14</f>
        <v>2034.8713811590499</v>
      </c>
      <c r="BA6" s="396">
        <f t="shared" si="3"/>
        <v>12831.334885452903</v>
      </c>
      <c r="BB6" s="396">
        <f>Staff3a!BB14</f>
        <v>2059.4130712279803</v>
      </c>
      <c r="BC6" s="396">
        <f>Staff3a!BC14</f>
        <v>1650.6448812866988</v>
      </c>
      <c r="BD6" s="396">
        <f>Staff3a!BD14</f>
        <v>1444.3142711258613</v>
      </c>
      <c r="BE6" s="396">
        <f>Staff3a!BE14</f>
        <v>287.38943068675002</v>
      </c>
      <c r="BF6" s="396">
        <f>Staff3a!BF14</f>
        <v>121.47388307378094</v>
      </c>
      <c r="BG6" s="396">
        <f>Staff3a!BG14</f>
        <v>88.883329078376306</v>
      </c>
      <c r="BH6" s="396">
        <f>Staff3a!BH14</f>
        <v>94.177845996418512</v>
      </c>
      <c r="BI6" s="396">
        <f>Staff3a!BI14</f>
        <v>114.35881299565106</v>
      </c>
      <c r="BJ6" s="396">
        <f>Staff3a!BJ14</f>
        <v>100.90483499616269</v>
      </c>
      <c r="BK6" s="396">
        <f>Staff3a!BK14</f>
        <v>641.65126630851876</v>
      </c>
      <c r="BL6" s="396">
        <f>Staff3a!BL14</f>
        <v>1196.087797390637</v>
      </c>
      <c r="BM6" s="396">
        <f>Staff3a!BM14</f>
        <v>1847.08349961627</v>
      </c>
      <c r="BN6" s="396">
        <f t="shared" si="4"/>
        <v>9646.3829237831051</v>
      </c>
      <c r="BO6" s="396"/>
    </row>
    <row r="7" spans="1:67" x14ac:dyDescent="0.25">
      <c r="A7" s="392" t="s">
        <v>473</v>
      </c>
      <c r="B7" s="396">
        <f>Allocation!C8</f>
        <v>0</v>
      </c>
      <c r="C7" s="396">
        <f>Allocation!D8</f>
        <v>0</v>
      </c>
      <c r="D7" s="396">
        <f>Allocation!E8</f>
        <v>0</v>
      </c>
      <c r="E7" s="396">
        <f>Allocation!F8</f>
        <v>0</v>
      </c>
      <c r="F7" s="396">
        <f>Allocation!G8</f>
        <v>0</v>
      </c>
      <c r="G7" s="396">
        <f>Allocation!H8</f>
        <v>0</v>
      </c>
      <c r="H7" s="396">
        <f>Allocation!I8</f>
        <v>0</v>
      </c>
      <c r="I7" s="396">
        <f>Allocation!J8</f>
        <v>3313.0285645104318</v>
      </c>
      <c r="J7" s="396">
        <f>Allocation!K8</f>
        <v>3060.2099308995516</v>
      </c>
      <c r="K7" s="396">
        <f>Allocation!L8</f>
        <v>3148.6046629116158</v>
      </c>
      <c r="L7" s="396">
        <f>Allocation!M8</f>
        <v>3142.8748863772607</v>
      </c>
      <c r="M7" s="396">
        <f>Allocation!N8</f>
        <v>3075.8053472907895</v>
      </c>
      <c r="N7" s="396">
        <f t="shared" ref="N7:N9" si="5">SUM(B7:M7)</f>
        <v>15740.523391989649</v>
      </c>
      <c r="O7" s="396">
        <f>Allocation!P8</f>
        <v>3132.6637593642749</v>
      </c>
      <c r="P7" s="396">
        <f>Allocation!Q8</f>
        <v>3235.8174520212997</v>
      </c>
      <c r="Q7" s="396">
        <f>Allocation!R8</f>
        <v>3209.2180412224388</v>
      </c>
      <c r="R7" s="396">
        <f>Allocation!S8</f>
        <v>3150.4363944896709</v>
      </c>
      <c r="S7" s="396">
        <f>Allocation!T8</f>
        <v>3116.6895554727516</v>
      </c>
      <c r="T7" s="396">
        <f>Allocation!U8</f>
        <v>3057.4640011405659</v>
      </c>
      <c r="U7" s="396">
        <f>Allocation!V8</f>
        <v>3077.1415032705945</v>
      </c>
      <c r="V7" s="396">
        <f>Allocation!W8</f>
        <v>3096.3331096596125</v>
      </c>
      <c r="W7" s="396">
        <f>Allocation!X8</f>
        <v>3133.3880182091038</v>
      </c>
      <c r="X7" s="396">
        <f>Allocation!Y8</f>
        <v>3308.6490088259134</v>
      </c>
      <c r="Y7" s="396">
        <f>Allocation!Z8</f>
        <v>3723.2602158392456</v>
      </c>
      <c r="Z7" s="396">
        <f>Allocation!AA8</f>
        <v>3800.4888496648064</v>
      </c>
      <c r="AA7" s="396">
        <f t="shared" si="1"/>
        <v>39041.549909180278</v>
      </c>
      <c r="AB7" s="396">
        <f>Allocation!AC8</f>
        <v>4210.4621806965024</v>
      </c>
      <c r="AC7" s="396">
        <f>Allocation!AD8</f>
        <v>4025.9626151436601</v>
      </c>
      <c r="AD7" s="396">
        <f>Allocation!AE8</f>
        <v>3917.6847570258587</v>
      </c>
      <c r="AE7" s="396">
        <f>Allocation!AF8</f>
        <v>3592.0901512602427</v>
      </c>
      <c r="AF7" s="396">
        <f>Allocation!AG8</f>
        <v>3248.0489476095995</v>
      </c>
      <c r="AG7" s="396">
        <f>Allocation!AH8</f>
        <v>3159.3599434304001</v>
      </c>
      <c r="AH7" s="396">
        <f>Allocation!AI8</f>
        <v>3201.5546135103996</v>
      </c>
      <c r="AI7" s="396">
        <f>Allocation!AJ8</f>
        <v>3310.4977029567999</v>
      </c>
      <c r="AJ7" s="396">
        <f>Allocation!AK8</f>
        <v>3336.1828448128003</v>
      </c>
      <c r="AK7" s="396">
        <f>Allocation!AL8</f>
        <v>4261.71</v>
      </c>
      <c r="AL7" s="396">
        <f>Allocation!AM8</f>
        <v>4560.8230833472007</v>
      </c>
      <c r="AM7" s="396">
        <f>Allocation!AN8</f>
        <v>4754.9627008063999</v>
      </c>
      <c r="AN7" s="396">
        <f t="shared" si="2"/>
        <v>45579.339540599874</v>
      </c>
      <c r="AO7" s="396">
        <f>Allocation!AP8</f>
        <v>4824.8486425728006</v>
      </c>
      <c r="AP7" s="396">
        <f>Allocation!AQ8</f>
        <v>4799.6544001855991</v>
      </c>
      <c r="AQ7" s="396">
        <f>Allocation!AR8</f>
        <v>4751.0761471936003</v>
      </c>
      <c r="AR7" s="396">
        <f>Allocation!AS8</f>
        <v>4017.3714465224002</v>
      </c>
      <c r="AS7" s="396">
        <f>Allocation!AT8</f>
        <v>3705.6735948295996</v>
      </c>
      <c r="AT7" s="396">
        <f>Allocation!AU8</f>
        <v>3364.9727978655997</v>
      </c>
      <c r="AU7" s="396">
        <f>Allocation!AV8</f>
        <v>3355.5202702319998</v>
      </c>
      <c r="AV7" s="396">
        <f>Allocation!AW8</f>
        <v>3729.6482191823993</v>
      </c>
      <c r="AW7" s="396">
        <f>Allocation!AX8</f>
        <v>3598.6806387607994</v>
      </c>
      <c r="AX7" s="396">
        <f>Allocation!AY8</f>
        <v>4427.8562206808001</v>
      </c>
      <c r="AY7" s="396">
        <f>Allocation!AZ8</f>
        <v>6998.1685279384001</v>
      </c>
      <c r="AZ7" s="396">
        <f>Allocation!BA8</f>
        <v>5714.9905200415997</v>
      </c>
      <c r="BA7" s="396">
        <f t="shared" si="3"/>
        <v>53288.461426005597</v>
      </c>
      <c r="BB7" s="396">
        <f>Allocation!BC8</f>
        <v>5927.4113854431998</v>
      </c>
      <c r="BC7" s="396">
        <f>Allocation!BD8</f>
        <v>5485.949497476</v>
      </c>
      <c r="BD7" s="396">
        <f>Allocation!BE8</f>
        <v>5216.9199048201863</v>
      </c>
      <c r="BE7" s="396">
        <f>Allocation!BF8</f>
        <v>4471.4782019863997</v>
      </c>
      <c r="BF7" s="396">
        <f>Allocation!BG8</f>
        <v>3830.4385929367991</v>
      </c>
      <c r="BG7" s="396">
        <f>Allocation!BH8</f>
        <v>3622.6326372623998</v>
      </c>
      <c r="BH7" s="396">
        <f>Allocation!BI8</f>
        <v>3698.6183518600001</v>
      </c>
      <c r="BI7" s="396">
        <f>Allocation!BJ8</f>
        <v>3775.5308586407996</v>
      </c>
      <c r="BJ7" s="396">
        <f>Allocation!BK8</f>
        <v>3798.8676041527997</v>
      </c>
      <c r="BK7" s="396">
        <f>Allocation!BL8</f>
        <v>5603.2282810048</v>
      </c>
      <c r="BL7" s="396">
        <f>Allocation!BM8</f>
        <v>5335.6665205855998</v>
      </c>
      <c r="BM7" s="396">
        <f>Allocation!BN8</f>
        <v>6189.4968019488006</v>
      </c>
      <c r="BN7" s="396">
        <f t="shared" si="4"/>
        <v>56956.238638117786</v>
      </c>
      <c r="BO7" s="396"/>
    </row>
    <row r="8" spans="1:67" x14ac:dyDescent="0.25">
      <c r="A8" s="392" t="s">
        <v>350</v>
      </c>
      <c r="B8" s="396">
        <f>'S&amp;TVA Q4 2020'!B36</f>
        <v>9898.75</v>
      </c>
      <c r="C8" s="396">
        <f>'S&amp;TVA Q4 2020'!C36</f>
        <v>9898.75</v>
      </c>
      <c r="D8" s="396">
        <f>'S&amp;TVA Q4 2020'!D36</f>
        <v>9898.75</v>
      </c>
      <c r="E8" s="396">
        <f>'S&amp;TVA Q4 2020'!E36</f>
        <v>9898.75</v>
      </c>
      <c r="F8" s="396">
        <f>'S&amp;TVA Q4 2020'!F36</f>
        <v>9898.75</v>
      </c>
      <c r="G8" s="396">
        <f>'S&amp;TVA Q4 2020'!G36</f>
        <v>9898.75</v>
      </c>
      <c r="H8" s="396">
        <f>'S&amp;TVA Q4 2020'!H36</f>
        <v>9898.75</v>
      </c>
      <c r="I8" s="396">
        <f>'S&amp;TVA Q4 2020'!I36</f>
        <v>9898.75</v>
      </c>
      <c r="J8" s="396">
        <f>'S&amp;TVA Q4 2020'!J36</f>
        <v>9898.75</v>
      </c>
      <c r="K8" s="396">
        <f>'S&amp;TVA Q4 2020'!K36</f>
        <v>9898.75</v>
      </c>
      <c r="L8" s="396">
        <f>'S&amp;TVA Q4 2020'!L36</f>
        <v>9898.75</v>
      </c>
      <c r="M8" s="396">
        <f>'S&amp;TVA Q4 2020'!M36</f>
        <v>9898.75</v>
      </c>
      <c r="N8" s="396">
        <f t="shared" si="5"/>
        <v>118785</v>
      </c>
      <c r="O8" s="396">
        <f>'S&amp;TVA 2021'!B38</f>
        <v>18210.583333333332</v>
      </c>
      <c r="P8" s="396">
        <f>'S&amp;TVA 2021'!C38</f>
        <v>18210.583333333332</v>
      </c>
      <c r="Q8" s="396">
        <f>'S&amp;TVA 2021'!D38</f>
        <v>18210.583333333332</v>
      </c>
      <c r="R8" s="396">
        <f>'S&amp;TVA 2021'!E38</f>
        <v>18210.583333333332</v>
      </c>
      <c r="S8" s="396">
        <f>'S&amp;TVA 2021'!F38</f>
        <v>18210.583333333332</v>
      </c>
      <c r="T8" s="396">
        <f>'S&amp;TVA 2021'!G38</f>
        <v>18210.583333333332</v>
      </c>
      <c r="U8" s="396">
        <f>'S&amp;TVA 2021'!H38</f>
        <v>18210.583333333332</v>
      </c>
      <c r="V8" s="396">
        <f>'S&amp;TVA 2021'!I38</f>
        <v>18210.583333333332</v>
      </c>
      <c r="W8" s="396">
        <f>'S&amp;TVA 2021'!J38</f>
        <v>18210.583333333332</v>
      </c>
      <c r="X8" s="396">
        <f>'S&amp;TVA 2021'!K38</f>
        <v>18210.583333333332</v>
      </c>
      <c r="Y8" s="396">
        <f>'S&amp;TVA 2021'!L38</f>
        <v>18210.583333333332</v>
      </c>
      <c r="Z8" s="396">
        <f>'S&amp;TVA 2021'!M38</f>
        <v>-841.41666666668607</v>
      </c>
      <c r="AA8" s="396">
        <f t="shared" si="1"/>
        <v>199475</v>
      </c>
      <c r="AB8" s="396">
        <f>'S&amp;TVA 2022'!B38</f>
        <v>16622.916666666668</v>
      </c>
      <c r="AC8" s="396">
        <f>'S&amp;TVA 2022'!C38</f>
        <v>16622.916666666668</v>
      </c>
      <c r="AD8" s="396">
        <f>'S&amp;TVA 2022'!D38</f>
        <v>16622.916666666668</v>
      </c>
      <c r="AE8" s="396">
        <f>'S&amp;TVA 2022'!E38</f>
        <v>16622.916666666668</v>
      </c>
      <c r="AF8" s="396">
        <f>'S&amp;TVA 2022'!F38</f>
        <v>16622.916666666668</v>
      </c>
      <c r="AG8" s="396">
        <f>'S&amp;TVA 2022'!G38</f>
        <v>16622.916666666668</v>
      </c>
      <c r="AH8" s="396">
        <f>'S&amp;TVA 2022'!H38</f>
        <v>16622.916666666668</v>
      </c>
      <c r="AI8" s="396">
        <f>'S&amp;TVA 2022'!I38</f>
        <v>16622.916666666668</v>
      </c>
      <c r="AJ8" s="396">
        <f>'S&amp;TVA 2022'!J38</f>
        <v>16622.916666666668</v>
      </c>
      <c r="AK8" s="396">
        <f>'S&amp;TVA 2022'!K38</f>
        <v>35332.25</v>
      </c>
      <c r="AL8" s="396">
        <f>'S&amp;TVA 2022'!L38</f>
        <v>35332.25</v>
      </c>
      <c r="AM8" s="396">
        <f>'S&amp;TVA 2022'!M38</f>
        <v>35332.25</v>
      </c>
      <c r="AN8" s="396">
        <f t="shared" si="2"/>
        <v>255603</v>
      </c>
      <c r="AO8" s="396">
        <f>'S&amp;TVA 2023'!B39</f>
        <v>20849.916666666668</v>
      </c>
      <c r="AP8" s="396">
        <f>'S&amp;TVA 2023'!C39</f>
        <v>20849.916666666668</v>
      </c>
      <c r="AQ8" s="396">
        <f>'S&amp;TVA 2023'!D39</f>
        <v>20849.916666666668</v>
      </c>
      <c r="AR8" s="396">
        <f>'S&amp;TVA 2023'!E39</f>
        <v>20849.916666666668</v>
      </c>
      <c r="AS8" s="396">
        <f>'S&amp;TVA 2023'!F39</f>
        <v>20849.916666666668</v>
      </c>
      <c r="AT8" s="396">
        <f>'S&amp;TVA 2023'!G39</f>
        <v>20849.916666666668</v>
      </c>
      <c r="AU8" s="396">
        <f>'S&amp;TVA 2023'!H39</f>
        <v>20849.916666666668</v>
      </c>
      <c r="AV8" s="396">
        <f>'S&amp;TVA 2023'!I39</f>
        <v>20849.916666666668</v>
      </c>
      <c r="AW8" s="396">
        <f>'S&amp;TVA 2023'!J39</f>
        <v>20849.916666666668</v>
      </c>
      <c r="AX8" s="396">
        <f>'S&amp;TVA 2023'!K39</f>
        <v>21431.158333333333</v>
      </c>
      <c r="AY8" s="396">
        <f>'S&amp;TVA 2023'!L39</f>
        <v>21431.158333333333</v>
      </c>
      <c r="AZ8" s="396">
        <f>'S&amp;TVA 2023'!M39</f>
        <v>21431.158333333333</v>
      </c>
      <c r="BA8" s="396">
        <f t="shared" si="3"/>
        <v>251942.72499999998</v>
      </c>
      <c r="BB8" s="396">
        <f>'S&amp;TVA 2024'!B49</f>
        <v>15750.25</v>
      </c>
      <c r="BC8" s="396">
        <f>'S&amp;TVA 2024'!C49</f>
        <v>15750.25</v>
      </c>
      <c r="BD8" s="396">
        <f>'S&amp;TVA 2024'!D49</f>
        <v>15750.25</v>
      </c>
      <c r="BE8" s="396">
        <f>'S&amp;TVA 2024'!E49</f>
        <v>15750.25</v>
      </c>
      <c r="BF8" s="396">
        <f>'S&amp;TVA 2024'!F49</f>
        <v>15750.25</v>
      </c>
      <c r="BG8" s="396">
        <f>'S&amp;TVA 2024'!G49</f>
        <v>15750.25</v>
      </c>
      <c r="BH8" s="396">
        <f>'S&amp;TVA 2024'!H49</f>
        <v>15750.25</v>
      </c>
      <c r="BI8" s="396">
        <f>'S&amp;TVA 2024'!I49</f>
        <v>15750.25</v>
      </c>
      <c r="BJ8" s="396">
        <f>'S&amp;TVA 2024'!J49</f>
        <v>15750.25</v>
      </c>
      <c r="BK8" s="396">
        <f>'S&amp;TVA 2024'!K49</f>
        <v>15750.25</v>
      </c>
      <c r="BL8" s="396">
        <f>'S&amp;TVA 2024'!L49</f>
        <v>15750.25</v>
      </c>
      <c r="BM8" s="396">
        <f>'S&amp;TVA 2024'!M49</f>
        <v>15750.25</v>
      </c>
      <c r="BN8" s="396">
        <f t="shared" si="4"/>
        <v>189003</v>
      </c>
      <c r="BO8" s="396"/>
    </row>
    <row r="9" spans="1:67" x14ac:dyDescent="0.25">
      <c r="A9" s="392" t="s">
        <v>352</v>
      </c>
      <c r="B9" s="396">
        <v>0</v>
      </c>
      <c r="C9" s="396">
        <v>0</v>
      </c>
      <c r="D9" s="396">
        <v>0</v>
      </c>
      <c r="E9" s="396">
        <v>0</v>
      </c>
      <c r="F9" s="396">
        <v>0</v>
      </c>
      <c r="G9" s="396">
        <v>0</v>
      </c>
      <c r="H9" s="396">
        <v>0</v>
      </c>
      <c r="I9" s="396">
        <v>0</v>
      </c>
      <c r="J9" s="396">
        <v>0</v>
      </c>
      <c r="K9" s="396">
        <v>0</v>
      </c>
      <c r="L9" s="396">
        <v>0</v>
      </c>
      <c r="M9" s="396">
        <v>0</v>
      </c>
      <c r="N9" s="396">
        <f t="shared" si="5"/>
        <v>0</v>
      </c>
      <c r="O9" s="396">
        <v>0</v>
      </c>
      <c r="P9" s="396">
        <v>0</v>
      </c>
      <c r="Q9" s="396">
        <v>0</v>
      </c>
      <c r="R9" s="396">
        <v>0</v>
      </c>
      <c r="S9" s="396">
        <v>0</v>
      </c>
      <c r="T9" s="396">
        <v>0</v>
      </c>
      <c r="U9" s="396">
        <v>0</v>
      </c>
      <c r="V9" s="396">
        <v>0</v>
      </c>
      <c r="W9" s="396">
        <v>0</v>
      </c>
      <c r="X9" s="396">
        <v>0</v>
      </c>
      <c r="Y9" s="396">
        <v>0</v>
      </c>
      <c r="Z9" s="396">
        <v>0</v>
      </c>
      <c r="AA9" s="396">
        <f t="shared" si="1"/>
        <v>0</v>
      </c>
      <c r="AB9" s="396">
        <v>0</v>
      </c>
      <c r="AC9" s="396">
        <v>0</v>
      </c>
      <c r="AD9" s="396">
        <v>0</v>
      </c>
      <c r="AE9" s="396">
        <v>0</v>
      </c>
      <c r="AF9" s="396">
        <v>0</v>
      </c>
      <c r="AG9" s="396">
        <v>0</v>
      </c>
      <c r="AH9" s="396">
        <v>0</v>
      </c>
      <c r="AI9" s="396">
        <v>0</v>
      </c>
      <c r="AJ9" s="396">
        <v>0</v>
      </c>
      <c r="AK9" s="396">
        <v>0</v>
      </c>
      <c r="AL9" s="396">
        <v>0</v>
      </c>
      <c r="AM9" s="396">
        <v>0</v>
      </c>
      <c r="AN9" s="396">
        <f t="shared" si="2"/>
        <v>0</v>
      </c>
      <c r="AO9" s="396">
        <v>0</v>
      </c>
      <c r="AP9" s="396">
        <v>0</v>
      </c>
      <c r="AQ9" s="396">
        <v>0</v>
      </c>
      <c r="AR9" s="396">
        <v>0</v>
      </c>
      <c r="AS9" s="396">
        <v>0</v>
      </c>
      <c r="AT9" s="396">
        <v>0</v>
      </c>
      <c r="AU9" s="396">
        <v>0</v>
      </c>
      <c r="AV9" s="396">
        <v>0</v>
      </c>
      <c r="AW9" s="396">
        <v>0</v>
      </c>
      <c r="AX9" s="396">
        <v>0</v>
      </c>
      <c r="AY9" s="396">
        <v>0</v>
      </c>
      <c r="AZ9" s="396">
        <v>0</v>
      </c>
      <c r="BA9" s="396">
        <f t="shared" si="3"/>
        <v>0</v>
      </c>
      <c r="BB9" s="396">
        <f>'S&amp;TVA 2024'!B48</f>
        <v>0</v>
      </c>
      <c r="BC9" s="396">
        <f>'S&amp;TVA 2024'!C48</f>
        <v>0</v>
      </c>
      <c r="BD9" s="396">
        <f>'S&amp;TVA 2024'!D48</f>
        <v>0</v>
      </c>
      <c r="BE9" s="396">
        <f>'S&amp;TVA 2024'!E48</f>
        <v>0</v>
      </c>
      <c r="BF9" s="396">
        <f>'S&amp;TVA 2024'!F48</f>
        <v>0</v>
      </c>
      <c r="BG9" s="396">
        <f>'S&amp;TVA 2024'!G48</f>
        <v>0</v>
      </c>
      <c r="BH9" s="396">
        <f>'S&amp;TVA 2024'!H48</f>
        <v>0</v>
      </c>
      <c r="BI9" s="396">
        <f>'S&amp;TVA 2024'!I48</f>
        <v>0</v>
      </c>
      <c r="BJ9" s="396">
        <f>'S&amp;TVA 2024'!J48</f>
        <v>0</v>
      </c>
      <c r="BK9" s="396">
        <f>'S&amp;TVA 2024'!K48</f>
        <v>13603.79</v>
      </c>
      <c r="BL9" s="396">
        <f>'S&amp;TVA 2024'!L48</f>
        <v>77424.139684399997</v>
      </c>
      <c r="BM9" s="396">
        <f>'S&amp;TVA 2024'!M48</f>
        <v>36305.248688</v>
      </c>
      <c r="BN9" s="396">
        <f t="shared" si="4"/>
        <v>127333.1783724</v>
      </c>
      <c r="BO9" s="396"/>
    </row>
    <row r="10" spans="1:67" s="315" customFormat="1" x14ac:dyDescent="0.25">
      <c r="A10" s="392" t="s">
        <v>436</v>
      </c>
      <c r="B10" s="400">
        <f>SUM(B4:B9)</f>
        <v>9898.75</v>
      </c>
      <c r="C10" s="400">
        <f t="shared" ref="C10:O10" si="6">SUM(C4:C9)</f>
        <v>9898.75</v>
      </c>
      <c r="D10" s="400">
        <f t="shared" si="6"/>
        <v>9898.75</v>
      </c>
      <c r="E10" s="400">
        <f t="shared" si="6"/>
        <v>9898.75</v>
      </c>
      <c r="F10" s="400">
        <f t="shared" si="6"/>
        <v>13512.036</v>
      </c>
      <c r="G10" s="400">
        <f t="shared" si="6"/>
        <v>32115.868999999999</v>
      </c>
      <c r="H10" s="400">
        <f t="shared" si="6"/>
        <v>33786.9</v>
      </c>
      <c r="I10" s="400">
        <f t="shared" si="6"/>
        <v>30193.807345660614</v>
      </c>
      <c r="J10" s="400">
        <f t="shared" si="6"/>
        <v>29155.0524434414</v>
      </c>
      <c r="K10" s="400">
        <f t="shared" si="6"/>
        <v>29153.447175453464</v>
      </c>
      <c r="L10" s="400">
        <f t="shared" si="6"/>
        <v>35344.854399992335</v>
      </c>
      <c r="M10" s="400">
        <f t="shared" si="6"/>
        <v>44217.626781930798</v>
      </c>
      <c r="N10" s="400">
        <f t="shared" si="6"/>
        <v>287074.59314647864</v>
      </c>
      <c r="O10" s="400">
        <f t="shared" si="6"/>
        <v>53049.670022697101</v>
      </c>
      <c r="P10" s="400">
        <f t="shared" ref="P10" si="7">SUM(P4:P9)</f>
        <v>53585.105714705525</v>
      </c>
      <c r="Q10" s="400">
        <f t="shared" ref="Q10" si="8">SUM(Q4:Q9)</f>
        <v>53485.168235963167</v>
      </c>
      <c r="R10" s="400">
        <f t="shared" ref="R10" si="9">SUM(R4:R9)</f>
        <v>52997.374121982997</v>
      </c>
      <c r="S10" s="400">
        <f t="shared" ref="S10" si="10">SUM(S4:S9)</f>
        <v>53044.537282966077</v>
      </c>
      <c r="T10" s="400">
        <f t="shared" ref="T10" si="11">SUM(T4:T9)</f>
        <v>52990.621728633894</v>
      </c>
      <c r="U10" s="400">
        <f t="shared" ref="U10" si="12">SUM(U4:U9)</f>
        <v>52924.07923076392</v>
      </c>
      <c r="V10" s="400">
        <f t="shared" ref="V10" si="13">SUM(V4:V9)</f>
        <v>52973.506731230606</v>
      </c>
      <c r="W10" s="400">
        <f t="shared" ref="W10" si="14">SUM(W4:W9)</f>
        <v>53065.3983604729</v>
      </c>
      <c r="X10" s="400">
        <f t="shared" ref="X10" si="15">SUM(X4:X9)</f>
        <v>53481.143194920049</v>
      </c>
      <c r="Y10" s="400">
        <f t="shared" ref="Y10" si="16">SUM(Y4:Y9)</f>
        <v>54579.896641721338</v>
      </c>
      <c r="Z10" s="400">
        <f t="shared" ref="Z10" si="17">SUM(Z4:Z9)</f>
        <v>34918.251435697559</v>
      </c>
      <c r="AA10" s="400">
        <f t="shared" ref="AA10:AB10" si="18">SUM(AA4:AA9)</f>
        <v>621094.75270175515</v>
      </c>
      <c r="AB10" s="400">
        <f t="shared" si="18"/>
        <v>52825.960111327091</v>
      </c>
      <c r="AC10" s="400">
        <f t="shared" ref="AC10" si="19">SUM(AC4:AC9)</f>
        <v>52441.161502999574</v>
      </c>
      <c r="AD10" s="400">
        <f t="shared" ref="AD10" si="20">SUM(AD4:AD9)</f>
        <v>52149.369330887988</v>
      </c>
      <c r="AE10" s="400">
        <f t="shared" ref="AE10" si="21">SUM(AE4:AE9)</f>
        <v>51306.672497353138</v>
      </c>
      <c r="AF10" s="400">
        <f t="shared" ref="AF10" si="22">SUM(AF4:AF9)</f>
        <v>50844.506722252423</v>
      </c>
      <c r="AG10" s="400">
        <f t="shared" ref="AG10" si="23">SUM(AG4:AG9)</f>
        <v>50405.27565037577</v>
      </c>
      <c r="AH10" s="400">
        <f t="shared" ref="AH10" si="24">SUM(AH4:AH9)</f>
        <v>50392.514575069712</v>
      </c>
      <c r="AI10" s="400">
        <f t="shared" ref="AI10" si="25">SUM(AI4:AI9)</f>
        <v>50692.542698951394</v>
      </c>
      <c r="AJ10" s="400">
        <f t="shared" ref="AJ10" si="26">SUM(AJ4:AJ9)</f>
        <v>50641.464248733566</v>
      </c>
      <c r="AK10" s="400">
        <f t="shared" ref="AK10" si="27">SUM(AK4:AK9)</f>
        <v>71494.871650475689</v>
      </c>
      <c r="AL10" s="400">
        <f t="shared" ref="AL10" si="28">SUM(AL4:AL9)</f>
        <v>73728.645883931138</v>
      </c>
      <c r="AM10" s="400">
        <f t="shared" ref="AM10" si="29">SUM(AM4:AM9)</f>
        <v>74299.450770703697</v>
      </c>
      <c r="AN10" s="400">
        <f t="shared" ref="AN10:AO10" si="30">SUM(AN4:AN9)</f>
        <v>681222.43564306118</v>
      </c>
      <c r="AO10" s="400">
        <f t="shared" si="30"/>
        <v>70351.36646423729</v>
      </c>
      <c r="AP10" s="400">
        <f t="shared" ref="AP10" si="31">SUM(AP4:AP9)</f>
        <v>60141.471456178682</v>
      </c>
      <c r="AQ10" s="400">
        <f t="shared" ref="AQ10" si="32">SUM(AQ4:AQ9)</f>
        <v>59960.348220352767</v>
      </c>
      <c r="AR10" s="400">
        <f t="shared" ref="AR10" si="33">SUM(AR4:AR9)</f>
        <v>57060.7096599871</v>
      </c>
      <c r="AS10" s="400">
        <f t="shared" ref="AS10" si="34">SUM(AS4:AS9)</f>
        <v>56591.219684599957</v>
      </c>
      <c r="AT10" s="400">
        <f t="shared" ref="AT10" si="35">SUM(AT4:AT9)</f>
        <v>55864.135946337454</v>
      </c>
      <c r="AU10" s="400">
        <f t="shared" ref="AU10" si="36">SUM(AU4:AU9)</f>
        <v>55696.393785331602</v>
      </c>
      <c r="AV10" s="400">
        <f t="shared" ref="AV10" si="37">SUM(AV4:AV9)</f>
        <v>56425.504745621583</v>
      </c>
      <c r="AW10" s="400">
        <f t="shared" ref="AW10" si="38">SUM(AW4:AW9)</f>
        <v>56170.157191156526</v>
      </c>
      <c r="AX10" s="400">
        <f t="shared" ref="AX10" si="39">SUM(AX4:AX9)</f>
        <v>58168.696430912663</v>
      </c>
      <c r="AY10" s="400">
        <f t="shared" ref="AY10" si="40">SUM(AY4:AY9)</f>
        <v>64463.395396127489</v>
      </c>
      <c r="AZ10" s="400">
        <f t="shared" ref="AZ10" si="41">SUM(AZ4:AZ9)</f>
        <v>61677.633905477058</v>
      </c>
      <c r="BA10" s="400">
        <f t="shared" ref="BA10:BB10" si="42">SUM(BA4:BA9)</f>
        <v>712571.03288632003</v>
      </c>
      <c r="BB10" s="400">
        <f t="shared" si="42"/>
        <v>56295.280258886087</v>
      </c>
      <c r="BC10" s="400">
        <f t="shared" ref="BC10" si="43">SUM(BC4:BC9)</f>
        <v>55432.119274758305</v>
      </c>
      <c r="BD10" s="400">
        <f t="shared" ref="BD10" si="44">SUM(BD4:BD9)</f>
        <v>59971.144239161644</v>
      </c>
      <c r="BE10" s="400">
        <f t="shared" ref="BE10" si="45">SUM(BE4:BE9)</f>
        <v>67656.703730876776</v>
      </c>
      <c r="BF10" s="400">
        <f t="shared" ref="BF10" si="46">SUM(BF4:BF9)</f>
        <v>52109.684794665904</v>
      </c>
      <c r="BG10" s="400">
        <f t="shared" ref="BG10" si="47">SUM(BG4:BG9)</f>
        <v>51656.163621569242</v>
      </c>
      <c r="BH10" s="400">
        <f t="shared" ref="BH10" si="48">SUM(BH4:BH9)</f>
        <v>51842.970411473732</v>
      </c>
      <c r="BI10" s="400">
        <f t="shared" ref="BI10" si="49">SUM(BI4:BI9)</f>
        <v>51935.581004545624</v>
      </c>
      <c r="BJ10" s="400">
        <f t="shared" ref="BJ10" si="50">SUM(BJ4:BJ9)</f>
        <v>51955.708846463982</v>
      </c>
      <c r="BK10" s="400">
        <f t="shared" ref="BK10" si="51">SUM(BK4:BK9)</f>
        <v>68740.818351619149</v>
      </c>
      <c r="BL10" s="400">
        <f t="shared" ref="BL10" si="52">SUM(BL4:BL9)</f>
        <v>132761.75565970942</v>
      </c>
      <c r="BM10" s="400">
        <f t="shared" ref="BM10" si="53">SUM(BM4:BM9)</f>
        <v>93475.34678853245</v>
      </c>
      <c r="BN10" s="400">
        <f t="shared" ref="BN10" si="54">SUM(BN4:BN9)</f>
        <v>793833.27698226238</v>
      </c>
      <c r="BO10" s="400"/>
    </row>
    <row r="11" spans="1:67" x14ac:dyDescent="0.25">
      <c r="A11" s="392"/>
      <c r="B11" s="396"/>
      <c r="C11" s="396"/>
      <c r="D11" s="396"/>
      <c r="E11" s="396"/>
      <c r="F11" s="396"/>
      <c r="G11" s="396"/>
      <c r="H11" s="396"/>
      <c r="I11" s="396"/>
      <c r="J11" s="396"/>
      <c r="K11" s="396"/>
      <c r="L11" s="396"/>
      <c r="M11" s="396"/>
      <c r="N11" s="396"/>
      <c r="O11" s="396"/>
      <c r="P11" s="396"/>
      <c r="Q11" s="396"/>
      <c r="R11" s="396"/>
      <c r="S11" s="396"/>
      <c r="T11" s="396"/>
      <c r="U11" s="396"/>
      <c r="V11" s="396"/>
      <c r="W11" s="396"/>
      <c r="X11" s="396"/>
      <c r="Y11" s="396"/>
      <c r="Z11" s="396"/>
      <c r="AA11" s="396"/>
      <c r="AB11" s="396"/>
      <c r="AC11" s="396"/>
      <c r="AD11" s="396"/>
      <c r="AE11" s="396"/>
      <c r="AF11" s="396"/>
      <c r="AG11" s="396"/>
      <c r="AH11" s="396"/>
      <c r="AI11" s="396"/>
      <c r="AJ11" s="396"/>
      <c r="AK11" s="396"/>
      <c r="AL11" s="396"/>
      <c r="AM11" s="396"/>
      <c r="AN11" s="396"/>
      <c r="AO11" s="396"/>
      <c r="AP11" s="396"/>
      <c r="AQ11" s="396"/>
      <c r="AR11" s="396"/>
      <c r="AS11" s="396"/>
      <c r="AT11" s="396"/>
      <c r="AU11" s="396"/>
      <c r="AV11" s="396"/>
      <c r="AW11" s="396"/>
      <c r="AX11" s="396"/>
      <c r="AY11" s="396"/>
      <c r="AZ11" s="396"/>
      <c r="BA11" s="396"/>
      <c r="BB11" s="396"/>
      <c r="BC11" s="396"/>
      <c r="BD11" s="396"/>
      <c r="BE11" s="396"/>
      <c r="BF11" s="396"/>
      <c r="BG11" s="396"/>
      <c r="BH11" s="396"/>
      <c r="BI11" s="396"/>
      <c r="BJ11" s="396"/>
      <c r="BK11" s="396"/>
      <c r="BL11" s="396"/>
      <c r="BM11" s="396"/>
      <c r="BN11" s="396"/>
      <c r="BO11" s="396"/>
    </row>
    <row r="12" spans="1:67" s="315" customFormat="1" x14ac:dyDescent="0.25">
      <c r="A12" s="392" t="s">
        <v>419</v>
      </c>
      <c r="B12" s="400">
        <f>'S&amp;TVA Q4 2020'!B49</f>
        <v>0</v>
      </c>
      <c r="C12" s="400">
        <f>'S&amp;TVA Q4 2020'!C49</f>
        <v>0</v>
      </c>
      <c r="D12" s="400">
        <f>'S&amp;TVA Q4 2020'!D49</f>
        <v>0</v>
      </c>
      <c r="E12" s="400">
        <f>'S&amp;TVA Q4 2020'!E49</f>
        <v>0</v>
      </c>
      <c r="F12" s="400">
        <f>'S&amp;TVA Q4 2020'!F49</f>
        <v>0</v>
      </c>
      <c r="G12" s="400">
        <f>'S&amp;TVA Q4 2020'!G49</f>
        <v>0</v>
      </c>
      <c r="H12" s="400">
        <f>'S&amp;TVA Q4 2020'!H49</f>
        <v>0</v>
      </c>
      <c r="I12" s="400">
        <f>'S&amp;TVA Q4 2020'!I49</f>
        <v>0</v>
      </c>
      <c r="J12" s="400">
        <f>'S&amp;TVA Q4 2020'!J49</f>
        <v>89.67</v>
      </c>
      <c r="K12" s="400">
        <f>'S&amp;TVA Q4 2020'!K49</f>
        <v>-356.71</v>
      </c>
      <c r="L12" s="400">
        <f>'S&amp;TVA Q4 2020'!L49</f>
        <v>1166.4100000000001</v>
      </c>
      <c r="M12" s="400">
        <f>'S&amp;TVA Q4 2020'!M49</f>
        <v>1229.93</v>
      </c>
      <c r="N12" s="400">
        <f>SUM(B12:M12)</f>
        <v>2129.3000000000002</v>
      </c>
      <c r="O12" s="400">
        <f>'S&amp;TVA 2021'!B51</f>
        <v>660.5</v>
      </c>
      <c r="P12" s="400">
        <f>'S&amp;TVA 2021'!C51</f>
        <v>1474.65</v>
      </c>
      <c r="Q12" s="400">
        <f>'S&amp;TVA 2021'!D51</f>
        <v>3070.65</v>
      </c>
      <c r="R12" s="400">
        <f>'S&amp;TVA 2021'!E51</f>
        <v>3426.7800000000007</v>
      </c>
      <c r="S12" s="400">
        <f>'S&amp;TVA 2021'!F51</f>
        <v>2827.4299999999985</v>
      </c>
      <c r="T12" s="400">
        <f>'S&amp;TVA 2021'!G51</f>
        <v>2076.1099999999988</v>
      </c>
      <c r="U12" s="400">
        <f>'S&amp;TVA 2021'!H51</f>
        <v>1200.3999999999996</v>
      </c>
      <c r="V12" s="400">
        <f>'S&amp;TVA 2021'!I51</f>
        <v>1257.4299999999985</v>
      </c>
      <c r="W12" s="400">
        <f>'S&amp;TVA 2021'!J51</f>
        <v>1108.0599999999995</v>
      </c>
      <c r="X12" s="400">
        <f>'S&amp;TVA 2021'!K51</f>
        <v>1415.3500000000004</v>
      </c>
      <c r="Y12" s="400">
        <f>'S&amp;TVA 2021'!L51</f>
        <v>4433.6999999999989</v>
      </c>
      <c r="Z12" s="400">
        <f>'S&amp;TVA 2021'!M51</f>
        <v>11081.570000000002</v>
      </c>
      <c r="AA12" s="400">
        <f>SUM(O12:Z12)</f>
        <v>34032.62999999999</v>
      </c>
      <c r="AB12" s="400">
        <f>'S&amp;TVA 2022'!B51</f>
        <v>15977.730000000001</v>
      </c>
      <c r="AC12" s="400">
        <f>'S&amp;TVA 2022'!C51</f>
        <v>19404.269999999997</v>
      </c>
      <c r="AD12" s="400">
        <f>'S&amp;TVA 2022'!D51</f>
        <v>18862.269999999997</v>
      </c>
      <c r="AE12" s="400">
        <f>'S&amp;TVA 2022'!E51</f>
        <v>18315.739999999998</v>
      </c>
      <c r="AF12" s="400">
        <f>'S&amp;TVA 2022'!F51</f>
        <v>12392.74</v>
      </c>
      <c r="AG12" s="400">
        <f>'S&amp;TVA 2022'!G51</f>
        <v>12295.74</v>
      </c>
      <c r="AH12" s="400">
        <f>'S&amp;TVA 2022'!H51</f>
        <v>5058.74</v>
      </c>
      <c r="AI12" s="400">
        <f>'S&amp;TVA 2022'!I51</f>
        <v>20293.509999999995</v>
      </c>
      <c r="AJ12" s="400">
        <f>'S&amp;TVA 2022'!J51</f>
        <v>3122.6800000000003</v>
      </c>
      <c r="AK12" s="400">
        <f>'S&amp;TVA 2022'!K51</f>
        <v>4553.66</v>
      </c>
      <c r="AL12" s="400">
        <f>'S&amp;TVA 2022'!L51</f>
        <v>22672.460000000097</v>
      </c>
      <c r="AM12" s="400">
        <f>'S&amp;TVA 2022'!M51</f>
        <v>18893.1700000005</v>
      </c>
      <c r="AN12" s="400">
        <f>SUM(AB12:AM12)</f>
        <v>171842.71000000063</v>
      </c>
      <c r="AO12" s="400">
        <f>'S&amp;TVA 2023'!B52</f>
        <v>33897.269999999997</v>
      </c>
      <c r="AP12" s="400">
        <f>'S&amp;TVA 2023'!C52</f>
        <v>28215.24</v>
      </c>
      <c r="AQ12" s="400">
        <f>'S&amp;TVA 2023'!D52</f>
        <v>29709.33</v>
      </c>
      <c r="AR12" s="400">
        <f>'S&amp;TVA 2023'!E52</f>
        <v>30026.58</v>
      </c>
      <c r="AS12" s="400">
        <f>'S&amp;TVA 2023'!F52</f>
        <v>19075.63</v>
      </c>
      <c r="AT12" s="400">
        <f>'S&amp;TVA 2023'!G52</f>
        <v>11537.25</v>
      </c>
      <c r="AU12" s="400">
        <f>'S&amp;TVA 2023'!H52</f>
        <v>4431.0600000000059</v>
      </c>
      <c r="AV12" s="400">
        <f>'S&amp;TVA 2023'!I52</f>
        <v>3008.9800000000014</v>
      </c>
      <c r="AW12" s="400">
        <f>'S&amp;TVA 2023'!J52</f>
        <v>5984.1</v>
      </c>
      <c r="AX12" s="400">
        <f>'S&amp;TVA 2023'!K52</f>
        <v>4525.7</v>
      </c>
      <c r="AY12" s="400">
        <f>'S&amp;TVA 2023'!L52</f>
        <v>19901.479999999981</v>
      </c>
      <c r="AZ12" s="400">
        <f>'S&amp;TVA 2023'!M52</f>
        <v>49149.179999999942</v>
      </c>
      <c r="BA12" s="400">
        <f>SUM(AO12:AZ12)</f>
        <v>239461.79999999993</v>
      </c>
      <c r="BB12" s="400">
        <f>'S&amp;TVA 2024'!B62</f>
        <v>41233</v>
      </c>
      <c r="BC12" s="400">
        <f>'S&amp;TVA 2024'!C62</f>
        <v>54349</v>
      </c>
      <c r="BD12" s="400">
        <f>'S&amp;TVA 2024'!D62</f>
        <v>43007</v>
      </c>
      <c r="BE12" s="400">
        <f>'S&amp;TVA 2024'!E62</f>
        <v>41547.169999999933</v>
      </c>
      <c r="BF12" s="400">
        <f>'S&amp;TVA 2024'!F62</f>
        <v>22558.370000000003</v>
      </c>
      <c r="BG12" s="400">
        <f>'S&amp;TVA 2024'!G62</f>
        <v>10908.41999999994</v>
      </c>
      <c r="BH12" s="400">
        <f>'S&amp;TVA 2024'!H62</f>
        <v>5653.2800000000307</v>
      </c>
      <c r="BI12" s="400">
        <f>'S&amp;TVA 2024'!I62</f>
        <v>6089.9400000000051</v>
      </c>
      <c r="BJ12" s="400">
        <f>'S&amp;TVA 2024'!J62</f>
        <v>5916.810000000014</v>
      </c>
      <c r="BK12" s="400">
        <f>'S&amp;TVA 2024'!K62</f>
        <v>5474.8800000000083</v>
      </c>
      <c r="BL12" s="400">
        <f>'S&amp;TVA 2024'!L62</f>
        <v>32388.879999999979</v>
      </c>
      <c r="BM12" s="400">
        <f>'S&amp;TVA 2024'!M62</f>
        <v>36154.1499999999</v>
      </c>
      <c r="BN12" s="400">
        <f>SUM(BB12:BM12)</f>
        <v>305280.89999999979</v>
      </c>
      <c r="BO12" s="400"/>
    </row>
    <row r="13" spans="1:67" x14ac:dyDescent="0.25">
      <c r="A13" s="392"/>
      <c r="B13" s="397"/>
      <c r="C13" s="397"/>
      <c r="D13" s="397"/>
      <c r="E13" s="397"/>
      <c r="F13" s="397"/>
      <c r="G13" s="397"/>
      <c r="H13" s="397"/>
      <c r="I13" s="397"/>
      <c r="J13" s="397"/>
      <c r="K13" s="397"/>
      <c r="L13" s="397"/>
      <c r="M13" s="397"/>
      <c r="N13" s="397"/>
      <c r="O13" s="397"/>
      <c r="P13" s="397"/>
      <c r="Q13" s="397"/>
      <c r="R13" s="397"/>
      <c r="S13" s="397"/>
      <c r="T13" s="397"/>
      <c r="U13" s="397"/>
      <c r="V13" s="397"/>
      <c r="W13" s="397"/>
      <c r="X13" s="397"/>
      <c r="Y13" s="397"/>
      <c r="Z13" s="397"/>
      <c r="AA13" s="397"/>
      <c r="AB13" s="397"/>
      <c r="AC13" s="397"/>
      <c r="AD13" s="397"/>
      <c r="AE13" s="397"/>
      <c r="AF13" s="397"/>
      <c r="AG13" s="397"/>
      <c r="AH13" s="397"/>
      <c r="AI13" s="397"/>
      <c r="AJ13" s="397"/>
      <c r="AK13" s="397"/>
      <c r="AL13" s="397"/>
      <c r="AM13" s="397"/>
      <c r="AN13" s="397"/>
      <c r="AO13" s="397"/>
      <c r="AP13" s="397"/>
      <c r="AQ13" s="397"/>
      <c r="AR13" s="397"/>
      <c r="AS13" s="397"/>
      <c r="AT13" s="397"/>
      <c r="AU13" s="397"/>
      <c r="AV13" s="397"/>
      <c r="AW13" s="397"/>
      <c r="AX13" s="397"/>
      <c r="AY13" s="397"/>
      <c r="AZ13" s="397"/>
      <c r="BA13" s="397"/>
      <c r="BB13" s="397"/>
      <c r="BC13" s="397"/>
      <c r="BD13" s="397"/>
      <c r="BE13" s="397"/>
      <c r="BF13" s="397"/>
      <c r="BG13" s="397"/>
      <c r="BH13" s="397"/>
      <c r="BI13" s="397"/>
      <c r="BJ13" s="397"/>
      <c r="BK13" s="397"/>
      <c r="BL13" s="397"/>
      <c r="BM13" s="397"/>
      <c r="BN13" s="397"/>
      <c r="BO13" s="397"/>
    </row>
    <row r="14" spans="1:67" x14ac:dyDescent="0.25">
      <c r="A14" s="392" t="s">
        <v>417</v>
      </c>
      <c r="B14" s="396">
        <f>B10-B12</f>
        <v>9898.75</v>
      </c>
      <c r="C14" s="396">
        <f t="shared" ref="C14:M14" si="55">C10-C12</f>
        <v>9898.75</v>
      </c>
      <c r="D14" s="396">
        <f t="shared" si="55"/>
        <v>9898.75</v>
      </c>
      <c r="E14" s="396">
        <f t="shared" si="55"/>
        <v>9898.75</v>
      </c>
      <c r="F14" s="396">
        <f t="shared" si="55"/>
        <v>13512.036</v>
      </c>
      <c r="G14" s="396">
        <f t="shared" si="55"/>
        <v>32115.868999999999</v>
      </c>
      <c r="H14" s="396">
        <f t="shared" si="55"/>
        <v>33786.9</v>
      </c>
      <c r="I14" s="396">
        <f t="shared" si="55"/>
        <v>30193.807345660614</v>
      </c>
      <c r="J14" s="396">
        <f t="shared" si="55"/>
        <v>29065.382443441402</v>
      </c>
      <c r="K14" s="396">
        <f t="shared" si="55"/>
        <v>29510.157175453463</v>
      </c>
      <c r="L14" s="396">
        <f t="shared" si="55"/>
        <v>34178.444399992331</v>
      </c>
      <c r="M14" s="396">
        <f t="shared" si="55"/>
        <v>42987.696781930797</v>
      </c>
      <c r="N14" s="396">
        <f>SUM(B14:M14)</f>
        <v>284945.29314647859</v>
      </c>
      <c r="O14" s="396">
        <f>O10-O12</f>
        <v>52389.170022697101</v>
      </c>
      <c r="P14" s="396">
        <f t="shared" ref="P14:Z14" si="56">P10-P12</f>
        <v>52110.455714705524</v>
      </c>
      <c r="Q14" s="396">
        <f t="shared" si="56"/>
        <v>50414.518235963165</v>
      </c>
      <c r="R14" s="396">
        <f t="shared" si="56"/>
        <v>49570.594121982998</v>
      </c>
      <c r="S14" s="396">
        <f t="shared" si="56"/>
        <v>50217.107282966077</v>
      </c>
      <c r="T14" s="396">
        <f t="shared" si="56"/>
        <v>50914.511728633894</v>
      </c>
      <c r="U14" s="396">
        <f t="shared" si="56"/>
        <v>51723.679230763919</v>
      </c>
      <c r="V14" s="396">
        <f t="shared" si="56"/>
        <v>51716.076731230605</v>
      </c>
      <c r="W14" s="396">
        <f t="shared" si="56"/>
        <v>51957.338360472902</v>
      </c>
      <c r="X14" s="396">
        <f t="shared" si="56"/>
        <v>52065.79319492005</v>
      </c>
      <c r="Y14" s="396">
        <f t="shared" si="56"/>
        <v>50146.196641721341</v>
      </c>
      <c r="Z14" s="396">
        <f t="shared" si="56"/>
        <v>23836.681435697559</v>
      </c>
      <c r="AA14" s="396">
        <f>SUM(O14:Z14)</f>
        <v>587062.12270175514</v>
      </c>
      <c r="AB14" s="396">
        <f>AB10-AB12</f>
        <v>36848.230111327088</v>
      </c>
      <c r="AC14" s="396">
        <f t="shared" ref="AC14:AM14" si="57">AC10-AC12</f>
        <v>33036.891502999577</v>
      </c>
      <c r="AD14" s="396">
        <f t="shared" si="57"/>
        <v>33287.099330887992</v>
      </c>
      <c r="AE14" s="396">
        <f t="shared" si="57"/>
        <v>32990.93249735314</v>
      </c>
      <c r="AF14" s="396">
        <f t="shared" si="57"/>
        <v>38451.766722252425</v>
      </c>
      <c r="AG14" s="396">
        <f t="shared" si="57"/>
        <v>38109.535650375772</v>
      </c>
      <c r="AH14" s="396">
        <f t="shared" si="57"/>
        <v>45333.774575069714</v>
      </c>
      <c r="AI14" s="396">
        <f t="shared" si="57"/>
        <v>30399.0326989514</v>
      </c>
      <c r="AJ14" s="396">
        <f t="shared" si="57"/>
        <v>47518.784248733566</v>
      </c>
      <c r="AK14" s="396">
        <f t="shared" si="57"/>
        <v>66941.211650475685</v>
      </c>
      <c r="AL14" s="396">
        <f t="shared" si="57"/>
        <v>51056.185883931044</v>
      </c>
      <c r="AM14" s="396">
        <f t="shared" si="57"/>
        <v>55406.280770703197</v>
      </c>
      <c r="AN14" s="396">
        <f>SUM(AB14:AM14)</f>
        <v>509379.72564306064</v>
      </c>
      <c r="AO14" s="396">
        <f>AO10-AO12</f>
        <v>36454.096464237293</v>
      </c>
      <c r="AP14" s="396">
        <f t="shared" ref="AP14:AZ14" si="58">AP10-AP12</f>
        <v>31926.231456178681</v>
      </c>
      <c r="AQ14" s="396">
        <f t="shared" si="58"/>
        <v>30251.018220352766</v>
      </c>
      <c r="AR14" s="396">
        <f t="shared" si="58"/>
        <v>27034.129659987098</v>
      </c>
      <c r="AS14" s="396">
        <f t="shared" si="58"/>
        <v>37515.589684599952</v>
      </c>
      <c r="AT14" s="396">
        <f t="shared" si="58"/>
        <v>44326.885946337454</v>
      </c>
      <c r="AU14" s="396">
        <f t="shared" si="58"/>
        <v>51265.333785331597</v>
      </c>
      <c r="AV14" s="396">
        <f t="shared" si="58"/>
        <v>53416.52474562158</v>
      </c>
      <c r="AW14" s="396">
        <f t="shared" si="58"/>
        <v>50186.057191156528</v>
      </c>
      <c r="AX14" s="396">
        <f t="shared" si="58"/>
        <v>53642.996430912666</v>
      </c>
      <c r="AY14" s="396">
        <f t="shared" si="58"/>
        <v>44561.915396127508</v>
      </c>
      <c r="AZ14" s="396">
        <f t="shared" si="58"/>
        <v>12528.453905477116</v>
      </c>
      <c r="BA14" s="396">
        <f>SUM(AO14:AZ14)</f>
        <v>473109.23288632027</v>
      </c>
      <c r="BB14" s="396">
        <f>BB10-BB12</f>
        <v>15062.280258886087</v>
      </c>
      <c r="BC14" s="396">
        <f t="shared" ref="BC14:BM14" si="59">BC10-BC12</f>
        <v>1083.1192747583045</v>
      </c>
      <c r="BD14" s="396">
        <f t="shared" si="59"/>
        <v>16964.144239161644</v>
      </c>
      <c r="BE14" s="396">
        <f t="shared" si="59"/>
        <v>26109.533730876843</v>
      </c>
      <c r="BF14" s="396">
        <f t="shared" si="59"/>
        <v>29551.314794665901</v>
      </c>
      <c r="BG14" s="396">
        <f t="shared" si="59"/>
        <v>40747.743621569301</v>
      </c>
      <c r="BH14" s="396">
        <f t="shared" si="59"/>
        <v>46189.690411473704</v>
      </c>
      <c r="BI14" s="396">
        <f t="shared" si="59"/>
        <v>45845.641004545621</v>
      </c>
      <c r="BJ14" s="396">
        <f t="shared" si="59"/>
        <v>46038.89884646397</v>
      </c>
      <c r="BK14" s="396">
        <f t="shared" si="59"/>
        <v>63265.938351619145</v>
      </c>
      <c r="BL14" s="396">
        <f t="shared" si="59"/>
        <v>100372.87565970945</v>
      </c>
      <c r="BM14" s="396">
        <f t="shared" si="59"/>
        <v>57321.19678853255</v>
      </c>
      <c r="BN14" s="396">
        <f>SUM(BB14:BM14)</f>
        <v>488552.37698226247</v>
      </c>
      <c r="BO14" s="396"/>
    </row>
    <row r="15" spans="1:67" x14ac:dyDescent="0.25">
      <c r="A15" s="392" t="s">
        <v>432</v>
      </c>
      <c r="B15" s="396">
        <f>B14</f>
        <v>9898.75</v>
      </c>
      <c r="C15" s="396">
        <f>C14+B15</f>
        <v>19797.5</v>
      </c>
      <c r="D15" s="396">
        <f t="shared" ref="D15:M15" si="60">D14+C15</f>
        <v>29696.25</v>
      </c>
      <c r="E15" s="396">
        <f t="shared" si="60"/>
        <v>39595</v>
      </c>
      <c r="F15" s="396">
        <f t="shared" si="60"/>
        <v>53107.036</v>
      </c>
      <c r="G15" s="396">
        <f t="shared" si="60"/>
        <v>85222.904999999999</v>
      </c>
      <c r="H15" s="396">
        <f t="shared" si="60"/>
        <v>119009.80499999999</v>
      </c>
      <c r="I15" s="396">
        <f t="shared" si="60"/>
        <v>149203.6123456606</v>
      </c>
      <c r="J15" s="396">
        <f t="shared" si="60"/>
        <v>178268.994789102</v>
      </c>
      <c r="K15" s="396">
        <f t="shared" si="60"/>
        <v>207779.15196455547</v>
      </c>
      <c r="L15" s="396">
        <f t="shared" si="60"/>
        <v>241957.59636454779</v>
      </c>
      <c r="M15" s="396">
        <f t="shared" si="60"/>
        <v>284945.29314647859</v>
      </c>
      <c r="N15" s="396">
        <f>M15</f>
        <v>284945.29314647859</v>
      </c>
      <c r="O15" s="396">
        <f t="shared" ref="O15" si="61">O14+N15</f>
        <v>337334.46316917567</v>
      </c>
      <c r="P15" s="396">
        <f t="shared" ref="P15" si="62">P14+O15</f>
        <v>389444.91888388118</v>
      </c>
      <c r="Q15" s="396">
        <f t="shared" ref="Q15" si="63">Q14+P15</f>
        <v>439859.43711984437</v>
      </c>
      <c r="R15" s="396">
        <f t="shared" ref="R15" si="64">R14+Q15</f>
        <v>489430.03124182735</v>
      </c>
      <c r="S15" s="396">
        <f t="shared" ref="S15" si="65">S14+R15</f>
        <v>539647.13852479344</v>
      </c>
      <c r="T15" s="396">
        <f t="shared" ref="T15" si="66">T14+S15</f>
        <v>590561.65025342733</v>
      </c>
      <c r="U15" s="396">
        <f t="shared" ref="U15" si="67">U14+T15</f>
        <v>642285.32948419126</v>
      </c>
      <c r="V15" s="396">
        <f t="shared" ref="V15" si="68">V14+U15</f>
        <v>694001.40621542186</v>
      </c>
      <c r="W15" s="396">
        <f t="shared" ref="W15" si="69">W14+V15</f>
        <v>745958.74457589479</v>
      </c>
      <c r="X15" s="396">
        <f t="shared" ref="X15" si="70">X14+W15</f>
        <v>798024.53777081484</v>
      </c>
      <c r="Y15" s="396">
        <f t="shared" ref="Y15" si="71">Y14+X15</f>
        <v>848170.73441253614</v>
      </c>
      <c r="Z15" s="396">
        <f t="shared" ref="Z15" si="72">Z14+Y15</f>
        <v>872007.41584823374</v>
      </c>
      <c r="AA15" s="396">
        <f>Z15</f>
        <v>872007.41584823374</v>
      </c>
      <c r="AB15" s="396">
        <f t="shared" ref="AB15" si="73">AB14+AA15</f>
        <v>908855.64595956088</v>
      </c>
      <c r="AC15" s="396">
        <f t="shared" ref="AC15" si="74">AC14+AB15</f>
        <v>941892.53746256046</v>
      </c>
      <c r="AD15" s="396">
        <f t="shared" ref="AD15" si="75">AD14+AC15</f>
        <v>975179.63679344847</v>
      </c>
      <c r="AE15" s="396">
        <f t="shared" ref="AE15" si="76">AE14+AD15</f>
        <v>1008170.5692908016</v>
      </c>
      <c r="AF15" s="396">
        <f t="shared" ref="AF15" si="77">AF14+AE15</f>
        <v>1046622.3360130541</v>
      </c>
      <c r="AG15" s="396">
        <f t="shared" ref="AG15" si="78">AG14+AF15</f>
        <v>1084731.87166343</v>
      </c>
      <c r="AH15" s="396">
        <f t="shared" ref="AH15" si="79">AH14+AG15</f>
        <v>1130065.6462384998</v>
      </c>
      <c r="AI15" s="396">
        <f t="shared" ref="AI15" si="80">AI14+AH15</f>
        <v>1160464.6789374512</v>
      </c>
      <c r="AJ15" s="396">
        <f t="shared" ref="AJ15" si="81">AJ14+AI15</f>
        <v>1207983.4631861849</v>
      </c>
      <c r="AK15" s="396">
        <f t="shared" ref="AK15" si="82">AK14+AJ15</f>
        <v>1274924.6748366605</v>
      </c>
      <c r="AL15" s="396">
        <f t="shared" ref="AL15" si="83">AL14+AK15</f>
        <v>1325980.8607205916</v>
      </c>
      <c r="AM15" s="396">
        <f t="shared" ref="AM15" si="84">AM14+AL15</f>
        <v>1381387.1414912948</v>
      </c>
      <c r="AN15" s="396">
        <f>AM15</f>
        <v>1381387.1414912948</v>
      </c>
      <c r="AO15" s="396">
        <f t="shared" ref="AO15" si="85">AO14+AN15</f>
        <v>1417841.237955532</v>
      </c>
      <c r="AP15" s="396">
        <f t="shared" ref="AP15" si="86">AP14+AO15</f>
        <v>1449767.4694117107</v>
      </c>
      <c r="AQ15" s="396">
        <f t="shared" ref="AQ15" si="87">AQ14+AP15</f>
        <v>1480018.4876320635</v>
      </c>
      <c r="AR15" s="396">
        <f t="shared" ref="AR15" si="88">AR14+AQ15</f>
        <v>1507052.6172920505</v>
      </c>
      <c r="AS15" s="396">
        <f t="shared" ref="AS15" si="89">AS14+AR15</f>
        <v>1544568.2069766505</v>
      </c>
      <c r="AT15" s="396">
        <f t="shared" ref="AT15" si="90">AT14+AS15</f>
        <v>1588895.0929229879</v>
      </c>
      <c r="AU15" s="396">
        <f t="shared" ref="AU15" si="91">AU14+AT15</f>
        <v>1640160.4267083195</v>
      </c>
      <c r="AV15" s="396">
        <f t="shared" ref="AV15" si="92">AV14+AU15</f>
        <v>1693576.9514539409</v>
      </c>
      <c r="AW15" s="396">
        <f t="shared" ref="AW15" si="93">AW14+AV15</f>
        <v>1743763.0086450975</v>
      </c>
      <c r="AX15" s="396">
        <f t="shared" ref="AX15" si="94">AX14+AW15</f>
        <v>1797406.0050760102</v>
      </c>
      <c r="AY15" s="396">
        <f t="shared" ref="AY15" si="95">AY14+AX15</f>
        <v>1841967.9204721379</v>
      </c>
      <c r="AZ15" s="396">
        <f t="shared" ref="AZ15" si="96">AZ14+AY15</f>
        <v>1854496.3743776151</v>
      </c>
      <c r="BA15" s="396">
        <f>AZ15</f>
        <v>1854496.3743776151</v>
      </c>
      <c r="BB15" s="396">
        <f t="shared" ref="BB15" si="97">BB14+BA15</f>
        <v>1869558.6546365011</v>
      </c>
      <c r="BC15" s="396">
        <f t="shared" ref="BC15" si="98">BC14+BB15</f>
        <v>1870641.7739112594</v>
      </c>
      <c r="BD15" s="396">
        <f t="shared" ref="BD15" si="99">BD14+BC15</f>
        <v>1887605.918150421</v>
      </c>
      <c r="BE15" s="396">
        <f t="shared" ref="BE15" si="100">BE14+BD15</f>
        <v>1913715.4518812979</v>
      </c>
      <c r="BF15" s="396">
        <f t="shared" ref="BF15" si="101">BF14+BE15</f>
        <v>1943266.7666759638</v>
      </c>
      <c r="BG15" s="396">
        <f t="shared" ref="BG15" si="102">BG14+BF15</f>
        <v>1984014.5102975331</v>
      </c>
      <c r="BH15" s="396">
        <f t="shared" ref="BH15" si="103">BH14+BG15</f>
        <v>2030204.2007090067</v>
      </c>
      <c r="BI15" s="396">
        <f t="shared" ref="BI15" si="104">BI14+BH15</f>
        <v>2076049.8417135524</v>
      </c>
      <c r="BJ15" s="396">
        <f t="shared" ref="BJ15" si="105">BJ14+BI15</f>
        <v>2122088.7405600161</v>
      </c>
      <c r="BK15" s="396">
        <f t="shared" ref="BK15" si="106">BK14+BJ15</f>
        <v>2185354.6789116352</v>
      </c>
      <c r="BL15" s="396">
        <f t="shared" ref="BL15" si="107">BL14+BK15</f>
        <v>2285727.5545713445</v>
      </c>
      <c r="BM15" s="396">
        <f t="shared" ref="BM15" si="108">BM14+BL15</f>
        <v>2343048.7513598772</v>
      </c>
      <c r="BN15" s="396">
        <f>BM15</f>
        <v>2343048.7513598772</v>
      </c>
      <c r="BO15" s="396"/>
    </row>
    <row r="16" spans="1:67" x14ac:dyDescent="0.25">
      <c r="A16" s="392"/>
      <c r="B16" s="397"/>
      <c r="C16" s="397"/>
      <c r="D16" s="397"/>
      <c r="E16" s="397"/>
      <c r="F16" s="397"/>
      <c r="G16" s="397"/>
      <c r="H16" s="397"/>
      <c r="I16" s="397"/>
      <c r="J16" s="397"/>
      <c r="K16" s="397"/>
      <c r="L16" s="397"/>
      <c r="M16" s="397"/>
      <c r="N16" s="397"/>
      <c r="O16" s="397"/>
      <c r="P16" s="397"/>
      <c r="Q16" s="397"/>
      <c r="R16" s="397"/>
      <c r="S16" s="397"/>
      <c r="T16" s="397"/>
      <c r="U16" s="397"/>
      <c r="V16" s="397"/>
      <c r="W16" s="397"/>
      <c r="X16" s="397"/>
      <c r="Y16" s="397"/>
      <c r="Z16" s="397"/>
      <c r="AA16" s="397"/>
      <c r="AB16" s="397"/>
      <c r="AC16" s="397"/>
      <c r="AD16" s="397"/>
      <c r="AE16" s="397"/>
      <c r="AF16" s="397"/>
      <c r="AG16" s="397"/>
      <c r="AH16" s="397"/>
      <c r="AI16" s="397"/>
      <c r="AJ16" s="397"/>
      <c r="AK16" s="397"/>
      <c r="AL16" s="397"/>
      <c r="AM16" s="397"/>
      <c r="AN16" s="397"/>
      <c r="AO16" s="397"/>
      <c r="AP16" s="397"/>
      <c r="AQ16" s="397"/>
      <c r="AR16" s="397"/>
      <c r="AS16" s="397"/>
      <c r="AT16" s="397"/>
      <c r="AU16" s="397"/>
      <c r="AV16" s="397"/>
      <c r="AW16" s="397"/>
      <c r="AX16" s="397"/>
      <c r="AY16" s="397"/>
      <c r="AZ16" s="397"/>
      <c r="BA16" s="397"/>
      <c r="BB16" s="397"/>
      <c r="BC16" s="397"/>
      <c r="BD16" s="397"/>
      <c r="BE16" s="397"/>
      <c r="BF16" s="397"/>
      <c r="BG16" s="397"/>
      <c r="BH16" s="397"/>
      <c r="BI16" s="397"/>
      <c r="BJ16" s="397"/>
      <c r="BK16" s="397"/>
      <c r="BL16" s="397"/>
      <c r="BM16" s="397"/>
      <c r="BN16" s="397"/>
      <c r="BO16" s="397"/>
    </row>
    <row r="17" spans="1:67" x14ac:dyDescent="0.25">
      <c r="A17" s="392" t="s">
        <v>433</v>
      </c>
      <c r="B17" s="396">
        <v>0</v>
      </c>
      <c r="C17" s="396">
        <f>B15*C19/12</f>
        <v>30.686125000000004</v>
      </c>
      <c r="D17" s="396">
        <f t="shared" ref="D17:BM17" si="109">C15*D19/12</f>
        <v>61.372250000000008</v>
      </c>
      <c r="E17" s="396">
        <f t="shared" si="109"/>
        <v>92.058375000000012</v>
      </c>
      <c r="F17" s="396">
        <f t="shared" si="109"/>
        <v>122.74450000000002</v>
      </c>
      <c r="G17" s="396">
        <f t="shared" si="109"/>
        <v>164.63181160000002</v>
      </c>
      <c r="H17" s="396">
        <f t="shared" si="109"/>
        <v>264.19100550000002</v>
      </c>
      <c r="I17" s="396">
        <f t="shared" si="109"/>
        <v>368.93039550000003</v>
      </c>
      <c r="J17" s="396">
        <f t="shared" si="109"/>
        <v>462.53119827154791</v>
      </c>
      <c r="K17" s="396">
        <f t="shared" si="109"/>
        <v>552.63388384621624</v>
      </c>
      <c r="L17" s="396">
        <f t="shared" si="109"/>
        <v>644.11537109012204</v>
      </c>
      <c r="M17" s="396">
        <f t="shared" si="109"/>
        <v>750.06854873009831</v>
      </c>
      <c r="N17" s="396">
        <f>SUM(B17:M17)</f>
        <v>3513.9634645379847</v>
      </c>
      <c r="O17" s="396">
        <f t="shared" si="109"/>
        <v>883.33040875408369</v>
      </c>
      <c r="P17" s="396">
        <f t="shared" si="109"/>
        <v>1045.7368358244446</v>
      </c>
      <c r="Q17" s="396">
        <f t="shared" si="109"/>
        <v>1207.2792485400319</v>
      </c>
      <c r="R17" s="396">
        <f t="shared" si="109"/>
        <v>1363.5642550715177</v>
      </c>
      <c r="S17" s="396">
        <f t="shared" si="109"/>
        <v>1517.2330968496651</v>
      </c>
      <c r="T17" s="396">
        <f t="shared" si="109"/>
        <v>1672.9061294268597</v>
      </c>
      <c r="U17" s="396">
        <f t="shared" si="109"/>
        <v>1830.741115785625</v>
      </c>
      <c r="V17" s="396">
        <f t="shared" si="109"/>
        <v>1991.0845214009933</v>
      </c>
      <c r="W17" s="396">
        <f t="shared" si="109"/>
        <v>2151.4043592678081</v>
      </c>
      <c r="X17" s="396">
        <f t="shared" si="109"/>
        <v>2312.472108185274</v>
      </c>
      <c r="Y17" s="396">
        <f t="shared" si="109"/>
        <v>2473.8760670895263</v>
      </c>
      <c r="Z17" s="396">
        <f t="shared" si="109"/>
        <v>2629.3292766788622</v>
      </c>
      <c r="AA17" s="396">
        <f>SUM(O17:Z17)</f>
        <v>21078.95742287469</v>
      </c>
      <c r="AB17" s="396">
        <f t="shared" si="109"/>
        <v>2703.2229891295251</v>
      </c>
      <c r="AC17" s="396">
        <f t="shared" si="109"/>
        <v>2817.4525024746395</v>
      </c>
      <c r="AD17" s="396">
        <f t="shared" si="109"/>
        <v>2919.8668661339379</v>
      </c>
      <c r="AE17" s="396">
        <f t="shared" si="109"/>
        <v>3023.0568740596905</v>
      </c>
      <c r="AF17" s="396">
        <f t="shared" si="109"/>
        <v>3125.3287648014852</v>
      </c>
      <c r="AG17" s="396">
        <f t="shared" si="109"/>
        <v>3244.5292416404682</v>
      </c>
      <c r="AH17" s="396">
        <f t="shared" si="109"/>
        <v>3362.6688021566333</v>
      </c>
      <c r="AI17" s="396">
        <f t="shared" si="109"/>
        <v>3503.2035033393495</v>
      </c>
      <c r="AJ17" s="396">
        <f t="shared" si="109"/>
        <v>3597.4405047060991</v>
      </c>
      <c r="AK17" s="396">
        <f t="shared" si="109"/>
        <v>3744.7487358771737</v>
      </c>
      <c r="AL17" s="396">
        <f t="shared" si="109"/>
        <v>3952.2664919936483</v>
      </c>
      <c r="AM17" s="396">
        <f t="shared" si="109"/>
        <v>4110.5406682338344</v>
      </c>
      <c r="AN17" s="396">
        <f>SUM(AB17:AM17)</f>
        <v>40104.325944546486</v>
      </c>
      <c r="AO17" s="396">
        <f t="shared" si="109"/>
        <v>4282.3001386230144</v>
      </c>
      <c r="AP17" s="396">
        <f t="shared" si="109"/>
        <v>4395.3078376621497</v>
      </c>
      <c r="AQ17" s="396">
        <f t="shared" si="109"/>
        <v>4494.2791551763039</v>
      </c>
      <c r="AR17" s="396">
        <f t="shared" si="109"/>
        <v>4588.0573116593978</v>
      </c>
      <c r="AS17" s="396">
        <f t="shared" si="109"/>
        <v>4671.8631136053573</v>
      </c>
      <c r="AT17" s="396">
        <f t="shared" si="109"/>
        <v>4788.161441627617</v>
      </c>
      <c r="AU17" s="396">
        <f t="shared" si="109"/>
        <v>4925.5747880612626</v>
      </c>
      <c r="AV17" s="396">
        <f t="shared" si="109"/>
        <v>5084.4973227957908</v>
      </c>
      <c r="AW17" s="396">
        <f t="shared" si="109"/>
        <v>5250.0885495072171</v>
      </c>
      <c r="AX17" s="396">
        <f t="shared" si="109"/>
        <v>5405.6653267998026</v>
      </c>
      <c r="AY17" s="396">
        <f t="shared" si="109"/>
        <v>5571.9586157356325</v>
      </c>
      <c r="AZ17" s="396">
        <f t="shared" si="109"/>
        <v>5710.1005534636279</v>
      </c>
      <c r="BA17" s="396">
        <f>SUM(AO17:AZ17)</f>
        <v>59167.85415471717</v>
      </c>
      <c r="BB17" s="396">
        <f t="shared" si="109"/>
        <v>5748.938760570607</v>
      </c>
      <c r="BC17" s="396">
        <f t="shared" si="109"/>
        <v>5795.6318293731538</v>
      </c>
      <c r="BD17" s="396">
        <f t="shared" si="109"/>
        <v>5798.9894991249048</v>
      </c>
      <c r="BE17" s="396">
        <f t="shared" si="109"/>
        <v>5851.5783462663057</v>
      </c>
      <c r="BF17" s="396">
        <f t="shared" si="109"/>
        <v>5932.5179008320238</v>
      </c>
      <c r="BG17" s="396">
        <f t="shared" si="109"/>
        <v>6024.1269766954874</v>
      </c>
      <c r="BH17" s="396">
        <f t="shared" si="109"/>
        <v>6150.4449819223528</v>
      </c>
      <c r="BI17" s="396">
        <f t="shared" si="109"/>
        <v>6293.6330221979215</v>
      </c>
      <c r="BJ17" s="396">
        <f t="shared" si="109"/>
        <v>6435.7545093120134</v>
      </c>
      <c r="BK17" s="396">
        <f t="shared" si="109"/>
        <v>6578.4750957360511</v>
      </c>
      <c r="BL17" s="396">
        <f t="shared" si="109"/>
        <v>6774.5995046260696</v>
      </c>
      <c r="BM17" s="396">
        <f t="shared" si="109"/>
        <v>7085.7554191711688</v>
      </c>
      <c r="BN17" s="396">
        <f>SUM(BB17:BM17)</f>
        <v>74470.445845828057</v>
      </c>
      <c r="BO17" s="396">
        <f>BN15*BO19</f>
        <v>87161.413550587444</v>
      </c>
    </row>
    <row r="18" spans="1:67" x14ac:dyDescent="0.25">
      <c r="A18" s="392" t="s">
        <v>437</v>
      </c>
      <c r="B18" s="396">
        <f>B17</f>
        <v>0</v>
      </c>
      <c r="C18" s="396">
        <f>C17+B18</f>
        <v>30.686125000000004</v>
      </c>
      <c r="D18" s="396">
        <f t="shared" ref="D18" si="110">D17+C18</f>
        <v>92.058375000000012</v>
      </c>
      <c r="E18" s="396">
        <f t="shared" ref="E18" si="111">E17+D18</f>
        <v>184.11675000000002</v>
      </c>
      <c r="F18" s="396">
        <f t="shared" ref="F18" si="112">F17+E18</f>
        <v>306.86125000000004</v>
      </c>
      <c r="G18" s="396">
        <f t="shared" ref="G18" si="113">G17+F18</f>
        <v>471.49306160000003</v>
      </c>
      <c r="H18" s="396">
        <f t="shared" ref="H18" si="114">H17+G18</f>
        <v>735.68406709999999</v>
      </c>
      <c r="I18" s="396">
        <f t="shared" ref="I18" si="115">I17+H18</f>
        <v>1104.6144626</v>
      </c>
      <c r="J18" s="396">
        <f t="shared" ref="J18" si="116">J17+I18</f>
        <v>1567.145660871548</v>
      </c>
      <c r="K18" s="396">
        <f t="shared" ref="K18" si="117">K17+J18</f>
        <v>2119.7795447177641</v>
      </c>
      <c r="L18" s="396">
        <f t="shared" ref="L18" si="118">L17+K18</f>
        <v>2763.8949158078863</v>
      </c>
      <c r="M18" s="396">
        <f t="shared" ref="M18" si="119">M17+L18</f>
        <v>3513.9634645379847</v>
      </c>
      <c r="N18" s="396">
        <f>M18</f>
        <v>3513.9634645379847</v>
      </c>
      <c r="O18" s="396">
        <f t="shared" ref="O18" si="120">O17+N18</f>
        <v>4397.2938732920684</v>
      </c>
      <c r="P18" s="396">
        <f t="shared" ref="P18" si="121">P17+O18</f>
        <v>5443.0307091165132</v>
      </c>
      <c r="Q18" s="396">
        <f t="shared" ref="Q18" si="122">Q17+P18</f>
        <v>6650.3099576565455</v>
      </c>
      <c r="R18" s="396">
        <f t="shared" ref="R18" si="123">R17+Q18</f>
        <v>8013.874212728063</v>
      </c>
      <c r="S18" s="396">
        <f t="shared" ref="S18" si="124">S17+R18</f>
        <v>9531.1073095777283</v>
      </c>
      <c r="T18" s="396">
        <f t="shared" ref="T18" si="125">T17+S18</f>
        <v>11204.013439004588</v>
      </c>
      <c r="U18" s="396">
        <f t="shared" ref="U18" si="126">U17+T18</f>
        <v>13034.754554790212</v>
      </c>
      <c r="V18" s="396">
        <f t="shared" ref="V18" si="127">V17+U18</f>
        <v>15025.839076191205</v>
      </c>
      <c r="W18" s="396">
        <f t="shared" ref="W18" si="128">W17+V18</f>
        <v>17177.243435459015</v>
      </c>
      <c r="X18" s="396">
        <f t="shared" ref="X18" si="129">X17+W18</f>
        <v>19489.715543644288</v>
      </c>
      <c r="Y18" s="396">
        <f t="shared" ref="Y18" si="130">Y17+X18</f>
        <v>21963.591610733813</v>
      </c>
      <c r="Z18" s="396">
        <f t="shared" ref="Z18" si="131">Z17+Y18</f>
        <v>24592.920887412674</v>
      </c>
      <c r="AA18" s="396">
        <f>Z18</f>
        <v>24592.920887412674</v>
      </c>
      <c r="AB18" s="396">
        <f t="shared" ref="AB18" si="132">AB17+AA18</f>
        <v>27296.143876542199</v>
      </c>
      <c r="AC18" s="396">
        <f t="shared" ref="AC18" si="133">AC17+AB18</f>
        <v>30113.596379016839</v>
      </c>
      <c r="AD18" s="396">
        <f t="shared" ref="AD18" si="134">AD17+AC18</f>
        <v>33033.463245150779</v>
      </c>
      <c r="AE18" s="396">
        <f t="shared" ref="AE18" si="135">AE17+AD18</f>
        <v>36056.520119210472</v>
      </c>
      <c r="AF18" s="396">
        <f t="shared" ref="AF18" si="136">AF17+AE18</f>
        <v>39181.848884011961</v>
      </c>
      <c r="AG18" s="396">
        <f t="shared" ref="AG18" si="137">AG17+AF18</f>
        <v>42426.378125652431</v>
      </c>
      <c r="AH18" s="396">
        <f t="shared" ref="AH18" si="138">AH17+AG18</f>
        <v>45789.04692780906</v>
      </c>
      <c r="AI18" s="396">
        <f t="shared" ref="AI18" si="139">AI17+AH18</f>
        <v>49292.250431148408</v>
      </c>
      <c r="AJ18" s="396">
        <f t="shared" ref="AJ18" si="140">AJ17+AI18</f>
        <v>52889.690935854509</v>
      </c>
      <c r="AK18" s="396">
        <f t="shared" ref="AK18" si="141">AK17+AJ18</f>
        <v>56634.439671731685</v>
      </c>
      <c r="AL18" s="396">
        <f t="shared" ref="AL18" si="142">AL17+AK18</f>
        <v>60586.706163725336</v>
      </c>
      <c r="AM18" s="396">
        <f t="shared" ref="AM18" si="143">AM17+AL18</f>
        <v>64697.246831959172</v>
      </c>
      <c r="AN18" s="396">
        <f>AM18</f>
        <v>64697.246831959172</v>
      </c>
      <c r="AO18" s="396">
        <f t="shared" ref="AO18" si="144">AO17+AN18</f>
        <v>68979.546970582189</v>
      </c>
      <c r="AP18" s="396">
        <f t="shared" ref="AP18" si="145">AP17+AO18</f>
        <v>73374.854808244345</v>
      </c>
      <c r="AQ18" s="396">
        <f t="shared" ref="AQ18" si="146">AQ17+AP18</f>
        <v>77869.133963420652</v>
      </c>
      <c r="AR18" s="396">
        <f t="shared" ref="AR18" si="147">AR17+AQ18</f>
        <v>82457.191275080055</v>
      </c>
      <c r="AS18" s="396">
        <f t="shared" ref="AS18" si="148">AS17+AR18</f>
        <v>87129.054388685414</v>
      </c>
      <c r="AT18" s="396">
        <f t="shared" ref="AT18" si="149">AT17+AS18</f>
        <v>91917.215830313027</v>
      </c>
      <c r="AU18" s="396">
        <f t="shared" ref="AU18" si="150">AU17+AT18</f>
        <v>96842.790618374289</v>
      </c>
      <c r="AV18" s="396">
        <f t="shared" ref="AV18" si="151">AV17+AU18</f>
        <v>101927.28794117009</v>
      </c>
      <c r="AW18" s="396">
        <f t="shared" ref="AW18" si="152">AW17+AV18</f>
        <v>107177.3764906773</v>
      </c>
      <c r="AX18" s="396">
        <f t="shared" ref="AX18" si="153">AX17+AW18</f>
        <v>112583.0418174771</v>
      </c>
      <c r="AY18" s="396">
        <f t="shared" ref="AY18" si="154">AY17+AX18</f>
        <v>118155.00043321274</v>
      </c>
      <c r="AZ18" s="396">
        <f t="shared" ref="AZ18" si="155">AZ17+AY18</f>
        <v>123865.10098667638</v>
      </c>
      <c r="BA18" s="396">
        <f>AZ18</f>
        <v>123865.10098667638</v>
      </c>
      <c r="BB18" s="396">
        <f t="shared" ref="BB18" si="156">BB17+BA18</f>
        <v>129614.03974724698</v>
      </c>
      <c r="BC18" s="396">
        <f t="shared" ref="BC18" si="157">BC17+BB18</f>
        <v>135409.67157662014</v>
      </c>
      <c r="BD18" s="396">
        <f t="shared" ref="BD18" si="158">BD17+BC18</f>
        <v>141208.66107574504</v>
      </c>
      <c r="BE18" s="396">
        <f t="shared" ref="BE18" si="159">BE17+BD18</f>
        <v>147060.23942201133</v>
      </c>
      <c r="BF18" s="396">
        <f t="shared" ref="BF18" si="160">BF17+BE18</f>
        <v>152992.75732284336</v>
      </c>
      <c r="BG18" s="396">
        <f t="shared" ref="BG18" si="161">BG17+BF18</f>
        <v>159016.88429953885</v>
      </c>
      <c r="BH18" s="396">
        <f t="shared" ref="BH18" si="162">BH17+BG18</f>
        <v>165167.32928146122</v>
      </c>
      <c r="BI18" s="396">
        <f t="shared" ref="BI18" si="163">BI17+BH18</f>
        <v>171460.96230365915</v>
      </c>
      <c r="BJ18" s="396">
        <f t="shared" ref="BJ18" si="164">BJ17+BI18</f>
        <v>177896.71681297116</v>
      </c>
      <c r="BK18" s="396">
        <f t="shared" ref="BK18" si="165">BK17+BJ18</f>
        <v>184475.1919087072</v>
      </c>
      <c r="BL18" s="396">
        <f t="shared" ref="BL18" si="166">BL17+BK18</f>
        <v>191249.79141333327</v>
      </c>
      <c r="BM18" s="396">
        <f t="shared" ref="BM18" si="167">BM17+BL18</f>
        <v>198335.54683250445</v>
      </c>
      <c r="BN18" s="396">
        <f>BM18</f>
        <v>198335.54683250445</v>
      </c>
      <c r="BO18" s="396">
        <f>BN18</f>
        <v>198335.54683250445</v>
      </c>
    </row>
    <row r="19" spans="1:67" x14ac:dyDescent="0.25">
      <c r="A19" s="392" t="s">
        <v>434</v>
      </c>
      <c r="B19" s="398">
        <v>3.7200000000000004E-2</v>
      </c>
      <c r="C19" s="398">
        <f>B19</f>
        <v>3.7200000000000004E-2</v>
      </c>
      <c r="D19" s="398">
        <f t="shared" ref="D19:M19" si="168">C19</f>
        <v>3.7200000000000004E-2</v>
      </c>
      <c r="E19" s="398">
        <f t="shared" si="168"/>
        <v>3.7200000000000004E-2</v>
      </c>
      <c r="F19" s="398">
        <f t="shared" si="168"/>
        <v>3.7200000000000004E-2</v>
      </c>
      <c r="G19" s="398">
        <f t="shared" si="168"/>
        <v>3.7200000000000004E-2</v>
      </c>
      <c r="H19" s="398">
        <f t="shared" si="168"/>
        <v>3.7200000000000004E-2</v>
      </c>
      <c r="I19" s="398">
        <f t="shared" si="168"/>
        <v>3.7200000000000004E-2</v>
      </c>
      <c r="J19" s="398">
        <f t="shared" si="168"/>
        <v>3.7200000000000004E-2</v>
      </c>
      <c r="K19" s="398">
        <f t="shared" si="168"/>
        <v>3.7200000000000004E-2</v>
      </c>
      <c r="L19" s="398">
        <f t="shared" si="168"/>
        <v>3.7200000000000004E-2</v>
      </c>
      <c r="M19" s="398">
        <f t="shared" si="168"/>
        <v>3.7200000000000004E-2</v>
      </c>
      <c r="N19" s="397"/>
      <c r="O19" s="398">
        <v>3.7200000000000004E-2</v>
      </c>
      <c r="P19" s="398">
        <f>O19</f>
        <v>3.7200000000000004E-2</v>
      </c>
      <c r="Q19" s="398">
        <f t="shared" ref="Q19:Z19" si="169">P19</f>
        <v>3.7200000000000004E-2</v>
      </c>
      <c r="R19" s="398">
        <f t="shared" si="169"/>
        <v>3.7200000000000004E-2</v>
      </c>
      <c r="S19" s="398">
        <f t="shared" si="169"/>
        <v>3.7200000000000004E-2</v>
      </c>
      <c r="T19" s="398">
        <f t="shared" si="169"/>
        <v>3.7200000000000004E-2</v>
      </c>
      <c r="U19" s="398">
        <f t="shared" si="169"/>
        <v>3.7200000000000004E-2</v>
      </c>
      <c r="V19" s="398">
        <f t="shared" si="169"/>
        <v>3.7200000000000004E-2</v>
      </c>
      <c r="W19" s="398">
        <f t="shared" si="169"/>
        <v>3.7200000000000004E-2</v>
      </c>
      <c r="X19" s="398">
        <f t="shared" si="169"/>
        <v>3.7200000000000004E-2</v>
      </c>
      <c r="Y19" s="398">
        <f t="shared" si="169"/>
        <v>3.7200000000000004E-2</v>
      </c>
      <c r="Z19" s="398">
        <f t="shared" si="169"/>
        <v>3.7200000000000004E-2</v>
      </c>
      <c r="AA19" s="397"/>
      <c r="AB19" s="398">
        <v>3.7200000000000004E-2</v>
      </c>
      <c r="AC19" s="398">
        <f>AB19</f>
        <v>3.7200000000000004E-2</v>
      </c>
      <c r="AD19" s="398">
        <f t="shared" ref="AD19:AM19" si="170">AC19</f>
        <v>3.7200000000000004E-2</v>
      </c>
      <c r="AE19" s="398">
        <f t="shared" si="170"/>
        <v>3.7200000000000004E-2</v>
      </c>
      <c r="AF19" s="398">
        <f t="shared" si="170"/>
        <v>3.7200000000000004E-2</v>
      </c>
      <c r="AG19" s="398">
        <f t="shared" si="170"/>
        <v>3.7200000000000004E-2</v>
      </c>
      <c r="AH19" s="398">
        <f t="shared" si="170"/>
        <v>3.7200000000000004E-2</v>
      </c>
      <c r="AI19" s="398">
        <f t="shared" si="170"/>
        <v>3.7200000000000004E-2</v>
      </c>
      <c r="AJ19" s="398">
        <f t="shared" si="170"/>
        <v>3.7200000000000004E-2</v>
      </c>
      <c r="AK19" s="398">
        <f t="shared" si="170"/>
        <v>3.7200000000000004E-2</v>
      </c>
      <c r="AL19" s="398">
        <f t="shared" si="170"/>
        <v>3.7200000000000004E-2</v>
      </c>
      <c r="AM19" s="398">
        <f t="shared" si="170"/>
        <v>3.7200000000000004E-2</v>
      </c>
      <c r="AN19" s="397"/>
      <c r="AO19" s="398">
        <v>3.7200000000000004E-2</v>
      </c>
      <c r="AP19" s="398">
        <f>AO19</f>
        <v>3.7200000000000004E-2</v>
      </c>
      <c r="AQ19" s="398">
        <f t="shared" ref="AQ19:AZ19" si="171">AP19</f>
        <v>3.7200000000000004E-2</v>
      </c>
      <c r="AR19" s="398">
        <f t="shared" si="171"/>
        <v>3.7200000000000004E-2</v>
      </c>
      <c r="AS19" s="398">
        <f t="shared" si="171"/>
        <v>3.7200000000000004E-2</v>
      </c>
      <c r="AT19" s="398">
        <f t="shared" si="171"/>
        <v>3.7200000000000004E-2</v>
      </c>
      <c r="AU19" s="398">
        <f t="shared" si="171"/>
        <v>3.7200000000000004E-2</v>
      </c>
      <c r="AV19" s="398">
        <f t="shared" si="171"/>
        <v>3.7200000000000004E-2</v>
      </c>
      <c r="AW19" s="398">
        <f t="shared" si="171"/>
        <v>3.7200000000000004E-2</v>
      </c>
      <c r="AX19" s="398">
        <f t="shared" si="171"/>
        <v>3.7200000000000004E-2</v>
      </c>
      <c r="AY19" s="398">
        <f t="shared" si="171"/>
        <v>3.7200000000000004E-2</v>
      </c>
      <c r="AZ19" s="398">
        <f t="shared" si="171"/>
        <v>3.7200000000000004E-2</v>
      </c>
      <c r="BA19" s="397"/>
      <c r="BB19" s="398">
        <v>3.7200000000000004E-2</v>
      </c>
      <c r="BC19" s="398">
        <f>BB19</f>
        <v>3.7200000000000004E-2</v>
      </c>
      <c r="BD19" s="398">
        <f t="shared" ref="BD19:BM19" si="172">BC19</f>
        <v>3.7200000000000004E-2</v>
      </c>
      <c r="BE19" s="398">
        <f t="shared" si="172"/>
        <v>3.7200000000000004E-2</v>
      </c>
      <c r="BF19" s="398">
        <f t="shared" si="172"/>
        <v>3.7200000000000004E-2</v>
      </c>
      <c r="BG19" s="398">
        <f t="shared" si="172"/>
        <v>3.7200000000000004E-2</v>
      </c>
      <c r="BH19" s="398">
        <f t="shared" si="172"/>
        <v>3.7200000000000004E-2</v>
      </c>
      <c r="BI19" s="398">
        <f t="shared" si="172"/>
        <v>3.7200000000000004E-2</v>
      </c>
      <c r="BJ19" s="398">
        <f t="shared" si="172"/>
        <v>3.7200000000000004E-2</v>
      </c>
      <c r="BK19" s="398">
        <f t="shared" si="172"/>
        <v>3.7200000000000004E-2</v>
      </c>
      <c r="BL19" s="398">
        <f t="shared" si="172"/>
        <v>3.7200000000000004E-2</v>
      </c>
      <c r="BM19" s="398">
        <f t="shared" si="172"/>
        <v>3.7200000000000004E-2</v>
      </c>
      <c r="BN19" s="397"/>
      <c r="BO19" s="398">
        <f>BM19</f>
        <v>3.7200000000000004E-2</v>
      </c>
    </row>
    <row r="20" spans="1:67" x14ac:dyDescent="0.25">
      <c r="A20" s="392"/>
      <c r="B20" s="397"/>
      <c r="C20" s="397"/>
      <c r="D20" s="397"/>
      <c r="E20" s="397"/>
      <c r="F20" s="397"/>
      <c r="G20" s="397"/>
      <c r="H20" s="397"/>
      <c r="I20" s="397"/>
      <c r="J20" s="397"/>
      <c r="K20" s="397"/>
      <c r="L20" s="397"/>
      <c r="M20" s="397"/>
      <c r="N20" s="397"/>
      <c r="O20" s="397"/>
      <c r="P20" s="397"/>
      <c r="Q20" s="397"/>
      <c r="R20" s="397"/>
      <c r="S20" s="397"/>
      <c r="T20" s="397"/>
      <c r="U20" s="397"/>
      <c r="V20" s="397"/>
      <c r="W20" s="397"/>
      <c r="X20" s="397"/>
      <c r="Y20" s="397"/>
      <c r="Z20" s="397"/>
      <c r="AA20" s="397"/>
      <c r="AB20" s="397"/>
      <c r="AC20" s="397"/>
      <c r="AD20" s="397"/>
      <c r="AE20" s="397"/>
      <c r="AF20" s="397"/>
      <c r="AG20" s="397"/>
      <c r="AH20" s="397"/>
      <c r="AI20" s="397"/>
      <c r="AJ20" s="397"/>
      <c r="AK20" s="397"/>
      <c r="AL20" s="397"/>
      <c r="AM20" s="397"/>
      <c r="AN20" s="397"/>
      <c r="AO20" s="397"/>
      <c r="AP20" s="397"/>
      <c r="AQ20" s="397"/>
      <c r="AR20" s="397"/>
      <c r="AS20" s="397"/>
      <c r="AT20" s="397"/>
      <c r="AU20" s="397"/>
      <c r="AV20" s="397"/>
      <c r="AW20" s="397"/>
      <c r="AX20" s="397"/>
      <c r="AY20" s="397"/>
      <c r="AZ20" s="397"/>
      <c r="BA20" s="397"/>
      <c r="BB20" s="397"/>
      <c r="BC20" s="397"/>
      <c r="BD20" s="397"/>
      <c r="BE20" s="397"/>
      <c r="BF20" s="397"/>
      <c r="BG20" s="397"/>
      <c r="BH20" s="397"/>
      <c r="BI20" s="397"/>
      <c r="BJ20" s="397"/>
      <c r="BK20" s="397"/>
      <c r="BL20" s="397"/>
      <c r="BM20" s="397"/>
      <c r="BN20" s="397"/>
      <c r="BO20" s="397"/>
    </row>
    <row r="21" spans="1:67" s="315" customFormat="1" x14ac:dyDescent="0.25">
      <c r="A21" s="392" t="s">
        <v>447</v>
      </c>
      <c r="B21" s="400">
        <f>B14+B17</f>
        <v>9898.75</v>
      </c>
      <c r="C21" s="400">
        <f t="shared" ref="C21:N21" si="173">C14+C17</f>
        <v>9929.4361250000002</v>
      </c>
      <c r="D21" s="400">
        <f t="shared" si="173"/>
        <v>9960.1222500000003</v>
      </c>
      <c r="E21" s="400">
        <f t="shared" si="173"/>
        <v>9990.8083750000005</v>
      </c>
      <c r="F21" s="400">
        <f t="shared" si="173"/>
        <v>13634.780500000001</v>
      </c>
      <c r="G21" s="400">
        <f t="shared" si="173"/>
        <v>32280.500811599999</v>
      </c>
      <c r="H21" s="400">
        <f t="shared" si="173"/>
        <v>34051.091005499999</v>
      </c>
      <c r="I21" s="400">
        <f t="shared" si="173"/>
        <v>30562.737741160614</v>
      </c>
      <c r="J21" s="400">
        <f t="shared" si="173"/>
        <v>29527.913641712948</v>
      </c>
      <c r="K21" s="400">
        <f t="shared" si="173"/>
        <v>30062.791059299681</v>
      </c>
      <c r="L21" s="400">
        <f t="shared" si="173"/>
        <v>34822.559771082451</v>
      </c>
      <c r="M21" s="400">
        <f t="shared" si="173"/>
        <v>43737.765330660899</v>
      </c>
      <c r="N21" s="400">
        <f t="shared" si="173"/>
        <v>288459.25661101658</v>
      </c>
      <c r="O21" s="400">
        <f>O14+O17</f>
        <v>53272.500431451183</v>
      </c>
      <c r="P21" s="400">
        <f t="shared" ref="P21:AA21" si="174">P14+P17</f>
        <v>53156.192550529966</v>
      </c>
      <c r="Q21" s="400">
        <f t="shared" si="174"/>
        <v>51621.7974845032</v>
      </c>
      <c r="R21" s="400">
        <f t="shared" si="174"/>
        <v>50934.158377054518</v>
      </c>
      <c r="S21" s="400">
        <f t="shared" si="174"/>
        <v>51734.340379815745</v>
      </c>
      <c r="T21" s="400">
        <f t="shared" si="174"/>
        <v>52587.417858060755</v>
      </c>
      <c r="U21" s="400">
        <f t="shared" si="174"/>
        <v>53554.420346549545</v>
      </c>
      <c r="V21" s="400">
        <f t="shared" si="174"/>
        <v>53707.161252631602</v>
      </c>
      <c r="W21" s="400">
        <f t="shared" si="174"/>
        <v>54108.742719740709</v>
      </c>
      <c r="X21" s="400">
        <f t="shared" si="174"/>
        <v>54378.265303105327</v>
      </c>
      <c r="Y21" s="400">
        <f t="shared" si="174"/>
        <v>52620.072708810869</v>
      </c>
      <c r="Z21" s="400">
        <f t="shared" si="174"/>
        <v>26466.010712376421</v>
      </c>
      <c r="AA21" s="400">
        <f t="shared" si="174"/>
        <v>608141.08012462978</v>
      </c>
      <c r="AB21" s="400">
        <f>AB14+AB17</f>
        <v>39551.453100456616</v>
      </c>
      <c r="AC21" s="400">
        <f t="shared" ref="AC21:AN21" si="175">AC14+AC17</f>
        <v>35854.344005474217</v>
      </c>
      <c r="AD21" s="400">
        <f t="shared" si="175"/>
        <v>36206.966197021931</v>
      </c>
      <c r="AE21" s="400">
        <f t="shared" si="175"/>
        <v>36013.989371412834</v>
      </c>
      <c r="AF21" s="400">
        <f t="shared" si="175"/>
        <v>41577.095487053914</v>
      </c>
      <c r="AG21" s="400">
        <f t="shared" si="175"/>
        <v>41354.064892016242</v>
      </c>
      <c r="AH21" s="400">
        <f t="shared" si="175"/>
        <v>48696.443377226344</v>
      </c>
      <c r="AI21" s="400">
        <f t="shared" si="175"/>
        <v>33902.236202290747</v>
      </c>
      <c r="AJ21" s="400">
        <f t="shared" si="175"/>
        <v>51116.224753439667</v>
      </c>
      <c r="AK21" s="400">
        <f t="shared" si="175"/>
        <v>70685.960386352861</v>
      </c>
      <c r="AL21" s="400">
        <f t="shared" si="175"/>
        <v>55008.452375924695</v>
      </c>
      <c r="AM21" s="400">
        <f t="shared" si="175"/>
        <v>59516.821438937033</v>
      </c>
      <c r="AN21" s="400">
        <f t="shared" si="175"/>
        <v>549484.05158760713</v>
      </c>
      <c r="AO21" s="400">
        <f>AO14+AO17</f>
        <v>40736.39660286031</v>
      </c>
      <c r="AP21" s="400">
        <f t="shared" ref="AP21:BA21" si="176">AP14+AP17</f>
        <v>36321.539293840833</v>
      </c>
      <c r="AQ21" s="400">
        <f t="shared" si="176"/>
        <v>34745.297375529073</v>
      </c>
      <c r="AR21" s="400">
        <f t="shared" si="176"/>
        <v>31622.186971646497</v>
      </c>
      <c r="AS21" s="400">
        <f t="shared" si="176"/>
        <v>42187.452798205311</v>
      </c>
      <c r="AT21" s="400">
        <f t="shared" si="176"/>
        <v>49115.047387965067</v>
      </c>
      <c r="AU21" s="400">
        <f t="shared" si="176"/>
        <v>56190.908573392859</v>
      </c>
      <c r="AV21" s="400">
        <f t="shared" si="176"/>
        <v>58501.022068417369</v>
      </c>
      <c r="AW21" s="400">
        <f t="shared" si="176"/>
        <v>55436.145740663742</v>
      </c>
      <c r="AX21" s="400">
        <f t="shared" si="176"/>
        <v>59048.661757712471</v>
      </c>
      <c r="AY21" s="400">
        <f t="shared" si="176"/>
        <v>50133.874011863139</v>
      </c>
      <c r="AZ21" s="400">
        <f t="shared" si="176"/>
        <v>18238.554458940744</v>
      </c>
      <c r="BA21" s="400">
        <f t="shared" si="176"/>
        <v>532277.08704103739</v>
      </c>
      <c r="BB21" s="400">
        <f>BB14+BB17</f>
        <v>20811.219019456694</v>
      </c>
      <c r="BC21" s="400">
        <f t="shared" ref="BC21:BN21" si="177">BC14+BC17</f>
        <v>6878.7511041314583</v>
      </c>
      <c r="BD21" s="400">
        <f t="shared" si="177"/>
        <v>22763.133738286549</v>
      </c>
      <c r="BE21" s="400">
        <f t="shared" si="177"/>
        <v>31961.112077143149</v>
      </c>
      <c r="BF21" s="400">
        <f t="shared" si="177"/>
        <v>35483.832695497927</v>
      </c>
      <c r="BG21" s="400">
        <f t="shared" si="177"/>
        <v>46771.870598264788</v>
      </c>
      <c r="BH21" s="400">
        <f t="shared" si="177"/>
        <v>52340.135393396056</v>
      </c>
      <c r="BI21" s="400">
        <f t="shared" si="177"/>
        <v>52139.274026743544</v>
      </c>
      <c r="BJ21" s="400">
        <f t="shared" si="177"/>
        <v>52474.653355775983</v>
      </c>
      <c r="BK21" s="400">
        <f t="shared" si="177"/>
        <v>69844.413447355197</v>
      </c>
      <c r="BL21" s="400">
        <f t="shared" si="177"/>
        <v>107147.47516433551</v>
      </c>
      <c r="BM21" s="400">
        <f t="shared" si="177"/>
        <v>64406.952207703718</v>
      </c>
      <c r="BN21" s="400">
        <f t="shared" si="177"/>
        <v>563022.82282809052</v>
      </c>
      <c r="BO21" s="400">
        <f t="shared" ref="BO21" si="178">BO14+BO17</f>
        <v>87161.413550587444</v>
      </c>
    </row>
    <row r="22" spans="1:67" s="315" customFormat="1" x14ac:dyDescent="0.25">
      <c r="A22" s="394" t="s">
        <v>448</v>
      </c>
      <c r="B22" s="409">
        <f>B21</f>
        <v>9898.75</v>
      </c>
      <c r="C22" s="409">
        <f>C21+B22</f>
        <v>19828.186125</v>
      </c>
      <c r="D22" s="409">
        <f t="shared" ref="D22" si="179">D21+C22</f>
        <v>29788.308375000001</v>
      </c>
      <c r="E22" s="409">
        <f t="shared" ref="E22" si="180">E21+D22</f>
        <v>39779.116750000001</v>
      </c>
      <c r="F22" s="409">
        <f t="shared" ref="F22" si="181">F21+E22</f>
        <v>53413.897250000002</v>
      </c>
      <c r="G22" s="409">
        <f t="shared" ref="G22" si="182">G21+F22</f>
        <v>85694.398061600004</v>
      </c>
      <c r="H22" s="409">
        <f t="shared" ref="H22" si="183">H21+G22</f>
        <v>119745.4890671</v>
      </c>
      <c r="I22" s="409">
        <f t="shared" ref="I22" si="184">I21+H22</f>
        <v>150308.2268082606</v>
      </c>
      <c r="J22" s="409">
        <f t="shared" ref="J22" si="185">J21+I22</f>
        <v>179836.14044997355</v>
      </c>
      <c r="K22" s="409">
        <f t="shared" ref="K22" si="186">K21+J22</f>
        <v>209898.93150927324</v>
      </c>
      <c r="L22" s="409">
        <f t="shared" ref="L22" si="187">L21+K22</f>
        <v>244721.49128035569</v>
      </c>
      <c r="M22" s="409">
        <f t="shared" ref="M22" si="188">M21+L22</f>
        <v>288459.25661101658</v>
      </c>
      <c r="N22" s="410">
        <f>M22</f>
        <v>288459.25661101658</v>
      </c>
      <c r="O22" s="409">
        <f t="shared" ref="O22" si="189">O21+N22</f>
        <v>341731.75704246777</v>
      </c>
      <c r="P22" s="409">
        <f t="shared" ref="P22" si="190">P21+O22</f>
        <v>394887.94959299773</v>
      </c>
      <c r="Q22" s="409">
        <f t="shared" ref="Q22" si="191">Q21+P22</f>
        <v>446509.74707750091</v>
      </c>
      <c r="R22" s="409">
        <f t="shared" ref="R22" si="192">R21+Q22</f>
        <v>497443.90545455541</v>
      </c>
      <c r="S22" s="409">
        <f t="shared" ref="S22" si="193">S21+R22</f>
        <v>549178.24583437119</v>
      </c>
      <c r="T22" s="409">
        <f t="shared" ref="T22" si="194">T21+S22</f>
        <v>601765.66369243199</v>
      </c>
      <c r="U22" s="409">
        <f t="shared" ref="U22" si="195">U21+T22</f>
        <v>655320.08403898159</v>
      </c>
      <c r="V22" s="409">
        <f t="shared" ref="V22" si="196">V21+U22</f>
        <v>709027.24529161316</v>
      </c>
      <c r="W22" s="409">
        <f t="shared" ref="W22" si="197">W21+V22</f>
        <v>763135.98801135388</v>
      </c>
      <c r="X22" s="409">
        <f t="shared" ref="X22" si="198">X21+W22</f>
        <v>817514.25331445923</v>
      </c>
      <c r="Y22" s="409">
        <f t="shared" ref="Y22" si="199">Y21+X22</f>
        <v>870134.32602327014</v>
      </c>
      <c r="Z22" s="409">
        <f t="shared" ref="Z22" si="200">Z21+Y22</f>
        <v>896600.33673564659</v>
      </c>
      <c r="AA22" s="410">
        <f>Z22</f>
        <v>896600.33673564659</v>
      </c>
      <c r="AB22" s="409">
        <f t="shared" ref="AB22" si="201">AB21+AA22</f>
        <v>936151.78983610321</v>
      </c>
      <c r="AC22" s="409">
        <f t="shared" ref="AC22" si="202">AC21+AB22</f>
        <v>972006.13384157745</v>
      </c>
      <c r="AD22" s="409">
        <f t="shared" ref="AD22" si="203">AD21+AC22</f>
        <v>1008213.1000385993</v>
      </c>
      <c r="AE22" s="409">
        <f t="shared" ref="AE22" si="204">AE21+AD22</f>
        <v>1044227.0894100121</v>
      </c>
      <c r="AF22" s="409">
        <f t="shared" ref="AF22" si="205">AF21+AE22</f>
        <v>1085804.1848970661</v>
      </c>
      <c r="AG22" s="409">
        <f t="shared" ref="AG22" si="206">AG21+AF22</f>
        <v>1127158.2497890824</v>
      </c>
      <c r="AH22" s="409">
        <f t="shared" ref="AH22" si="207">AH21+AG22</f>
        <v>1175854.6931663088</v>
      </c>
      <c r="AI22" s="409">
        <f t="shared" ref="AI22" si="208">AI21+AH22</f>
        <v>1209756.9293685996</v>
      </c>
      <c r="AJ22" s="409">
        <f t="shared" ref="AJ22" si="209">AJ21+AI22</f>
        <v>1260873.1541220392</v>
      </c>
      <c r="AK22" s="409">
        <f t="shared" ref="AK22" si="210">AK21+AJ22</f>
        <v>1331559.1145083921</v>
      </c>
      <c r="AL22" s="409">
        <f t="shared" ref="AL22" si="211">AL21+AK22</f>
        <v>1386567.5668843167</v>
      </c>
      <c r="AM22" s="409">
        <f t="shared" ref="AM22" si="212">AM21+AL22</f>
        <v>1446084.3883232537</v>
      </c>
      <c r="AN22" s="410">
        <f>AM22</f>
        <v>1446084.3883232537</v>
      </c>
      <c r="AO22" s="409">
        <f t="shared" ref="AO22" si="213">AO21+AN22</f>
        <v>1486820.7849261141</v>
      </c>
      <c r="AP22" s="409">
        <f t="shared" ref="AP22" si="214">AP21+AO22</f>
        <v>1523142.3242199549</v>
      </c>
      <c r="AQ22" s="409">
        <f t="shared" ref="AQ22" si="215">AQ21+AP22</f>
        <v>1557887.621595484</v>
      </c>
      <c r="AR22" s="409">
        <f t="shared" ref="AR22" si="216">AR21+AQ22</f>
        <v>1589509.8085671305</v>
      </c>
      <c r="AS22" s="409">
        <f t="shared" ref="AS22" si="217">AS21+AR22</f>
        <v>1631697.2613653359</v>
      </c>
      <c r="AT22" s="409">
        <f t="shared" ref="AT22" si="218">AT21+AS22</f>
        <v>1680812.3087533009</v>
      </c>
      <c r="AU22" s="409">
        <f t="shared" ref="AU22" si="219">AU21+AT22</f>
        <v>1737003.2173266937</v>
      </c>
      <c r="AV22" s="409">
        <f t="shared" ref="AV22" si="220">AV21+AU22</f>
        <v>1795504.2393951111</v>
      </c>
      <c r="AW22" s="409">
        <f t="shared" ref="AW22" si="221">AW21+AV22</f>
        <v>1850940.3851357747</v>
      </c>
      <c r="AX22" s="409">
        <f t="shared" ref="AX22" si="222">AX21+AW22</f>
        <v>1909989.0468934872</v>
      </c>
      <c r="AY22" s="409">
        <f t="shared" ref="AY22" si="223">AY21+AX22</f>
        <v>1960122.9209053502</v>
      </c>
      <c r="AZ22" s="409">
        <f t="shared" ref="AZ22" si="224">AZ21+AY22</f>
        <v>1978361.4753642909</v>
      </c>
      <c r="BA22" s="410">
        <f>AZ22</f>
        <v>1978361.4753642909</v>
      </c>
      <c r="BB22" s="409">
        <f t="shared" ref="BB22" si="225">BB21+BA22</f>
        <v>1999172.6943837476</v>
      </c>
      <c r="BC22" s="409">
        <f t="shared" ref="BC22" si="226">BC21+BB22</f>
        <v>2006051.4454878792</v>
      </c>
      <c r="BD22" s="409">
        <f t="shared" ref="BD22" si="227">BD21+BC22</f>
        <v>2028814.5792261658</v>
      </c>
      <c r="BE22" s="409">
        <f t="shared" ref="BE22" si="228">BE21+BD22</f>
        <v>2060775.6913033088</v>
      </c>
      <c r="BF22" s="409">
        <f t="shared" ref="BF22" si="229">BF21+BE22</f>
        <v>2096259.5239988067</v>
      </c>
      <c r="BG22" s="409">
        <f t="shared" ref="BG22" si="230">BG21+BF22</f>
        <v>2143031.3945970717</v>
      </c>
      <c r="BH22" s="409">
        <f t="shared" ref="BH22" si="231">BH21+BG22</f>
        <v>2195371.5299904677</v>
      </c>
      <c r="BI22" s="409">
        <f t="shared" ref="BI22" si="232">BI21+BH22</f>
        <v>2247510.8040172113</v>
      </c>
      <c r="BJ22" s="409">
        <f t="shared" ref="BJ22" si="233">BJ21+BI22</f>
        <v>2299985.4573729872</v>
      </c>
      <c r="BK22" s="409">
        <f t="shared" ref="BK22" si="234">BK21+BJ22</f>
        <v>2369829.8708203426</v>
      </c>
      <c r="BL22" s="409">
        <f t="shared" ref="BL22" si="235">BL21+BK22</f>
        <v>2476977.3459846782</v>
      </c>
      <c r="BM22" s="409">
        <f t="shared" ref="BM22" si="236">BM21+BL22</f>
        <v>2541384.2981923819</v>
      </c>
      <c r="BN22" s="410">
        <f>BM22</f>
        <v>2541384.2981923819</v>
      </c>
      <c r="BO22" s="410">
        <f>BN22+BO21</f>
        <v>2628545.7117429692</v>
      </c>
    </row>
    <row r="23" spans="1:67" x14ac:dyDescent="0.25">
      <c r="A23" s="401" t="s">
        <v>439</v>
      </c>
      <c r="B23" s="396"/>
      <c r="C23" s="396"/>
      <c r="D23" s="396"/>
      <c r="E23" s="396"/>
      <c r="F23" s="396"/>
      <c r="G23" s="396"/>
      <c r="H23" s="396"/>
      <c r="I23" s="396"/>
      <c r="J23" s="396"/>
      <c r="K23" s="396"/>
      <c r="L23" s="396"/>
      <c r="M23" s="396"/>
      <c r="N23" s="396"/>
      <c r="O23" s="396"/>
      <c r="P23" s="396"/>
      <c r="Q23" s="396"/>
      <c r="R23" s="396"/>
      <c r="S23" s="396"/>
      <c r="T23" s="396"/>
      <c r="U23" s="396"/>
      <c r="V23" s="396"/>
      <c r="W23" s="396"/>
      <c r="X23" s="396"/>
      <c r="Y23" s="396"/>
      <c r="Z23" s="396"/>
      <c r="AA23" s="396"/>
      <c r="AB23" s="396"/>
      <c r="AC23" s="396"/>
      <c r="AD23" s="396"/>
      <c r="AE23" s="396"/>
      <c r="AF23" s="396"/>
      <c r="AG23" s="396"/>
      <c r="AH23" s="396"/>
      <c r="AI23" s="396"/>
      <c r="AJ23" s="396"/>
      <c r="AK23" s="396"/>
      <c r="AL23" s="396"/>
      <c r="AM23" s="396"/>
      <c r="AN23" s="396"/>
      <c r="AO23" s="396"/>
      <c r="AP23" s="396"/>
      <c r="AQ23" s="396"/>
      <c r="AR23" s="396"/>
      <c r="AS23" s="396"/>
      <c r="AT23" s="396"/>
      <c r="AU23" s="396"/>
      <c r="AV23" s="396"/>
      <c r="AW23" s="396"/>
      <c r="AX23" s="396"/>
      <c r="AY23" s="396"/>
      <c r="AZ23" s="396"/>
      <c r="BA23" s="396"/>
      <c r="BB23" s="396"/>
      <c r="BC23" s="396"/>
      <c r="BD23" s="396"/>
      <c r="BE23" s="396"/>
      <c r="BF23" s="396"/>
      <c r="BG23" s="396"/>
      <c r="BH23" s="396"/>
      <c r="BI23" s="396"/>
      <c r="BJ23" s="396"/>
      <c r="BK23" s="396"/>
      <c r="BL23" s="396"/>
      <c r="BM23" s="396"/>
      <c r="BN23" s="396"/>
      <c r="BO23" s="396"/>
    </row>
    <row r="24" spans="1:67" x14ac:dyDescent="0.25">
      <c r="A24" s="315" t="s">
        <v>418</v>
      </c>
      <c r="B24" s="396">
        <f>('Upstream Recovery'!E128+'Upstream Recovery'!F128)/12*1000*'Upstream Allocation'!$Q$32</f>
        <v>30876.473207613286</v>
      </c>
      <c r="C24" s="396">
        <f>B24</f>
        <v>30876.473207613286</v>
      </c>
      <c r="D24" s="396">
        <f t="shared" ref="D24:M24" si="237">C24</f>
        <v>30876.473207613286</v>
      </c>
      <c r="E24" s="396">
        <f t="shared" si="237"/>
        <v>30876.473207613286</v>
      </c>
      <c r="F24" s="396">
        <f t="shared" si="237"/>
        <v>30876.473207613286</v>
      </c>
      <c r="G24" s="396">
        <f t="shared" si="237"/>
        <v>30876.473207613286</v>
      </c>
      <c r="H24" s="396">
        <f t="shared" si="237"/>
        <v>30876.473207613286</v>
      </c>
      <c r="I24" s="396">
        <f t="shared" si="237"/>
        <v>30876.473207613286</v>
      </c>
      <c r="J24" s="396">
        <f t="shared" si="237"/>
        <v>30876.473207613286</v>
      </c>
      <c r="K24" s="396">
        <f t="shared" si="237"/>
        <v>30876.473207613286</v>
      </c>
      <c r="L24" s="396">
        <f t="shared" si="237"/>
        <v>30876.473207613286</v>
      </c>
      <c r="M24" s="396">
        <f t="shared" si="237"/>
        <v>30876.473207613286</v>
      </c>
      <c r="N24" s="396">
        <f>SUM(B24:M24)</f>
        <v>370517.6784913594</v>
      </c>
      <c r="O24" s="396">
        <f>'Upstream Recovery'!G128/12*1000*'Upstream Allocation'!$Q$32</f>
        <v>20186.359753895824</v>
      </c>
      <c r="P24" s="396">
        <f>O24</f>
        <v>20186.359753895824</v>
      </c>
      <c r="Q24" s="396">
        <f t="shared" ref="Q24:Z24" si="238">P24</f>
        <v>20186.359753895824</v>
      </c>
      <c r="R24" s="396">
        <f t="shared" si="238"/>
        <v>20186.359753895824</v>
      </c>
      <c r="S24" s="396">
        <f t="shared" si="238"/>
        <v>20186.359753895824</v>
      </c>
      <c r="T24" s="396">
        <f t="shared" si="238"/>
        <v>20186.359753895824</v>
      </c>
      <c r="U24" s="396">
        <f t="shared" si="238"/>
        <v>20186.359753895824</v>
      </c>
      <c r="V24" s="396">
        <f t="shared" si="238"/>
        <v>20186.359753895824</v>
      </c>
      <c r="W24" s="396">
        <f t="shared" si="238"/>
        <v>20186.359753895824</v>
      </c>
      <c r="X24" s="396">
        <f t="shared" si="238"/>
        <v>20186.359753895824</v>
      </c>
      <c r="Y24" s="396">
        <f t="shared" si="238"/>
        <v>20186.359753895824</v>
      </c>
      <c r="Z24" s="396">
        <f t="shared" si="238"/>
        <v>20186.359753895824</v>
      </c>
      <c r="AA24" s="396">
        <f>SUM(O24:Z24)</f>
        <v>242236.31704674984</v>
      </c>
      <c r="AB24" s="396">
        <f>'Upstream Recovery'!H128/12*1000*'Upstream Allocation'!$Q$32</f>
        <v>19845.254852884646</v>
      </c>
      <c r="AC24" s="396">
        <f>AB24</f>
        <v>19845.254852884646</v>
      </c>
      <c r="AD24" s="396">
        <f t="shared" ref="AD24:AM24" si="239">AC24</f>
        <v>19845.254852884646</v>
      </c>
      <c r="AE24" s="396">
        <f t="shared" si="239"/>
        <v>19845.254852884646</v>
      </c>
      <c r="AF24" s="396">
        <f t="shared" si="239"/>
        <v>19845.254852884646</v>
      </c>
      <c r="AG24" s="396">
        <f t="shared" si="239"/>
        <v>19845.254852884646</v>
      </c>
      <c r="AH24" s="396">
        <f t="shared" si="239"/>
        <v>19845.254852884646</v>
      </c>
      <c r="AI24" s="396">
        <f t="shared" si="239"/>
        <v>19845.254852884646</v>
      </c>
      <c r="AJ24" s="396">
        <f t="shared" si="239"/>
        <v>19845.254852884646</v>
      </c>
      <c r="AK24" s="396">
        <f t="shared" si="239"/>
        <v>19845.254852884646</v>
      </c>
      <c r="AL24" s="396">
        <f t="shared" si="239"/>
        <v>19845.254852884646</v>
      </c>
      <c r="AM24" s="396">
        <f t="shared" si="239"/>
        <v>19845.254852884646</v>
      </c>
      <c r="AN24" s="396">
        <f>SUM(AB24:AM24)</f>
        <v>238143.0582346158</v>
      </c>
      <c r="AO24" s="396">
        <f>'Upstream Recovery'!I128/12*1000*'Upstream Allocation'!$Q$32</f>
        <v>19504.149951873474</v>
      </c>
      <c r="AP24" s="396">
        <f>AO24</f>
        <v>19504.149951873474</v>
      </c>
      <c r="AQ24" s="396">
        <f t="shared" ref="AQ24:BM24" si="240">AP24</f>
        <v>19504.149951873474</v>
      </c>
      <c r="AR24" s="396">
        <f t="shared" si="240"/>
        <v>19504.149951873474</v>
      </c>
      <c r="AS24" s="396">
        <f t="shared" si="240"/>
        <v>19504.149951873474</v>
      </c>
      <c r="AT24" s="396">
        <f t="shared" si="240"/>
        <v>19504.149951873474</v>
      </c>
      <c r="AU24" s="396">
        <f t="shared" si="240"/>
        <v>19504.149951873474</v>
      </c>
      <c r="AV24" s="396">
        <f t="shared" si="240"/>
        <v>19504.149951873474</v>
      </c>
      <c r="AW24" s="396">
        <f t="shared" si="240"/>
        <v>19504.149951873474</v>
      </c>
      <c r="AX24" s="396">
        <f t="shared" si="240"/>
        <v>19504.149951873474</v>
      </c>
      <c r="AY24" s="396">
        <f t="shared" si="240"/>
        <v>19504.149951873474</v>
      </c>
      <c r="AZ24" s="396">
        <f t="shared" si="240"/>
        <v>19504.149951873474</v>
      </c>
      <c r="BA24" s="396">
        <f>SUM(AO24:AZ24)</f>
        <v>234049.79942248165</v>
      </c>
      <c r="BB24" s="396">
        <f>'Upstream Recovery'!J128/12*1000*'Upstream Allocation'!$Q$32</f>
        <v>19163.045050862296</v>
      </c>
      <c r="BC24" s="396">
        <f>BB24</f>
        <v>19163.045050862296</v>
      </c>
      <c r="BD24" s="396">
        <f t="shared" si="240"/>
        <v>19163.045050862296</v>
      </c>
      <c r="BE24" s="396">
        <f t="shared" si="240"/>
        <v>19163.045050862296</v>
      </c>
      <c r="BF24" s="396">
        <f t="shared" si="240"/>
        <v>19163.045050862296</v>
      </c>
      <c r="BG24" s="396">
        <f t="shared" si="240"/>
        <v>19163.045050862296</v>
      </c>
      <c r="BH24" s="396">
        <f t="shared" si="240"/>
        <v>19163.045050862296</v>
      </c>
      <c r="BI24" s="396">
        <f t="shared" si="240"/>
        <v>19163.045050862296</v>
      </c>
      <c r="BJ24" s="396">
        <f t="shared" si="240"/>
        <v>19163.045050862296</v>
      </c>
      <c r="BK24" s="396">
        <f t="shared" si="240"/>
        <v>19163.045050862296</v>
      </c>
      <c r="BL24" s="396">
        <f t="shared" si="240"/>
        <v>19163.045050862296</v>
      </c>
      <c r="BM24" s="396">
        <f t="shared" si="240"/>
        <v>19163.045050862296</v>
      </c>
      <c r="BN24" s="396">
        <f>SUM(BB24:BM24)</f>
        <v>229956.54061034761</v>
      </c>
      <c r="BO24" s="396"/>
    </row>
    <row r="25" spans="1:67" x14ac:dyDescent="0.25">
      <c r="A25" s="315" t="s">
        <v>419</v>
      </c>
      <c r="B25" s="396">
        <f>'S&amp;TVA Q4 2020'!B48</f>
        <v>0</v>
      </c>
      <c r="C25" s="396">
        <f>'S&amp;TVA Q4 2020'!C48</f>
        <v>0</v>
      </c>
      <c r="D25" s="396">
        <f>'S&amp;TVA Q4 2020'!D48</f>
        <v>0</v>
      </c>
      <c r="E25" s="396">
        <f>'S&amp;TVA Q4 2020'!E48</f>
        <v>0</v>
      </c>
      <c r="F25" s="396">
        <f>'S&amp;TVA Q4 2020'!F48</f>
        <v>0</v>
      </c>
      <c r="G25" s="396">
        <f>'S&amp;TVA Q4 2020'!G48</f>
        <v>0</v>
      </c>
      <c r="H25" s="396">
        <f>'S&amp;TVA Q4 2020'!H48</f>
        <v>0</v>
      </c>
      <c r="I25" s="396">
        <f>'S&amp;TVA Q4 2020'!I48</f>
        <v>0</v>
      </c>
      <c r="J25" s="396">
        <f>'S&amp;TVA Q4 2020'!J48</f>
        <v>1.74</v>
      </c>
      <c r="K25" s="396">
        <f>'S&amp;TVA Q4 2020'!K48</f>
        <v>-266.36</v>
      </c>
      <c r="L25" s="396">
        <f>'S&amp;TVA Q4 2020'!L48</f>
        <v>22.6</v>
      </c>
      <c r="M25" s="396">
        <f>'S&amp;TVA Q4 2020'!M48</f>
        <v>68.92</v>
      </c>
      <c r="N25" s="396">
        <f>SUM(B25:M25)</f>
        <v>-173.10000000000002</v>
      </c>
      <c r="O25" s="396">
        <f>'S&amp;TVA 2021'!B50</f>
        <v>364.33</v>
      </c>
      <c r="P25" s="396">
        <f>'S&amp;TVA 2021'!C50</f>
        <v>809.39</v>
      </c>
      <c r="Q25" s="396">
        <f>'S&amp;TVA 2021'!D50</f>
        <v>1670.99</v>
      </c>
      <c r="R25" s="396">
        <f>'S&amp;TVA 2021'!E50</f>
        <v>1848.2299999999996</v>
      </c>
      <c r="S25" s="396">
        <f>'S&amp;TVA 2021'!F50</f>
        <v>1524.4399999999987</v>
      </c>
      <c r="T25" s="396">
        <f>'S&amp;TVA 2021'!G50</f>
        <v>1098.7699999999986</v>
      </c>
      <c r="U25" s="396">
        <f>'S&amp;TVA 2021'!H50</f>
        <v>641.57999999999993</v>
      </c>
      <c r="V25" s="396">
        <f>'S&amp;TVA 2021'!I50</f>
        <v>549.77999999999884</v>
      </c>
      <c r="W25" s="396">
        <f>'S&amp;TVA 2021'!J50</f>
        <v>573.32999999999993</v>
      </c>
      <c r="X25" s="396">
        <f>'S&amp;TVA 2021'!K50</f>
        <v>749.13999999999942</v>
      </c>
      <c r="Y25" s="396">
        <f>'S&amp;TVA 2021'!L50</f>
        <v>1696.9299999999985</v>
      </c>
      <c r="Z25" s="396">
        <f>'S&amp;TVA 2021'!M50</f>
        <v>4840.8399999999983</v>
      </c>
      <c r="AA25" s="396">
        <f>SUM(O25:Z25)</f>
        <v>16367.749999999991</v>
      </c>
      <c r="AB25" s="396">
        <f>'S&amp;TVA 2022'!B50</f>
        <v>8631.69</v>
      </c>
      <c r="AC25" s="396">
        <f>'S&amp;TVA 2022'!C50</f>
        <v>10936.460000000001</v>
      </c>
      <c r="AD25" s="396">
        <f>'S&amp;TVA 2022'!D50</f>
        <v>10652.249999999998</v>
      </c>
      <c r="AE25" s="396">
        <f>'S&amp;TVA 2022'!E50</f>
        <v>10317.85</v>
      </c>
      <c r="AF25" s="396">
        <f>'S&amp;TVA 2022'!F50</f>
        <v>7130.8799999999992</v>
      </c>
      <c r="AG25" s="396">
        <f>'S&amp;TVA 2022'!G50</f>
        <v>6885.8799999999992</v>
      </c>
      <c r="AH25" s="396">
        <f>'S&amp;TVA 2022'!H50</f>
        <v>3119.8799999999992</v>
      </c>
      <c r="AI25" s="396">
        <f>'S&amp;TVA 2022'!I50</f>
        <v>3556.7099999999991</v>
      </c>
      <c r="AJ25" s="396">
        <f>'S&amp;TVA 2022'!J50</f>
        <v>1027.3199999999997</v>
      </c>
      <c r="AK25" s="396">
        <f>'S&amp;TVA 2022'!K50</f>
        <v>1670.6599999999999</v>
      </c>
      <c r="AL25" s="396">
        <f>'S&amp;TVA 2022'!L50</f>
        <v>4449.2999999999993</v>
      </c>
      <c r="AM25" s="396">
        <f>'S&amp;TVA 2022'!M50</f>
        <v>8566.3100000003978</v>
      </c>
      <c r="AN25" s="396">
        <f>SUM(AB25:AM25)</f>
        <v>76945.190000000381</v>
      </c>
      <c r="AO25" s="396">
        <f>'S&amp;TVA 2023'!B51</f>
        <v>16258.99</v>
      </c>
      <c r="AP25" s="396">
        <f>'S&amp;TVA 2023'!C51</f>
        <v>15188.61</v>
      </c>
      <c r="AQ25" s="396">
        <f>'S&amp;TVA 2023'!D51</f>
        <v>16043.07</v>
      </c>
      <c r="AR25" s="396">
        <f>'S&amp;TVA 2023'!E51</f>
        <v>16213.37</v>
      </c>
      <c r="AS25" s="396">
        <f>'S&amp;TVA 2023'!F51</f>
        <v>10115.64</v>
      </c>
      <c r="AT25" s="396">
        <f>'S&amp;TVA 2023'!G51</f>
        <v>6262.48</v>
      </c>
      <c r="AU25" s="396">
        <f>'S&amp;TVA 2023'!H51</f>
        <v>2387.2799999999447</v>
      </c>
      <c r="AV25" s="396">
        <f>'S&amp;TVA 2023'!I51</f>
        <v>1617.4599999999878</v>
      </c>
      <c r="AW25" s="396">
        <f>'S&amp;TVA 2023'!J51</f>
        <v>2271.98</v>
      </c>
      <c r="AX25" s="396">
        <f>'S&amp;TVA 2023'!K51</f>
        <v>2400.1799999999998</v>
      </c>
      <c r="AY25" s="396">
        <f>'S&amp;TVA 2023'!L51</f>
        <v>6731.7199999998011</v>
      </c>
      <c r="AZ25" s="396">
        <f>'S&amp;TVA 2023'!M51</f>
        <v>15502.529999999877</v>
      </c>
      <c r="BA25" s="396">
        <f>SUM(AO25:AZ25)</f>
        <v>110993.30999999959</v>
      </c>
      <c r="BB25" s="396">
        <f>'S&amp;TVA 2024'!B61</f>
        <v>19114</v>
      </c>
      <c r="BC25" s="396">
        <f>'S&amp;TVA 2024'!C61</f>
        <v>29035</v>
      </c>
      <c r="BD25" s="396">
        <f>'S&amp;TVA 2024'!D61</f>
        <v>23034</v>
      </c>
      <c r="BE25" s="396">
        <f>'S&amp;TVA 2024'!E61</f>
        <v>22267.999999999967</v>
      </c>
      <c r="BF25" s="396">
        <f>'S&amp;TVA 2024'!F61</f>
        <v>12084.819999999636</v>
      </c>
      <c r="BG25" s="396">
        <f>'S&amp;TVA 2024'!G61</f>
        <v>5831.4699999998793</v>
      </c>
      <c r="BH25" s="396">
        <f>'S&amp;TVA 2024'!H61</f>
        <v>3032.3599999999601</v>
      </c>
      <c r="BI25" s="396">
        <f>'S&amp;TVA 2024'!I61</f>
        <v>2755.4299999999771</v>
      </c>
      <c r="BJ25" s="396">
        <f>'S&amp;TVA 2024'!J61</f>
        <v>3062.9899999999684</v>
      </c>
      <c r="BK25" s="396">
        <f>'S&amp;TVA 2024'!K61</f>
        <v>2796.0199999999654</v>
      </c>
      <c r="BL25" s="396">
        <f>'S&amp;TVA 2024'!L61</f>
        <v>8708.3799999997937</v>
      </c>
      <c r="BM25" s="396">
        <f>'S&amp;TVA 2024'!M61</f>
        <v>17583.319999999851</v>
      </c>
      <c r="BN25" s="396">
        <f>SUM(BB25:BM25)</f>
        <v>149305.78999999899</v>
      </c>
      <c r="BO25" s="396"/>
    </row>
    <row r="26" spans="1:67" x14ac:dyDescent="0.25">
      <c r="B26" s="396"/>
      <c r="C26" s="396"/>
      <c r="D26" s="396"/>
      <c r="E26" s="396"/>
      <c r="F26" s="396"/>
      <c r="G26" s="396"/>
      <c r="H26" s="396"/>
      <c r="I26" s="396"/>
      <c r="J26" s="396"/>
      <c r="K26" s="396"/>
      <c r="L26" s="396"/>
      <c r="M26" s="396"/>
      <c r="N26" s="396"/>
      <c r="O26" s="396"/>
      <c r="P26" s="396"/>
      <c r="Q26" s="396"/>
      <c r="R26" s="396"/>
      <c r="S26" s="396"/>
      <c r="T26" s="396"/>
      <c r="U26" s="396"/>
      <c r="V26" s="396"/>
      <c r="W26" s="396"/>
      <c r="X26" s="396"/>
      <c r="Y26" s="396"/>
      <c r="Z26" s="396"/>
      <c r="AA26" s="396"/>
      <c r="AB26" s="396"/>
      <c r="AC26" s="396"/>
      <c r="AD26" s="396"/>
      <c r="AE26" s="396"/>
      <c r="AF26" s="396"/>
      <c r="AG26" s="396"/>
      <c r="AH26" s="396"/>
      <c r="AI26" s="396"/>
      <c r="AJ26" s="396"/>
      <c r="AK26" s="396"/>
      <c r="AL26" s="396"/>
      <c r="AM26" s="396"/>
      <c r="AN26" s="396"/>
      <c r="AO26" s="396"/>
      <c r="AP26" s="396"/>
      <c r="AQ26" s="396"/>
      <c r="AR26" s="396"/>
      <c r="AS26" s="396"/>
      <c r="AT26" s="396"/>
      <c r="AU26" s="396"/>
      <c r="AV26" s="396"/>
      <c r="AW26" s="396"/>
      <c r="AX26" s="396"/>
      <c r="AY26" s="396"/>
      <c r="AZ26" s="396"/>
      <c r="BA26" s="396"/>
      <c r="BB26" s="396"/>
      <c r="BC26" s="396"/>
      <c r="BD26" s="396"/>
      <c r="BE26" s="396"/>
      <c r="BF26" s="396"/>
      <c r="BG26" s="396"/>
      <c r="BH26" s="396"/>
      <c r="BI26" s="396"/>
      <c r="BJ26" s="396"/>
      <c r="BK26" s="396"/>
      <c r="BL26" s="396"/>
      <c r="BM26" s="396"/>
      <c r="BN26" s="396"/>
      <c r="BO26" s="396"/>
    </row>
    <row r="27" spans="1:67" x14ac:dyDescent="0.25">
      <c r="A27" s="315" t="s">
        <v>417</v>
      </c>
      <c r="B27" s="396">
        <f>B24-B25</f>
        <v>30876.473207613286</v>
      </c>
      <c r="C27" s="396">
        <f t="shared" ref="C27:M27" si="241">C24-C25</f>
        <v>30876.473207613286</v>
      </c>
      <c r="D27" s="396">
        <f t="shared" si="241"/>
        <v>30876.473207613286</v>
      </c>
      <c r="E27" s="396">
        <f t="shared" si="241"/>
        <v>30876.473207613286</v>
      </c>
      <c r="F27" s="396">
        <f t="shared" si="241"/>
        <v>30876.473207613286</v>
      </c>
      <c r="G27" s="396">
        <f t="shared" si="241"/>
        <v>30876.473207613286</v>
      </c>
      <c r="H27" s="396">
        <f t="shared" si="241"/>
        <v>30876.473207613286</v>
      </c>
      <c r="I27" s="396">
        <f t="shared" si="241"/>
        <v>30876.473207613286</v>
      </c>
      <c r="J27" s="396">
        <f t="shared" si="241"/>
        <v>30874.733207613284</v>
      </c>
      <c r="K27" s="396">
        <f t="shared" si="241"/>
        <v>31142.833207613287</v>
      </c>
      <c r="L27" s="396">
        <f t="shared" si="241"/>
        <v>30853.873207613287</v>
      </c>
      <c r="M27" s="396">
        <f t="shared" si="241"/>
        <v>30807.553207613288</v>
      </c>
      <c r="N27" s="396">
        <f>SUM(B27:M27)</f>
        <v>370690.77849135938</v>
      </c>
      <c r="O27" s="396">
        <f>O24-O25</f>
        <v>19822.029753895822</v>
      </c>
      <c r="P27" s="396">
        <f t="shared" ref="P27:Z27" si="242">P24-P25</f>
        <v>19376.969753895824</v>
      </c>
      <c r="Q27" s="396">
        <f t="shared" si="242"/>
        <v>18515.369753895822</v>
      </c>
      <c r="R27" s="396">
        <f t="shared" si="242"/>
        <v>18338.129753895824</v>
      </c>
      <c r="S27" s="396">
        <f t="shared" si="242"/>
        <v>18661.919753895825</v>
      </c>
      <c r="T27" s="396">
        <f t="shared" si="242"/>
        <v>19087.589753895823</v>
      </c>
      <c r="U27" s="396">
        <f t="shared" si="242"/>
        <v>19544.779753895826</v>
      </c>
      <c r="V27" s="396">
        <f t="shared" si="242"/>
        <v>19636.579753895825</v>
      </c>
      <c r="W27" s="396">
        <f t="shared" si="242"/>
        <v>19613.029753895826</v>
      </c>
      <c r="X27" s="396">
        <f t="shared" si="242"/>
        <v>19437.219753895824</v>
      </c>
      <c r="Y27" s="396">
        <f t="shared" si="242"/>
        <v>18489.429753895827</v>
      </c>
      <c r="Z27" s="396">
        <f t="shared" si="242"/>
        <v>15345.519753895825</v>
      </c>
      <c r="AA27" s="396">
        <f>SUM(O27:Z27)</f>
        <v>225868.56704674987</v>
      </c>
      <c r="AB27" s="396">
        <f>AB24-AB25</f>
        <v>11213.564852884645</v>
      </c>
      <c r="AC27" s="396">
        <f t="shared" ref="AC27:AM27" si="243">AC24-AC25</f>
        <v>8908.7948528846446</v>
      </c>
      <c r="AD27" s="396">
        <f t="shared" si="243"/>
        <v>9193.0048528846473</v>
      </c>
      <c r="AE27" s="396">
        <f t="shared" si="243"/>
        <v>9527.4048528846452</v>
      </c>
      <c r="AF27" s="396">
        <f t="shared" si="243"/>
        <v>12714.374852884646</v>
      </c>
      <c r="AG27" s="396">
        <f t="shared" si="243"/>
        <v>12959.374852884646</v>
      </c>
      <c r="AH27" s="396">
        <f t="shared" si="243"/>
        <v>16725.374852884648</v>
      </c>
      <c r="AI27" s="396">
        <f t="shared" si="243"/>
        <v>16288.544852884646</v>
      </c>
      <c r="AJ27" s="396">
        <f t="shared" si="243"/>
        <v>18817.934852884646</v>
      </c>
      <c r="AK27" s="396">
        <f t="shared" si="243"/>
        <v>18174.594852884646</v>
      </c>
      <c r="AL27" s="396">
        <f t="shared" si="243"/>
        <v>15395.954852884646</v>
      </c>
      <c r="AM27" s="396">
        <f t="shared" si="243"/>
        <v>11278.944852884248</v>
      </c>
      <c r="AN27" s="396">
        <f>SUM(AB27:AM27)</f>
        <v>161197.86823461534</v>
      </c>
      <c r="AO27" s="396">
        <f>AO24-AO25</f>
        <v>3245.1599518734747</v>
      </c>
      <c r="AP27" s="396">
        <f t="shared" ref="AP27:AZ27" si="244">AP24-AP25</f>
        <v>4315.5399518734739</v>
      </c>
      <c r="AQ27" s="396">
        <f t="shared" si="244"/>
        <v>3461.0799518734748</v>
      </c>
      <c r="AR27" s="396">
        <f t="shared" si="244"/>
        <v>3290.7799518734737</v>
      </c>
      <c r="AS27" s="396">
        <f t="shared" si="244"/>
        <v>9388.5099518734751</v>
      </c>
      <c r="AT27" s="396">
        <f t="shared" si="244"/>
        <v>13241.669951873475</v>
      </c>
      <c r="AU27" s="396">
        <f t="shared" si="244"/>
        <v>17116.86995187353</v>
      </c>
      <c r="AV27" s="396">
        <f t="shared" si="244"/>
        <v>17886.689951873486</v>
      </c>
      <c r="AW27" s="396">
        <f t="shared" si="244"/>
        <v>17232.169951873475</v>
      </c>
      <c r="AX27" s="396">
        <f t="shared" si="244"/>
        <v>17103.969951873474</v>
      </c>
      <c r="AY27" s="396">
        <f t="shared" si="244"/>
        <v>12772.429951873673</v>
      </c>
      <c r="AZ27" s="396">
        <f t="shared" si="244"/>
        <v>4001.6199518735975</v>
      </c>
      <c r="BA27" s="396">
        <f>SUM(AO27:AZ27)</f>
        <v>123056.48942248207</v>
      </c>
      <c r="BB27" s="396">
        <f>BB24-BB25</f>
        <v>49.045050862296193</v>
      </c>
      <c r="BC27" s="396">
        <f t="shared" ref="BC27:BM27" si="245">BC24-BC25</f>
        <v>-9871.9549491377038</v>
      </c>
      <c r="BD27" s="396">
        <f t="shared" si="245"/>
        <v>-3870.9549491377038</v>
      </c>
      <c r="BE27" s="396">
        <f t="shared" si="245"/>
        <v>-3104.9549491376711</v>
      </c>
      <c r="BF27" s="396">
        <f t="shared" si="245"/>
        <v>7078.2250508626603</v>
      </c>
      <c r="BG27" s="396">
        <f t="shared" si="245"/>
        <v>13331.575050862417</v>
      </c>
      <c r="BH27" s="396">
        <f t="shared" si="245"/>
        <v>16130.685050862336</v>
      </c>
      <c r="BI27" s="396">
        <f t="shared" si="245"/>
        <v>16407.615050862318</v>
      </c>
      <c r="BJ27" s="396">
        <f t="shared" si="245"/>
        <v>16100.055050862327</v>
      </c>
      <c r="BK27" s="396">
        <f t="shared" si="245"/>
        <v>16367.02505086233</v>
      </c>
      <c r="BL27" s="396">
        <f t="shared" si="245"/>
        <v>10454.665050862503</v>
      </c>
      <c r="BM27" s="396">
        <f t="shared" si="245"/>
        <v>1579.7250508624456</v>
      </c>
      <c r="BN27" s="396">
        <f>SUM(BB27:BM27)</f>
        <v>80650.75061034855</v>
      </c>
      <c r="BO27" s="396"/>
    </row>
    <row r="28" spans="1:67" x14ac:dyDescent="0.25">
      <c r="A28" s="392" t="s">
        <v>432</v>
      </c>
      <c r="B28" s="396">
        <f>B27</f>
        <v>30876.473207613286</v>
      </c>
      <c r="C28" s="396">
        <f>C27+B28</f>
        <v>61752.946415226572</v>
      </c>
      <c r="D28" s="396">
        <f t="shared" ref="D28" si="246">D27+C28</f>
        <v>92629.419622839865</v>
      </c>
      <c r="E28" s="396">
        <f t="shared" ref="E28" si="247">E27+D28</f>
        <v>123505.89283045314</v>
      </c>
      <c r="F28" s="396">
        <f t="shared" ref="F28" si="248">F27+E28</f>
        <v>154382.36603806642</v>
      </c>
      <c r="G28" s="396">
        <f t="shared" ref="G28" si="249">G27+F28</f>
        <v>185258.8392456797</v>
      </c>
      <c r="H28" s="396">
        <f t="shared" ref="H28" si="250">H27+G28</f>
        <v>216135.31245329298</v>
      </c>
      <c r="I28" s="396">
        <f t="shared" ref="I28" si="251">I27+H28</f>
        <v>247011.78566090626</v>
      </c>
      <c r="J28" s="396">
        <f t="shared" ref="J28" si="252">J27+I28</f>
        <v>277886.51886851952</v>
      </c>
      <c r="K28" s="396">
        <f t="shared" ref="K28" si="253">K27+J28</f>
        <v>309029.35207613278</v>
      </c>
      <c r="L28" s="396">
        <f t="shared" ref="L28" si="254">L27+K28</f>
        <v>339883.22528374608</v>
      </c>
      <c r="M28" s="396">
        <f t="shared" ref="M28" si="255">M27+L28</f>
        <v>370690.77849135938</v>
      </c>
      <c r="N28" s="396">
        <f>M28</f>
        <v>370690.77849135938</v>
      </c>
      <c r="O28" s="396">
        <f t="shared" ref="O28" si="256">O27+N28</f>
        <v>390512.8082452552</v>
      </c>
      <c r="P28" s="396">
        <f t="shared" ref="P28" si="257">P27+O28</f>
        <v>409889.77799915103</v>
      </c>
      <c r="Q28" s="396">
        <f t="shared" ref="Q28" si="258">Q27+P28</f>
        <v>428405.14775304683</v>
      </c>
      <c r="R28" s="396">
        <f t="shared" ref="R28" si="259">R27+Q28</f>
        <v>446743.27750694263</v>
      </c>
      <c r="S28" s="396">
        <f t="shared" ref="S28" si="260">S27+R28</f>
        <v>465405.19726083847</v>
      </c>
      <c r="T28" s="396">
        <f t="shared" ref="T28" si="261">T27+S28</f>
        <v>484492.78701473429</v>
      </c>
      <c r="U28" s="396">
        <f t="shared" ref="U28" si="262">U27+T28</f>
        <v>504037.56676863012</v>
      </c>
      <c r="V28" s="396">
        <f t="shared" ref="V28" si="263">V27+U28</f>
        <v>523674.14652252593</v>
      </c>
      <c r="W28" s="396">
        <f t="shared" ref="W28" si="264">W27+V28</f>
        <v>543287.17627642176</v>
      </c>
      <c r="X28" s="396">
        <f t="shared" ref="X28" si="265">X27+W28</f>
        <v>562724.39603031753</v>
      </c>
      <c r="Y28" s="396">
        <f t="shared" ref="Y28" si="266">Y27+X28</f>
        <v>581213.82578421338</v>
      </c>
      <c r="Z28" s="396">
        <f t="shared" ref="Z28" si="267">Z27+Y28</f>
        <v>596559.34553810919</v>
      </c>
      <c r="AA28" s="396">
        <f>Z28</f>
        <v>596559.34553810919</v>
      </c>
      <c r="AB28" s="396">
        <f t="shared" ref="AB28" si="268">AB27+AA28</f>
        <v>607772.91039099381</v>
      </c>
      <c r="AC28" s="396">
        <f t="shared" ref="AC28" si="269">AC27+AB28</f>
        <v>616681.70524387842</v>
      </c>
      <c r="AD28" s="396">
        <f t="shared" ref="AD28" si="270">AD27+AC28</f>
        <v>625874.7100967631</v>
      </c>
      <c r="AE28" s="396">
        <f t="shared" ref="AE28" si="271">AE27+AD28</f>
        <v>635402.11494964769</v>
      </c>
      <c r="AF28" s="396">
        <f t="shared" ref="AF28" si="272">AF27+AE28</f>
        <v>648116.48980253236</v>
      </c>
      <c r="AG28" s="396">
        <f t="shared" ref="AG28" si="273">AG27+AF28</f>
        <v>661075.86465541704</v>
      </c>
      <c r="AH28" s="396">
        <f t="shared" ref="AH28" si="274">AH27+AG28</f>
        <v>677801.23950830172</v>
      </c>
      <c r="AI28" s="396">
        <f t="shared" ref="AI28" si="275">AI27+AH28</f>
        <v>694089.78436118632</v>
      </c>
      <c r="AJ28" s="396">
        <f t="shared" ref="AJ28" si="276">AJ27+AI28</f>
        <v>712907.71921407094</v>
      </c>
      <c r="AK28" s="396">
        <f t="shared" ref="AK28" si="277">AK27+AJ28</f>
        <v>731082.31406695559</v>
      </c>
      <c r="AL28" s="396">
        <f t="shared" ref="AL28" si="278">AL27+AK28</f>
        <v>746478.26891984022</v>
      </c>
      <c r="AM28" s="396">
        <f t="shared" ref="AM28" si="279">AM27+AL28</f>
        <v>757757.2137727245</v>
      </c>
      <c r="AN28" s="396">
        <f>AM28</f>
        <v>757757.2137727245</v>
      </c>
      <c r="AO28" s="396">
        <f t="shared" ref="AO28" si="280">AO27+AN28</f>
        <v>761002.37372459797</v>
      </c>
      <c r="AP28" s="396">
        <f t="shared" ref="AP28" si="281">AP27+AO28</f>
        <v>765317.91367647145</v>
      </c>
      <c r="AQ28" s="396">
        <f t="shared" ref="AQ28" si="282">AQ27+AP28</f>
        <v>768778.99362834496</v>
      </c>
      <c r="AR28" s="396">
        <f t="shared" ref="AR28" si="283">AR27+AQ28</f>
        <v>772069.77358021843</v>
      </c>
      <c r="AS28" s="396">
        <f t="shared" ref="AS28" si="284">AS27+AR28</f>
        <v>781458.28353209188</v>
      </c>
      <c r="AT28" s="396">
        <f t="shared" ref="AT28" si="285">AT27+AS28</f>
        <v>794699.95348396536</v>
      </c>
      <c r="AU28" s="396">
        <f t="shared" ref="AU28" si="286">AU27+AT28</f>
        <v>811816.82343583892</v>
      </c>
      <c r="AV28" s="396">
        <f t="shared" ref="AV28" si="287">AV27+AU28</f>
        <v>829703.51338771242</v>
      </c>
      <c r="AW28" s="396">
        <f t="shared" ref="AW28" si="288">AW27+AV28</f>
        <v>846935.6833395859</v>
      </c>
      <c r="AX28" s="396">
        <f t="shared" ref="AX28" si="289">AX27+AW28</f>
        <v>864039.65329145943</v>
      </c>
      <c r="AY28" s="396">
        <f t="shared" ref="AY28" si="290">AY27+AX28</f>
        <v>876812.08324333315</v>
      </c>
      <c r="AZ28" s="396">
        <f t="shared" ref="AZ28" si="291">AZ27+AY28</f>
        <v>880813.7031952067</v>
      </c>
      <c r="BA28" s="396">
        <f>AZ28</f>
        <v>880813.7031952067</v>
      </c>
      <c r="BB28" s="396">
        <f t="shared" ref="BB28" si="292">BB27+BA28</f>
        <v>880862.74824606895</v>
      </c>
      <c r="BC28" s="396">
        <f t="shared" ref="BC28" si="293">BC27+BB28</f>
        <v>870990.7932969312</v>
      </c>
      <c r="BD28" s="396">
        <f t="shared" ref="BD28" si="294">BD27+BC28</f>
        <v>867119.83834779344</v>
      </c>
      <c r="BE28" s="396">
        <f t="shared" ref="BE28" si="295">BE27+BD28</f>
        <v>864014.8833986558</v>
      </c>
      <c r="BF28" s="396">
        <f t="shared" ref="BF28" si="296">BF27+BE28</f>
        <v>871093.10844951845</v>
      </c>
      <c r="BG28" s="396">
        <f t="shared" ref="BG28" si="297">BG27+BF28</f>
        <v>884424.68350038084</v>
      </c>
      <c r="BH28" s="396">
        <f t="shared" ref="BH28" si="298">BH27+BG28</f>
        <v>900555.36855124321</v>
      </c>
      <c r="BI28" s="396">
        <f t="shared" ref="BI28" si="299">BI27+BH28</f>
        <v>916962.98360210552</v>
      </c>
      <c r="BJ28" s="396">
        <f t="shared" ref="BJ28" si="300">BJ27+BI28</f>
        <v>933063.03865296789</v>
      </c>
      <c r="BK28" s="396">
        <f t="shared" ref="BK28" si="301">BK27+BJ28</f>
        <v>949430.06370383024</v>
      </c>
      <c r="BL28" s="396">
        <f t="shared" ref="BL28" si="302">BL27+BK28</f>
        <v>959884.72875469271</v>
      </c>
      <c r="BM28" s="396">
        <f t="shared" ref="BM28" si="303">BM27+BL28</f>
        <v>961464.45380555512</v>
      </c>
      <c r="BN28" s="396">
        <f>BM28</f>
        <v>961464.45380555512</v>
      </c>
      <c r="BO28" s="396"/>
    </row>
    <row r="29" spans="1:67" x14ac:dyDescent="0.25">
      <c r="A29" s="392"/>
      <c r="B29" s="397"/>
      <c r="C29" s="397"/>
      <c r="D29" s="397"/>
      <c r="E29" s="397"/>
      <c r="F29" s="397"/>
      <c r="G29" s="397"/>
      <c r="H29" s="397"/>
      <c r="I29" s="397"/>
      <c r="J29" s="397"/>
      <c r="K29" s="397"/>
      <c r="L29" s="397"/>
      <c r="M29" s="397"/>
      <c r="N29" s="397"/>
      <c r="O29" s="397"/>
      <c r="P29" s="397"/>
      <c r="Q29" s="397"/>
      <c r="R29" s="397"/>
      <c r="S29" s="397"/>
      <c r="T29" s="397"/>
      <c r="U29" s="397"/>
      <c r="V29" s="397"/>
      <c r="W29" s="397"/>
      <c r="X29" s="397"/>
      <c r="Y29" s="397"/>
      <c r="Z29" s="397"/>
      <c r="AA29" s="397"/>
      <c r="AB29" s="397"/>
      <c r="AC29" s="397"/>
      <c r="AD29" s="397"/>
      <c r="AE29" s="397"/>
      <c r="AF29" s="397"/>
      <c r="AG29" s="397"/>
      <c r="AH29" s="397"/>
      <c r="AI29" s="397"/>
      <c r="AJ29" s="397"/>
      <c r="AK29" s="397"/>
      <c r="AL29" s="397"/>
      <c r="AM29" s="397"/>
      <c r="AN29" s="397"/>
      <c r="AO29" s="397"/>
      <c r="AP29" s="397"/>
      <c r="AQ29" s="397"/>
      <c r="AR29" s="397"/>
      <c r="AS29" s="397"/>
      <c r="AT29" s="397"/>
      <c r="AU29" s="397"/>
      <c r="AV29" s="397"/>
      <c r="AW29" s="397"/>
      <c r="AX29" s="397"/>
      <c r="AY29" s="397"/>
      <c r="AZ29" s="397"/>
      <c r="BA29" s="397"/>
      <c r="BB29" s="397"/>
      <c r="BC29" s="397"/>
      <c r="BD29" s="397"/>
      <c r="BE29" s="397"/>
      <c r="BF29" s="397"/>
      <c r="BG29" s="397"/>
      <c r="BH29" s="397"/>
      <c r="BI29" s="397"/>
      <c r="BJ29" s="397"/>
      <c r="BK29" s="397"/>
      <c r="BL29" s="397"/>
      <c r="BM29" s="397"/>
      <c r="BN29" s="397"/>
      <c r="BO29" s="397"/>
    </row>
    <row r="30" spans="1:67" x14ac:dyDescent="0.25">
      <c r="A30" s="392" t="s">
        <v>433</v>
      </c>
      <c r="B30" s="396">
        <v>0</v>
      </c>
      <c r="C30" s="396">
        <f>B28*C32/12</f>
        <v>95.717066943601196</v>
      </c>
      <c r="D30" s="396">
        <f t="shared" ref="D30:BM30" si="304">C28*D32/12</f>
        <v>191.43413388720239</v>
      </c>
      <c r="E30" s="396">
        <f t="shared" si="304"/>
        <v>287.15120083080359</v>
      </c>
      <c r="F30" s="396">
        <f t="shared" si="304"/>
        <v>382.86826777440479</v>
      </c>
      <c r="G30" s="396">
        <f t="shared" si="304"/>
        <v>478.58533471800592</v>
      </c>
      <c r="H30" s="396">
        <f t="shared" si="304"/>
        <v>574.30240166160718</v>
      </c>
      <c r="I30" s="396">
        <f t="shared" si="304"/>
        <v>670.01946860520832</v>
      </c>
      <c r="J30" s="396">
        <f t="shared" si="304"/>
        <v>765.73653554880946</v>
      </c>
      <c r="K30" s="396">
        <f t="shared" si="304"/>
        <v>861.44820849241057</v>
      </c>
      <c r="L30" s="396">
        <f t="shared" si="304"/>
        <v>957.99099143601177</v>
      </c>
      <c r="M30" s="396">
        <f t="shared" si="304"/>
        <v>1053.637998379613</v>
      </c>
      <c r="N30" s="396">
        <f>SUM(B30:M30)</f>
        <v>6318.8916082776777</v>
      </c>
      <c r="O30" s="396">
        <f t="shared" si="304"/>
        <v>1149.1414133232142</v>
      </c>
      <c r="P30" s="396">
        <f t="shared" si="304"/>
        <v>1210.5897055602911</v>
      </c>
      <c r="Q30" s="396">
        <f t="shared" si="304"/>
        <v>1270.6583117973685</v>
      </c>
      <c r="R30" s="396">
        <f t="shared" si="304"/>
        <v>1328.0559580344454</v>
      </c>
      <c r="S30" s="396">
        <f t="shared" si="304"/>
        <v>1384.9041602715224</v>
      </c>
      <c r="T30" s="396">
        <f t="shared" si="304"/>
        <v>1442.7561115085994</v>
      </c>
      <c r="U30" s="396">
        <f t="shared" si="304"/>
        <v>1501.9276397456763</v>
      </c>
      <c r="V30" s="396">
        <f t="shared" si="304"/>
        <v>1562.5164569827537</v>
      </c>
      <c r="W30" s="396">
        <f t="shared" si="304"/>
        <v>1623.3898542198306</v>
      </c>
      <c r="X30" s="396">
        <f t="shared" si="304"/>
        <v>1684.1902464569075</v>
      </c>
      <c r="Y30" s="396">
        <f t="shared" si="304"/>
        <v>1744.4456276939845</v>
      </c>
      <c r="Z30" s="396">
        <f t="shared" si="304"/>
        <v>1801.7628599310617</v>
      </c>
      <c r="AA30" s="396">
        <f>SUM(O30:Z30)</f>
        <v>17704.338345525659</v>
      </c>
      <c r="AB30" s="396">
        <f t="shared" si="304"/>
        <v>1849.3339711681385</v>
      </c>
      <c r="AC30" s="396">
        <f t="shared" si="304"/>
        <v>1884.0960222120812</v>
      </c>
      <c r="AD30" s="396">
        <f t="shared" si="304"/>
        <v>1911.7132862560231</v>
      </c>
      <c r="AE30" s="396">
        <f t="shared" si="304"/>
        <v>1940.2116012999659</v>
      </c>
      <c r="AF30" s="396">
        <f t="shared" si="304"/>
        <v>1969.746556343908</v>
      </c>
      <c r="AG30" s="396">
        <f t="shared" si="304"/>
        <v>2009.1611183878506</v>
      </c>
      <c r="AH30" s="396">
        <f t="shared" si="304"/>
        <v>2049.3351804317931</v>
      </c>
      <c r="AI30" s="396">
        <f t="shared" si="304"/>
        <v>2101.1838424757357</v>
      </c>
      <c r="AJ30" s="396">
        <f t="shared" si="304"/>
        <v>2151.6783315196776</v>
      </c>
      <c r="AK30" s="396">
        <f t="shared" si="304"/>
        <v>2210.0139295636204</v>
      </c>
      <c r="AL30" s="396">
        <f t="shared" si="304"/>
        <v>2266.3551736075628</v>
      </c>
      <c r="AM30" s="396">
        <f t="shared" si="304"/>
        <v>2314.0826336515051</v>
      </c>
      <c r="AN30" s="396">
        <f>SUM(AB30:AM30)</f>
        <v>24656.911646917866</v>
      </c>
      <c r="AO30" s="396">
        <f t="shared" si="304"/>
        <v>2349.0473626954463</v>
      </c>
      <c r="AP30" s="396">
        <f t="shared" si="304"/>
        <v>2359.1073585462541</v>
      </c>
      <c r="AQ30" s="396">
        <f t="shared" si="304"/>
        <v>2372.4855323970619</v>
      </c>
      <c r="AR30" s="396">
        <f t="shared" si="304"/>
        <v>2383.2148802478696</v>
      </c>
      <c r="AS30" s="396">
        <f t="shared" si="304"/>
        <v>2393.4162980986771</v>
      </c>
      <c r="AT30" s="396">
        <f t="shared" si="304"/>
        <v>2422.520678949485</v>
      </c>
      <c r="AU30" s="396">
        <f t="shared" si="304"/>
        <v>2463.5698558002928</v>
      </c>
      <c r="AV30" s="396">
        <f t="shared" si="304"/>
        <v>2516.632152651101</v>
      </c>
      <c r="AW30" s="396">
        <f t="shared" si="304"/>
        <v>2572.0808915019088</v>
      </c>
      <c r="AX30" s="396">
        <f t="shared" si="304"/>
        <v>2625.5006183527166</v>
      </c>
      <c r="AY30" s="396">
        <f t="shared" si="304"/>
        <v>2678.5229252035247</v>
      </c>
      <c r="AZ30" s="396">
        <f t="shared" si="304"/>
        <v>2718.1174580543329</v>
      </c>
      <c r="BA30" s="396">
        <f>SUM(AO30:AZ30)</f>
        <v>29854.216012498669</v>
      </c>
      <c r="BB30" s="396">
        <f t="shared" si="304"/>
        <v>2730.5224799051412</v>
      </c>
      <c r="BC30" s="396">
        <f t="shared" si="304"/>
        <v>2730.6745195628141</v>
      </c>
      <c r="BD30" s="396">
        <f t="shared" si="304"/>
        <v>2700.0714592204872</v>
      </c>
      <c r="BE30" s="396">
        <f t="shared" si="304"/>
        <v>2688.0714988781597</v>
      </c>
      <c r="BF30" s="396">
        <f t="shared" si="304"/>
        <v>2678.4461385358331</v>
      </c>
      <c r="BG30" s="396">
        <f t="shared" si="304"/>
        <v>2700.3886361935074</v>
      </c>
      <c r="BH30" s="396">
        <f t="shared" si="304"/>
        <v>2741.7165188511808</v>
      </c>
      <c r="BI30" s="396">
        <f t="shared" si="304"/>
        <v>2791.7216425088541</v>
      </c>
      <c r="BJ30" s="396">
        <f t="shared" si="304"/>
        <v>2842.5852491665278</v>
      </c>
      <c r="BK30" s="396">
        <f t="shared" si="304"/>
        <v>2892.4954198242008</v>
      </c>
      <c r="BL30" s="396">
        <f t="shared" si="304"/>
        <v>2943.233197481874</v>
      </c>
      <c r="BM30" s="396">
        <f t="shared" si="304"/>
        <v>2975.642659139548</v>
      </c>
      <c r="BN30" s="396">
        <f>SUM(BB30:BM30)</f>
        <v>33415.569419268133</v>
      </c>
      <c r="BO30" s="396">
        <f>BN28*BO32</f>
        <v>35766.477681566656</v>
      </c>
    </row>
    <row r="31" spans="1:67" x14ac:dyDescent="0.25">
      <c r="A31" s="392" t="s">
        <v>437</v>
      </c>
      <c r="B31" s="396">
        <f>B30</f>
        <v>0</v>
      </c>
      <c r="C31" s="396">
        <f>C30+B31</f>
        <v>95.717066943601196</v>
      </c>
      <c r="D31" s="396">
        <f t="shared" ref="D31" si="305">D30+C31</f>
        <v>287.15120083080359</v>
      </c>
      <c r="E31" s="396">
        <f t="shared" ref="E31" si="306">E30+D31</f>
        <v>574.30240166160718</v>
      </c>
      <c r="F31" s="396">
        <f t="shared" ref="F31" si="307">F30+E31</f>
        <v>957.17066943601196</v>
      </c>
      <c r="G31" s="396">
        <f t="shared" ref="G31" si="308">G30+F31</f>
        <v>1435.7560041540178</v>
      </c>
      <c r="H31" s="396">
        <f t="shared" ref="H31" si="309">H30+G31</f>
        <v>2010.0584058156251</v>
      </c>
      <c r="I31" s="396">
        <f t="shared" ref="I31" si="310">I30+H31</f>
        <v>2680.0778744208333</v>
      </c>
      <c r="J31" s="396">
        <f t="shared" ref="J31" si="311">J30+I31</f>
        <v>3445.8144099696428</v>
      </c>
      <c r="K31" s="396">
        <f t="shared" ref="K31" si="312">K30+J31</f>
        <v>4307.2626184620531</v>
      </c>
      <c r="L31" s="396">
        <f t="shared" ref="L31" si="313">L30+K31</f>
        <v>5265.2536098980645</v>
      </c>
      <c r="M31" s="396">
        <f t="shared" ref="M31" si="314">M30+L31</f>
        <v>6318.8916082776777</v>
      </c>
      <c r="N31" s="396">
        <f>M31</f>
        <v>6318.8916082776777</v>
      </c>
      <c r="O31" s="396">
        <f t="shared" ref="O31" si="315">O30+N31</f>
        <v>7468.0330216008915</v>
      </c>
      <c r="P31" s="396">
        <f t="shared" ref="P31" si="316">P30+O31</f>
        <v>8678.6227271611824</v>
      </c>
      <c r="Q31" s="396">
        <f t="shared" ref="Q31" si="317">Q30+P31</f>
        <v>9949.2810389585502</v>
      </c>
      <c r="R31" s="396">
        <f t="shared" ref="R31" si="318">R30+Q31</f>
        <v>11277.336996992995</v>
      </c>
      <c r="S31" s="396">
        <f t="shared" ref="S31" si="319">S30+R31</f>
        <v>12662.241157264518</v>
      </c>
      <c r="T31" s="396">
        <f t="shared" ref="T31" si="320">T30+S31</f>
        <v>14104.997268773117</v>
      </c>
      <c r="U31" s="396">
        <f t="shared" ref="U31" si="321">U30+T31</f>
        <v>15606.924908518793</v>
      </c>
      <c r="V31" s="396">
        <f t="shared" ref="V31" si="322">V30+U31</f>
        <v>17169.441365501545</v>
      </c>
      <c r="W31" s="396">
        <f t="shared" ref="W31" si="323">W30+V31</f>
        <v>18792.831219721375</v>
      </c>
      <c r="X31" s="396">
        <f t="shared" ref="X31" si="324">X30+W31</f>
        <v>20477.021466178281</v>
      </c>
      <c r="Y31" s="396">
        <f t="shared" ref="Y31" si="325">Y30+X31</f>
        <v>22221.467093872267</v>
      </c>
      <c r="Z31" s="396">
        <f t="shared" ref="Z31" si="326">Z30+Y31</f>
        <v>24023.229953803329</v>
      </c>
      <c r="AA31" s="396">
        <f>Z31</f>
        <v>24023.229953803329</v>
      </c>
      <c r="AB31" s="396">
        <f t="shared" ref="AB31" si="327">AB30+AA31</f>
        <v>25872.56392497147</v>
      </c>
      <c r="AC31" s="396">
        <f t="shared" ref="AC31" si="328">AC30+AB31</f>
        <v>27756.659947183551</v>
      </c>
      <c r="AD31" s="396">
        <f t="shared" ref="AD31" si="329">AD30+AC31</f>
        <v>29668.373233439575</v>
      </c>
      <c r="AE31" s="396">
        <f t="shared" ref="AE31" si="330">AE30+AD31</f>
        <v>31608.58483473954</v>
      </c>
      <c r="AF31" s="396">
        <f t="shared" ref="AF31" si="331">AF30+AE31</f>
        <v>33578.331391083448</v>
      </c>
      <c r="AG31" s="396">
        <f t="shared" ref="AG31" si="332">AG30+AF31</f>
        <v>35587.492509471296</v>
      </c>
      <c r="AH31" s="396">
        <f t="shared" ref="AH31" si="333">AH30+AG31</f>
        <v>37636.82768990309</v>
      </c>
      <c r="AI31" s="396">
        <f t="shared" ref="AI31" si="334">AI30+AH31</f>
        <v>39738.011532378827</v>
      </c>
      <c r="AJ31" s="396">
        <f t="shared" ref="AJ31" si="335">AJ30+AI31</f>
        <v>41889.689863898508</v>
      </c>
      <c r="AK31" s="396">
        <f t="shared" ref="AK31" si="336">AK30+AJ31</f>
        <v>44099.703793462126</v>
      </c>
      <c r="AL31" s="396">
        <f t="shared" ref="AL31" si="337">AL30+AK31</f>
        <v>46366.058967069686</v>
      </c>
      <c r="AM31" s="396">
        <f t="shared" ref="AM31" si="338">AM30+AL31</f>
        <v>48680.141600721188</v>
      </c>
      <c r="AN31" s="396">
        <f>AM31</f>
        <v>48680.141600721188</v>
      </c>
      <c r="AO31" s="396">
        <f t="shared" ref="AO31" si="339">AO30+AN31</f>
        <v>51029.188963416636</v>
      </c>
      <c r="AP31" s="396">
        <f t="shared" ref="AP31" si="340">AP30+AO31</f>
        <v>53388.296321962887</v>
      </c>
      <c r="AQ31" s="396">
        <f t="shared" ref="AQ31" si="341">AQ30+AP31</f>
        <v>55760.78185435995</v>
      </c>
      <c r="AR31" s="396">
        <f t="shared" ref="AR31" si="342">AR30+AQ31</f>
        <v>58143.996734607819</v>
      </c>
      <c r="AS31" s="396">
        <f t="shared" ref="AS31" si="343">AS30+AR31</f>
        <v>60537.4130327065</v>
      </c>
      <c r="AT31" s="396">
        <f t="shared" ref="AT31" si="344">AT30+AS31</f>
        <v>62959.933711655984</v>
      </c>
      <c r="AU31" s="396">
        <f t="shared" ref="AU31" si="345">AU30+AT31</f>
        <v>65423.503567456275</v>
      </c>
      <c r="AV31" s="396">
        <f t="shared" ref="AV31" si="346">AV30+AU31</f>
        <v>67940.13572010737</v>
      </c>
      <c r="AW31" s="396">
        <f t="shared" ref="AW31" si="347">AW30+AV31</f>
        <v>70512.216611609285</v>
      </c>
      <c r="AX31" s="396">
        <f t="shared" ref="AX31" si="348">AX30+AW31</f>
        <v>73137.717229962</v>
      </c>
      <c r="AY31" s="396">
        <f t="shared" ref="AY31" si="349">AY30+AX31</f>
        <v>75816.24015516552</v>
      </c>
      <c r="AZ31" s="396">
        <f t="shared" ref="AZ31" si="350">AZ30+AY31</f>
        <v>78534.35761321985</v>
      </c>
      <c r="BA31" s="396">
        <f>AZ31</f>
        <v>78534.35761321985</v>
      </c>
      <c r="BB31" s="396">
        <f t="shared" ref="BB31" si="351">BB30+BA31</f>
        <v>81264.880093124986</v>
      </c>
      <c r="BC31" s="396">
        <f t="shared" ref="BC31" si="352">BC30+BB31</f>
        <v>83995.554612687803</v>
      </c>
      <c r="BD31" s="396">
        <f t="shared" ref="BD31" si="353">BD30+BC31</f>
        <v>86695.626071908293</v>
      </c>
      <c r="BE31" s="396">
        <f t="shared" ref="BE31" si="354">BE30+BD31</f>
        <v>89383.697570786448</v>
      </c>
      <c r="BF31" s="396">
        <f t="shared" ref="BF31" si="355">BF30+BE31</f>
        <v>92062.143709322278</v>
      </c>
      <c r="BG31" s="396">
        <f t="shared" ref="BG31" si="356">BG30+BF31</f>
        <v>94762.532345515792</v>
      </c>
      <c r="BH31" s="396">
        <f t="shared" ref="BH31" si="357">BH30+BG31</f>
        <v>97504.248864366979</v>
      </c>
      <c r="BI31" s="396">
        <f t="shared" ref="BI31" si="358">BI30+BH31</f>
        <v>100295.97050687583</v>
      </c>
      <c r="BJ31" s="396">
        <f t="shared" ref="BJ31" si="359">BJ30+BI31</f>
        <v>103138.55575604236</v>
      </c>
      <c r="BK31" s="396">
        <f t="shared" ref="BK31" si="360">BK30+BJ31</f>
        <v>106031.05117586657</v>
      </c>
      <c r="BL31" s="396">
        <f t="shared" ref="BL31" si="361">BL30+BK31</f>
        <v>108974.28437334845</v>
      </c>
      <c r="BM31" s="396">
        <f t="shared" ref="BM31" si="362">BM30+BL31</f>
        <v>111949.92703248799</v>
      </c>
      <c r="BN31" s="396">
        <f>BM31</f>
        <v>111949.92703248799</v>
      </c>
      <c r="BO31" s="396"/>
    </row>
    <row r="32" spans="1:67" x14ac:dyDescent="0.25">
      <c r="A32" s="392" t="s">
        <v>434</v>
      </c>
      <c r="B32" s="398">
        <v>3.7200000000000004E-2</v>
      </c>
      <c r="C32" s="398">
        <f>B32</f>
        <v>3.7200000000000004E-2</v>
      </c>
      <c r="D32" s="398">
        <f t="shared" ref="D32:M32" si="363">C32</f>
        <v>3.7200000000000004E-2</v>
      </c>
      <c r="E32" s="398">
        <f t="shared" si="363"/>
        <v>3.7200000000000004E-2</v>
      </c>
      <c r="F32" s="398">
        <f t="shared" si="363"/>
        <v>3.7200000000000004E-2</v>
      </c>
      <c r="G32" s="398">
        <f t="shared" si="363"/>
        <v>3.7200000000000004E-2</v>
      </c>
      <c r="H32" s="398">
        <f t="shared" si="363"/>
        <v>3.7200000000000004E-2</v>
      </c>
      <c r="I32" s="398">
        <f t="shared" si="363"/>
        <v>3.7200000000000004E-2</v>
      </c>
      <c r="J32" s="398">
        <f t="shared" si="363"/>
        <v>3.7200000000000004E-2</v>
      </c>
      <c r="K32" s="398">
        <f t="shared" si="363"/>
        <v>3.7200000000000004E-2</v>
      </c>
      <c r="L32" s="398">
        <f t="shared" si="363"/>
        <v>3.7200000000000004E-2</v>
      </c>
      <c r="M32" s="398">
        <f t="shared" si="363"/>
        <v>3.7200000000000004E-2</v>
      </c>
      <c r="N32" s="397"/>
      <c r="O32" s="398">
        <v>3.7200000000000004E-2</v>
      </c>
      <c r="P32" s="398">
        <f>O32</f>
        <v>3.7200000000000004E-2</v>
      </c>
      <c r="Q32" s="398">
        <f t="shared" ref="Q32:Z32" si="364">P32</f>
        <v>3.7200000000000004E-2</v>
      </c>
      <c r="R32" s="398">
        <f t="shared" si="364"/>
        <v>3.7200000000000004E-2</v>
      </c>
      <c r="S32" s="398">
        <f t="shared" si="364"/>
        <v>3.7200000000000004E-2</v>
      </c>
      <c r="T32" s="398">
        <f t="shared" si="364"/>
        <v>3.7200000000000004E-2</v>
      </c>
      <c r="U32" s="398">
        <f t="shared" si="364"/>
        <v>3.7200000000000004E-2</v>
      </c>
      <c r="V32" s="398">
        <f t="shared" si="364"/>
        <v>3.7200000000000004E-2</v>
      </c>
      <c r="W32" s="398">
        <f t="shared" si="364"/>
        <v>3.7200000000000004E-2</v>
      </c>
      <c r="X32" s="398">
        <f t="shared" si="364"/>
        <v>3.7200000000000004E-2</v>
      </c>
      <c r="Y32" s="398">
        <f t="shared" si="364"/>
        <v>3.7200000000000004E-2</v>
      </c>
      <c r="Z32" s="398">
        <f t="shared" si="364"/>
        <v>3.7200000000000004E-2</v>
      </c>
      <c r="AA32" s="397"/>
      <c r="AB32" s="398">
        <v>3.7200000000000004E-2</v>
      </c>
      <c r="AC32" s="398">
        <f>AB32</f>
        <v>3.7200000000000004E-2</v>
      </c>
      <c r="AD32" s="398">
        <f t="shared" ref="AD32:AM32" si="365">AC32</f>
        <v>3.7200000000000004E-2</v>
      </c>
      <c r="AE32" s="398">
        <f t="shared" si="365"/>
        <v>3.7200000000000004E-2</v>
      </c>
      <c r="AF32" s="398">
        <f t="shared" si="365"/>
        <v>3.7200000000000004E-2</v>
      </c>
      <c r="AG32" s="398">
        <f t="shared" si="365"/>
        <v>3.7200000000000004E-2</v>
      </c>
      <c r="AH32" s="398">
        <f t="shared" si="365"/>
        <v>3.7200000000000004E-2</v>
      </c>
      <c r="AI32" s="398">
        <f t="shared" si="365"/>
        <v>3.7200000000000004E-2</v>
      </c>
      <c r="AJ32" s="398">
        <f t="shared" si="365"/>
        <v>3.7200000000000004E-2</v>
      </c>
      <c r="AK32" s="398">
        <f t="shared" si="365"/>
        <v>3.7200000000000004E-2</v>
      </c>
      <c r="AL32" s="398">
        <f t="shared" si="365"/>
        <v>3.7200000000000004E-2</v>
      </c>
      <c r="AM32" s="398">
        <f t="shared" si="365"/>
        <v>3.7200000000000004E-2</v>
      </c>
      <c r="AN32" s="397"/>
      <c r="AO32" s="398">
        <v>3.7200000000000004E-2</v>
      </c>
      <c r="AP32" s="398">
        <f>AO32</f>
        <v>3.7200000000000004E-2</v>
      </c>
      <c r="AQ32" s="398">
        <f t="shared" ref="AQ32:AZ32" si="366">AP32</f>
        <v>3.7200000000000004E-2</v>
      </c>
      <c r="AR32" s="398">
        <f t="shared" si="366"/>
        <v>3.7200000000000004E-2</v>
      </c>
      <c r="AS32" s="398">
        <f t="shared" si="366"/>
        <v>3.7200000000000004E-2</v>
      </c>
      <c r="AT32" s="398">
        <f t="shared" si="366"/>
        <v>3.7200000000000004E-2</v>
      </c>
      <c r="AU32" s="398">
        <f t="shared" si="366"/>
        <v>3.7200000000000004E-2</v>
      </c>
      <c r="AV32" s="398">
        <f t="shared" si="366"/>
        <v>3.7200000000000004E-2</v>
      </c>
      <c r="AW32" s="398">
        <f t="shared" si="366"/>
        <v>3.7200000000000004E-2</v>
      </c>
      <c r="AX32" s="398">
        <f t="shared" si="366"/>
        <v>3.7200000000000004E-2</v>
      </c>
      <c r="AY32" s="398">
        <f t="shared" si="366"/>
        <v>3.7200000000000004E-2</v>
      </c>
      <c r="AZ32" s="398">
        <f t="shared" si="366"/>
        <v>3.7200000000000004E-2</v>
      </c>
      <c r="BA32" s="397"/>
      <c r="BB32" s="398">
        <v>3.7200000000000004E-2</v>
      </c>
      <c r="BC32" s="398">
        <f>BB32</f>
        <v>3.7200000000000004E-2</v>
      </c>
      <c r="BD32" s="398">
        <f t="shared" ref="BD32:BM32" si="367">BC32</f>
        <v>3.7200000000000004E-2</v>
      </c>
      <c r="BE32" s="398">
        <f t="shared" si="367"/>
        <v>3.7200000000000004E-2</v>
      </c>
      <c r="BF32" s="398">
        <f t="shared" si="367"/>
        <v>3.7200000000000004E-2</v>
      </c>
      <c r="BG32" s="398">
        <f t="shared" si="367"/>
        <v>3.7200000000000004E-2</v>
      </c>
      <c r="BH32" s="398">
        <f t="shared" si="367"/>
        <v>3.7200000000000004E-2</v>
      </c>
      <c r="BI32" s="398">
        <f t="shared" si="367"/>
        <v>3.7200000000000004E-2</v>
      </c>
      <c r="BJ32" s="398">
        <f t="shared" si="367"/>
        <v>3.7200000000000004E-2</v>
      </c>
      <c r="BK32" s="398">
        <f t="shared" si="367"/>
        <v>3.7200000000000004E-2</v>
      </c>
      <c r="BL32" s="398">
        <f t="shared" si="367"/>
        <v>3.7200000000000004E-2</v>
      </c>
      <c r="BM32" s="398">
        <f t="shared" si="367"/>
        <v>3.7200000000000004E-2</v>
      </c>
      <c r="BN32" s="397"/>
      <c r="BO32" s="398">
        <f>BM32</f>
        <v>3.7200000000000004E-2</v>
      </c>
    </row>
    <row r="33" spans="1:68" x14ac:dyDescent="0.25">
      <c r="A33" s="392"/>
      <c r="B33" s="397"/>
      <c r="C33" s="397"/>
      <c r="D33" s="397"/>
      <c r="E33" s="397"/>
      <c r="F33" s="397"/>
      <c r="G33" s="397"/>
      <c r="H33" s="397"/>
      <c r="I33" s="397"/>
      <c r="J33" s="397"/>
      <c r="K33" s="397"/>
      <c r="L33" s="397"/>
      <c r="M33" s="397"/>
      <c r="N33" s="397"/>
      <c r="O33" s="397"/>
      <c r="P33" s="397"/>
      <c r="Q33" s="397"/>
      <c r="R33" s="397"/>
      <c r="S33" s="397"/>
      <c r="T33" s="397"/>
      <c r="U33" s="397"/>
      <c r="V33" s="397"/>
      <c r="W33" s="397"/>
      <c r="X33" s="397"/>
      <c r="Y33" s="397"/>
      <c r="Z33" s="397"/>
      <c r="AA33" s="397"/>
      <c r="AB33" s="397"/>
      <c r="AC33" s="397"/>
      <c r="AD33" s="397"/>
      <c r="AE33" s="397"/>
      <c r="AF33" s="397"/>
      <c r="AG33" s="397"/>
      <c r="AH33" s="397"/>
      <c r="AI33" s="397"/>
      <c r="AJ33" s="397"/>
      <c r="AK33" s="397"/>
      <c r="AL33" s="397"/>
      <c r="AM33" s="397"/>
      <c r="AN33" s="397"/>
      <c r="AO33" s="397"/>
      <c r="AP33" s="397"/>
      <c r="AQ33" s="397"/>
      <c r="AR33" s="397"/>
      <c r="AS33" s="397"/>
      <c r="AT33" s="397"/>
      <c r="AU33" s="397"/>
      <c r="AV33" s="397"/>
      <c r="AW33" s="397"/>
      <c r="AX33" s="397"/>
      <c r="AY33" s="397"/>
      <c r="AZ33" s="397"/>
      <c r="BA33" s="397"/>
      <c r="BB33" s="397"/>
      <c r="BC33" s="397"/>
      <c r="BD33" s="397"/>
      <c r="BE33" s="397"/>
      <c r="BF33" s="397"/>
      <c r="BG33" s="397"/>
      <c r="BH33" s="397"/>
      <c r="BI33" s="397"/>
      <c r="BJ33" s="397"/>
      <c r="BK33" s="397"/>
      <c r="BL33" s="397"/>
      <c r="BM33" s="397"/>
      <c r="BN33" s="397"/>
      <c r="BO33" s="397"/>
    </row>
    <row r="34" spans="1:68" s="315" customFormat="1" x14ac:dyDescent="0.25">
      <c r="A34" s="392" t="s">
        <v>449</v>
      </c>
      <c r="B34" s="400">
        <f>B27+B30</f>
        <v>30876.473207613286</v>
      </c>
      <c r="C34" s="400">
        <f t="shared" ref="C34:N34" si="368">C27+C30</f>
        <v>30972.190274556888</v>
      </c>
      <c r="D34" s="400">
        <f t="shared" si="368"/>
        <v>31067.90734150049</v>
      </c>
      <c r="E34" s="400">
        <f t="shared" si="368"/>
        <v>31163.624408444088</v>
      </c>
      <c r="F34" s="400">
        <f t="shared" si="368"/>
        <v>31259.34147538769</v>
      </c>
      <c r="G34" s="400">
        <f t="shared" si="368"/>
        <v>31355.058542331291</v>
      </c>
      <c r="H34" s="400">
        <f t="shared" si="368"/>
        <v>31450.775609274893</v>
      </c>
      <c r="I34" s="400">
        <f t="shared" si="368"/>
        <v>31546.492676218495</v>
      </c>
      <c r="J34" s="400">
        <f t="shared" si="368"/>
        <v>31640.469743162095</v>
      </c>
      <c r="K34" s="400">
        <f t="shared" si="368"/>
        <v>32004.281416105696</v>
      </c>
      <c r="L34" s="400">
        <f t="shared" si="368"/>
        <v>31811.864199049298</v>
      </c>
      <c r="M34" s="400">
        <f t="shared" si="368"/>
        <v>31861.191205992902</v>
      </c>
      <c r="N34" s="400">
        <f t="shared" si="368"/>
        <v>377009.67009963706</v>
      </c>
      <c r="O34" s="400">
        <f>O27+O30</f>
        <v>20971.171167219036</v>
      </c>
      <c r="P34" s="400">
        <f t="shared" ref="P34:AA34" si="369">P27+P30</f>
        <v>20587.559459456115</v>
      </c>
      <c r="Q34" s="400">
        <f t="shared" si="369"/>
        <v>19786.02806569319</v>
      </c>
      <c r="R34" s="400">
        <f t="shared" si="369"/>
        <v>19666.185711930269</v>
      </c>
      <c r="S34" s="400">
        <f t="shared" si="369"/>
        <v>20046.823914167348</v>
      </c>
      <c r="T34" s="400">
        <f t="shared" si="369"/>
        <v>20530.345865404423</v>
      </c>
      <c r="U34" s="400">
        <f t="shared" si="369"/>
        <v>21046.707393641504</v>
      </c>
      <c r="V34" s="400">
        <f t="shared" si="369"/>
        <v>21199.096210878579</v>
      </c>
      <c r="W34" s="400">
        <f t="shared" si="369"/>
        <v>21236.419608115655</v>
      </c>
      <c r="X34" s="400">
        <f t="shared" si="369"/>
        <v>21121.410000352731</v>
      </c>
      <c r="Y34" s="400">
        <f t="shared" si="369"/>
        <v>20233.875381589813</v>
      </c>
      <c r="Z34" s="400">
        <f t="shared" si="369"/>
        <v>17147.282613826887</v>
      </c>
      <c r="AA34" s="400">
        <f t="shared" si="369"/>
        <v>243572.90539227554</v>
      </c>
      <c r="AB34" s="400">
        <f>AB27+AB30</f>
        <v>13062.898824052783</v>
      </c>
      <c r="AC34" s="400">
        <f t="shared" ref="AC34:AN34" si="370">AC27+AC30</f>
        <v>10792.890875096726</v>
      </c>
      <c r="AD34" s="400">
        <f t="shared" si="370"/>
        <v>11104.71813914067</v>
      </c>
      <c r="AE34" s="400">
        <f t="shared" si="370"/>
        <v>11467.616454184612</v>
      </c>
      <c r="AF34" s="400">
        <f t="shared" si="370"/>
        <v>14684.121409228554</v>
      </c>
      <c r="AG34" s="400">
        <f t="shared" si="370"/>
        <v>14968.535971272497</v>
      </c>
      <c r="AH34" s="400">
        <f t="shared" si="370"/>
        <v>18774.710033316442</v>
      </c>
      <c r="AI34" s="400">
        <f t="shared" si="370"/>
        <v>18389.728695360383</v>
      </c>
      <c r="AJ34" s="400">
        <f t="shared" si="370"/>
        <v>20969.613184404323</v>
      </c>
      <c r="AK34" s="400">
        <f t="shared" si="370"/>
        <v>20384.608782448267</v>
      </c>
      <c r="AL34" s="400">
        <f t="shared" si="370"/>
        <v>17662.31002649221</v>
      </c>
      <c r="AM34" s="400">
        <f t="shared" si="370"/>
        <v>13593.027486535753</v>
      </c>
      <c r="AN34" s="400">
        <f t="shared" si="370"/>
        <v>185854.77988153321</v>
      </c>
      <c r="AO34" s="400">
        <f>AO27+AO30</f>
        <v>5594.207314568921</v>
      </c>
      <c r="AP34" s="400">
        <f t="shared" ref="AP34:BA34" si="371">AP27+AP30</f>
        <v>6674.6473104197285</v>
      </c>
      <c r="AQ34" s="400">
        <f t="shared" si="371"/>
        <v>5833.5654842705371</v>
      </c>
      <c r="AR34" s="400">
        <f t="shared" si="371"/>
        <v>5673.9948321213433</v>
      </c>
      <c r="AS34" s="400">
        <f t="shared" si="371"/>
        <v>11781.926249972152</v>
      </c>
      <c r="AT34" s="400">
        <f t="shared" si="371"/>
        <v>15664.190630822959</v>
      </c>
      <c r="AU34" s="400">
        <f t="shared" si="371"/>
        <v>19580.439807673822</v>
      </c>
      <c r="AV34" s="400">
        <f t="shared" si="371"/>
        <v>20403.322104524588</v>
      </c>
      <c r="AW34" s="400">
        <f t="shared" si="371"/>
        <v>19804.250843375383</v>
      </c>
      <c r="AX34" s="400">
        <f t="shared" si="371"/>
        <v>19729.470570226193</v>
      </c>
      <c r="AY34" s="400">
        <f t="shared" si="371"/>
        <v>15450.952877077198</v>
      </c>
      <c r="AZ34" s="400">
        <f t="shared" si="371"/>
        <v>6719.7374099279305</v>
      </c>
      <c r="BA34" s="400">
        <f t="shared" si="371"/>
        <v>152910.70543498074</v>
      </c>
      <c r="BB34" s="400">
        <f>BB27+BB30</f>
        <v>2779.5675307674373</v>
      </c>
      <c r="BC34" s="400">
        <f t="shared" ref="BC34:BN34" si="372">BC27+BC30</f>
        <v>-7141.2804295748901</v>
      </c>
      <c r="BD34" s="400">
        <f t="shared" si="372"/>
        <v>-1170.8834899172166</v>
      </c>
      <c r="BE34" s="400">
        <f t="shared" si="372"/>
        <v>-416.88345025951139</v>
      </c>
      <c r="BF34" s="400">
        <f t="shared" si="372"/>
        <v>9756.6711893984939</v>
      </c>
      <c r="BG34" s="400">
        <f t="shared" si="372"/>
        <v>16031.963687055924</v>
      </c>
      <c r="BH34" s="400">
        <f t="shared" si="372"/>
        <v>18872.401569713518</v>
      </c>
      <c r="BI34" s="400">
        <f t="shared" si="372"/>
        <v>19199.336693371173</v>
      </c>
      <c r="BJ34" s="400">
        <f t="shared" si="372"/>
        <v>18942.640300028856</v>
      </c>
      <c r="BK34" s="400">
        <f t="shared" si="372"/>
        <v>19259.52047068653</v>
      </c>
      <c r="BL34" s="400">
        <f t="shared" si="372"/>
        <v>13397.898248344376</v>
      </c>
      <c r="BM34" s="400">
        <f t="shared" si="372"/>
        <v>4555.3677100019941</v>
      </c>
      <c r="BN34" s="400">
        <f t="shared" si="372"/>
        <v>114066.32002961668</v>
      </c>
      <c r="BO34" s="400">
        <f t="shared" ref="BO34" si="373">BO27+BO30</f>
        <v>35766.477681566656</v>
      </c>
    </row>
    <row r="35" spans="1:68" s="315" customFormat="1" x14ac:dyDescent="0.25">
      <c r="A35" s="394" t="s">
        <v>450</v>
      </c>
      <c r="B35" s="409">
        <f>B34</f>
        <v>30876.473207613286</v>
      </c>
      <c r="C35" s="409">
        <f>C34+B35</f>
        <v>61848.663482170174</v>
      </c>
      <c r="D35" s="409">
        <f t="shared" ref="D35" si="374">D34+C35</f>
        <v>92916.570823670656</v>
      </c>
      <c r="E35" s="409">
        <f t="shared" ref="E35" si="375">E34+D35</f>
        <v>124080.19523211474</v>
      </c>
      <c r="F35" s="409">
        <f t="shared" ref="F35" si="376">F34+E35</f>
        <v>155339.53670750244</v>
      </c>
      <c r="G35" s="409">
        <f t="shared" ref="G35" si="377">G34+F35</f>
        <v>186694.59524983374</v>
      </c>
      <c r="H35" s="409">
        <f t="shared" ref="H35" si="378">H34+G35</f>
        <v>218145.37085910863</v>
      </c>
      <c r="I35" s="409">
        <f t="shared" ref="I35" si="379">I34+H35</f>
        <v>249691.86353532714</v>
      </c>
      <c r="J35" s="409">
        <f t="shared" ref="J35" si="380">J34+I35</f>
        <v>281332.33327848924</v>
      </c>
      <c r="K35" s="409">
        <f t="shared" ref="K35" si="381">K34+J35</f>
        <v>313336.61469459493</v>
      </c>
      <c r="L35" s="409">
        <f t="shared" ref="L35" si="382">L34+K35</f>
        <v>345148.47889364423</v>
      </c>
      <c r="M35" s="409">
        <f t="shared" ref="M35" si="383">M34+L35</f>
        <v>377009.67009963712</v>
      </c>
      <c r="N35" s="410">
        <f>M35</f>
        <v>377009.67009963712</v>
      </c>
      <c r="O35" s="409">
        <f t="shared" ref="O35" si="384">O34+N35</f>
        <v>397980.84126685618</v>
      </c>
      <c r="P35" s="409">
        <f t="shared" ref="P35" si="385">P34+O35</f>
        <v>418568.40072631231</v>
      </c>
      <c r="Q35" s="409">
        <f t="shared" ref="Q35" si="386">Q34+P35</f>
        <v>438354.42879200552</v>
      </c>
      <c r="R35" s="409">
        <f t="shared" ref="R35" si="387">R34+Q35</f>
        <v>458020.61450393579</v>
      </c>
      <c r="S35" s="409">
        <f t="shared" ref="S35" si="388">S34+R35</f>
        <v>478067.43841810315</v>
      </c>
      <c r="T35" s="409">
        <f t="shared" ref="T35" si="389">T34+S35</f>
        <v>498597.78428350756</v>
      </c>
      <c r="U35" s="409">
        <f t="shared" ref="U35" si="390">U34+T35</f>
        <v>519644.49167714908</v>
      </c>
      <c r="V35" s="409">
        <f t="shared" ref="V35" si="391">V34+U35</f>
        <v>540843.58788802766</v>
      </c>
      <c r="W35" s="409">
        <f t="shared" ref="W35" si="392">W34+V35</f>
        <v>562080.00749614334</v>
      </c>
      <c r="X35" s="409">
        <f t="shared" ref="X35" si="393">X34+W35</f>
        <v>583201.41749649611</v>
      </c>
      <c r="Y35" s="409">
        <f t="shared" ref="Y35" si="394">Y34+X35</f>
        <v>603435.29287808598</v>
      </c>
      <c r="Z35" s="409">
        <f t="shared" ref="Z35" si="395">Z34+Y35</f>
        <v>620582.5754919129</v>
      </c>
      <c r="AA35" s="410">
        <f>Z35</f>
        <v>620582.5754919129</v>
      </c>
      <c r="AB35" s="409">
        <f t="shared" ref="AB35" si="396">AB34+AA35</f>
        <v>633645.47431596566</v>
      </c>
      <c r="AC35" s="409">
        <f t="shared" ref="AC35" si="397">AC34+AB35</f>
        <v>644438.36519106245</v>
      </c>
      <c r="AD35" s="409">
        <f t="shared" ref="AD35" si="398">AD34+AC35</f>
        <v>655543.08333020308</v>
      </c>
      <c r="AE35" s="409">
        <f t="shared" ref="AE35" si="399">AE34+AD35</f>
        <v>667010.69978438772</v>
      </c>
      <c r="AF35" s="409">
        <f t="shared" ref="AF35" si="400">AF34+AE35</f>
        <v>681694.82119361626</v>
      </c>
      <c r="AG35" s="409">
        <f t="shared" ref="AG35" si="401">AG34+AF35</f>
        <v>696663.35716488876</v>
      </c>
      <c r="AH35" s="409">
        <f t="shared" ref="AH35" si="402">AH34+AG35</f>
        <v>715438.06719820516</v>
      </c>
      <c r="AI35" s="409">
        <f t="shared" ref="AI35" si="403">AI34+AH35</f>
        <v>733827.79589356552</v>
      </c>
      <c r="AJ35" s="409">
        <f t="shared" ref="AJ35" si="404">AJ34+AI35</f>
        <v>754797.40907796985</v>
      </c>
      <c r="AK35" s="409">
        <f t="shared" ref="AK35" si="405">AK34+AJ35</f>
        <v>775182.01786041807</v>
      </c>
      <c r="AL35" s="409">
        <f t="shared" ref="AL35" si="406">AL34+AK35</f>
        <v>792844.32788691029</v>
      </c>
      <c r="AM35" s="409">
        <f t="shared" ref="AM35" si="407">AM34+AL35</f>
        <v>806437.35537344601</v>
      </c>
      <c r="AN35" s="410">
        <f>AM35</f>
        <v>806437.35537344601</v>
      </c>
      <c r="AO35" s="409">
        <f t="shared" ref="AO35" si="408">AO34+AN35</f>
        <v>812031.56268801494</v>
      </c>
      <c r="AP35" s="409">
        <f t="shared" ref="AP35" si="409">AP34+AO35</f>
        <v>818706.20999843464</v>
      </c>
      <c r="AQ35" s="409">
        <f t="shared" ref="AQ35" si="410">AQ34+AP35</f>
        <v>824539.77548270521</v>
      </c>
      <c r="AR35" s="409">
        <f t="shared" ref="AR35" si="411">AR34+AQ35</f>
        <v>830213.77031482651</v>
      </c>
      <c r="AS35" s="409">
        <f t="shared" ref="AS35" si="412">AS34+AR35</f>
        <v>841995.69656479871</v>
      </c>
      <c r="AT35" s="409">
        <f t="shared" ref="AT35" si="413">AT34+AS35</f>
        <v>857659.88719562162</v>
      </c>
      <c r="AU35" s="409">
        <f t="shared" ref="AU35" si="414">AU34+AT35</f>
        <v>877240.32700329542</v>
      </c>
      <c r="AV35" s="409">
        <f t="shared" ref="AV35" si="415">AV34+AU35</f>
        <v>897643.64910782001</v>
      </c>
      <c r="AW35" s="409">
        <f t="shared" ref="AW35" si="416">AW34+AV35</f>
        <v>917447.89995119534</v>
      </c>
      <c r="AX35" s="409">
        <f t="shared" ref="AX35" si="417">AX34+AW35</f>
        <v>937177.37052142154</v>
      </c>
      <c r="AY35" s="409">
        <f t="shared" ref="AY35" si="418">AY34+AX35</f>
        <v>952628.3233984987</v>
      </c>
      <c r="AZ35" s="409">
        <f t="shared" ref="AZ35" si="419">AZ34+AY35</f>
        <v>959348.06080842658</v>
      </c>
      <c r="BA35" s="410">
        <f>AZ35</f>
        <v>959348.06080842658</v>
      </c>
      <c r="BB35" s="409">
        <f t="shared" ref="BB35" si="420">BB34+BA35</f>
        <v>962127.62833919399</v>
      </c>
      <c r="BC35" s="409">
        <f t="shared" ref="BC35" si="421">BC34+BB35</f>
        <v>954986.3479096191</v>
      </c>
      <c r="BD35" s="409">
        <f t="shared" ref="BD35" si="422">BD34+BC35</f>
        <v>953815.46441970184</v>
      </c>
      <c r="BE35" s="409">
        <f t="shared" ref="BE35" si="423">BE34+BD35</f>
        <v>953398.58096944238</v>
      </c>
      <c r="BF35" s="409">
        <f t="shared" ref="BF35" si="424">BF34+BE35</f>
        <v>963155.25215884089</v>
      </c>
      <c r="BG35" s="409">
        <f t="shared" ref="BG35" si="425">BG34+BF35</f>
        <v>979187.21584589686</v>
      </c>
      <c r="BH35" s="409">
        <f t="shared" ref="BH35" si="426">BH34+BG35</f>
        <v>998059.61741561035</v>
      </c>
      <c r="BI35" s="409">
        <f t="shared" ref="BI35" si="427">BI34+BH35</f>
        <v>1017258.9541089815</v>
      </c>
      <c r="BJ35" s="409">
        <f t="shared" ref="BJ35" si="428">BJ34+BI35</f>
        <v>1036201.5944090104</v>
      </c>
      <c r="BK35" s="409">
        <f t="shared" ref="BK35" si="429">BK34+BJ35</f>
        <v>1055461.1148796969</v>
      </c>
      <c r="BL35" s="409">
        <f t="shared" ref="BL35" si="430">BL34+BK35</f>
        <v>1068859.0131280413</v>
      </c>
      <c r="BM35" s="409">
        <f t="shared" ref="BM35" si="431">BM34+BL35</f>
        <v>1073414.3808380433</v>
      </c>
      <c r="BN35" s="410">
        <f>BM35</f>
        <v>1073414.3808380433</v>
      </c>
      <c r="BO35" s="410">
        <f>BN35+BO34</f>
        <v>1109180.85851961</v>
      </c>
    </row>
    <row r="36" spans="1:68" x14ac:dyDescent="0.25">
      <c r="A36" s="401" t="s">
        <v>451</v>
      </c>
      <c r="B36" s="396"/>
      <c r="C36" s="396"/>
      <c r="D36" s="396"/>
      <c r="E36" s="396"/>
      <c r="F36" s="396"/>
      <c r="G36" s="396"/>
      <c r="H36" s="396"/>
      <c r="I36" s="396"/>
      <c r="J36" s="396"/>
      <c r="K36" s="396"/>
      <c r="L36" s="396"/>
      <c r="M36" s="396"/>
      <c r="N36" s="396"/>
      <c r="O36" s="396"/>
      <c r="P36" s="396"/>
      <c r="Q36" s="396"/>
      <c r="R36" s="396"/>
      <c r="S36" s="396"/>
      <c r="T36" s="396"/>
      <c r="U36" s="396"/>
      <c r="V36" s="396"/>
      <c r="W36" s="396"/>
      <c r="X36" s="396"/>
      <c r="Y36" s="396"/>
      <c r="Z36" s="396"/>
      <c r="AA36" s="396"/>
      <c r="AB36" s="396"/>
      <c r="AC36" s="396"/>
      <c r="AD36" s="396"/>
      <c r="AE36" s="396"/>
      <c r="AF36" s="396"/>
      <c r="AG36" s="396"/>
      <c r="AH36" s="396"/>
      <c r="AI36" s="396"/>
      <c r="AJ36" s="396"/>
      <c r="AK36" s="396"/>
      <c r="AL36" s="396"/>
      <c r="AM36" s="396"/>
      <c r="AN36" s="396"/>
      <c r="AO36" s="396"/>
      <c r="AP36" s="396"/>
      <c r="AQ36" s="396"/>
      <c r="AR36" s="396"/>
      <c r="AS36" s="396"/>
      <c r="AT36" s="396"/>
      <c r="AU36" s="396"/>
      <c r="AV36" s="396"/>
      <c r="AW36" s="396"/>
      <c r="AX36" s="396"/>
      <c r="AY36" s="396"/>
      <c r="AZ36" s="396"/>
      <c r="BA36" s="396"/>
      <c r="BB36" s="396"/>
      <c r="BC36" s="396"/>
      <c r="BD36" s="396"/>
      <c r="BE36" s="396"/>
      <c r="BF36" s="396"/>
      <c r="BG36" s="396"/>
      <c r="BH36" s="396"/>
      <c r="BI36" s="396"/>
      <c r="BJ36" s="396"/>
      <c r="BK36" s="396"/>
      <c r="BL36" s="396"/>
      <c r="BM36" s="396"/>
      <c r="BN36" s="396"/>
      <c r="BO36" s="396"/>
    </row>
    <row r="37" spans="1:68" x14ac:dyDescent="0.25">
      <c r="A37" s="315" t="s">
        <v>398</v>
      </c>
      <c r="B37" s="396">
        <f t="shared" ref="B37:M37" si="432">B10+B24</f>
        <v>40775.223207613286</v>
      </c>
      <c r="C37" s="396">
        <f t="shared" si="432"/>
        <v>40775.223207613286</v>
      </c>
      <c r="D37" s="396">
        <f t="shared" si="432"/>
        <v>40775.223207613286</v>
      </c>
      <c r="E37" s="396">
        <f t="shared" si="432"/>
        <v>40775.223207613286</v>
      </c>
      <c r="F37" s="396">
        <f t="shared" si="432"/>
        <v>44388.509207613286</v>
      </c>
      <c r="G37" s="396">
        <f t="shared" si="432"/>
        <v>62992.342207613285</v>
      </c>
      <c r="H37" s="396">
        <f t="shared" si="432"/>
        <v>64663.373207613287</v>
      </c>
      <c r="I37" s="396">
        <f t="shared" si="432"/>
        <v>61070.2805532739</v>
      </c>
      <c r="J37" s="396">
        <f t="shared" si="432"/>
        <v>60031.52565105469</v>
      </c>
      <c r="K37" s="396">
        <f t="shared" si="432"/>
        <v>60029.920383066754</v>
      </c>
      <c r="L37" s="396">
        <f t="shared" si="432"/>
        <v>66221.327607605621</v>
      </c>
      <c r="M37" s="396">
        <f t="shared" si="432"/>
        <v>75094.099989544076</v>
      </c>
      <c r="N37" s="396">
        <f>SUM(B37:M37)</f>
        <v>657592.2716378381</v>
      </c>
      <c r="O37" s="396">
        <f t="shared" ref="O37:Z37" si="433">O10+O24</f>
        <v>73236.029776592928</v>
      </c>
      <c r="P37" s="396">
        <f t="shared" si="433"/>
        <v>73771.465468601353</v>
      </c>
      <c r="Q37" s="396">
        <f t="shared" si="433"/>
        <v>73671.527989858994</v>
      </c>
      <c r="R37" s="396">
        <f t="shared" si="433"/>
        <v>73183.733875878825</v>
      </c>
      <c r="S37" s="396">
        <f t="shared" si="433"/>
        <v>73230.897036861905</v>
      </c>
      <c r="T37" s="396">
        <f t="shared" si="433"/>
        <v>73176.981482529722</v>
      </c>
      <c r="U37" s="396">
        <f t="shared" si="433"/>
        <v>73110.438984659748</v>
      </c>
      <c r="V37" s="396">
        <f t="shared" si="433"/>
        <v>73159.866485126433</v>
      </c>
      <c r="W37" s="396">
        <f t="shared" si="433"/>
        <v>73251.758114368728</v>
      </c>
      <c r="X37" s="396">
        <f t="shared" si="433"/>
        <v>73667.502948815876</v>
      </c>
      <c r="Y37" s="396">
        <f t="shared" si="433"/>
        <v>74766.256395617165</v>
      </c>
      <c r="Z37" s="396">
        <f t="shared" si="433"/>
        <v>55104.611189593386</v>
      </c>
      <c r="AA37" s="396">
        <f>SUM(O37:Z37)</f>
        <v>863331.06974850525</v>
      </c>
      <c r="AB37" s="396">
        <f t="shared" ref="AB37:AM37" si="434">AB10+AB24</f>
        <v>72671.214964211744</v>
      </c>
      <c r="AC37" s="396">
        <f t="shared" si="434"/>
        <v>72286.416355884227</v>
      </c>
      <c r="AD37" s="396">
        <f t="shared" si="434"/>
        <v>71994.624183772627</v>
      </c>
      <c r="AE37" s="396">
        <f t="shared" si="434"/>
        <v>71151.927350237791</v>
      </c>
      <c r="AF37" s="396">
        <f t="shared" si="434"/>
        <v>70689.761575137061</v>
      </c>
      <c r="AG37" s="396">
        <f t="shared" si="434"/>
        <v>70250.530503260408</v>
      </c>
      <c r="AH37" s="396">
        <f t="shared" si="434"/>
        <v>70237.769427954365</v>
      </c>
      <c r="AI37" s="396">
        <f t="shared" si="434"/>
        <v>70537.797551836033</v>
      </c>
      <c r="AJ37" s="396">
        <f t="shared" si="434"/>
        <v>70486.719101618219</v>
      </c>
      <c r="AK37" s="396">
        <f t="shared" si="434"/>
        <v>91340.126503360341</v>
      </c>
      <c r="AL37" s="396">
        <f t="shared" si="434"/>
        <v>93573.900736815791</v>
      </c>
      <c r="AM37" s="396">
        <f t="shared" si="434"/>
        <v>94144.70562358835</v>
      </c>
      <c r="AN37" s="396">
        <f>SUM(AB37:AM37)</f>
        <v>919365.49387767701</v>
      </c>
      <c r="AO37" s="396">
        <f t="shared" ref="AO37:AZ37" si="435">AO10+AO24</f>
        <v>89855.516416110768</v>
      </c>
      <c r="AP37" s="396">
        <f t="shared" si="435"/>
        <v>79645.62140805216</v>
      </c>
      <c r="AQ37" s="396">
        <f t="shared" si="435"/>
        <v>79464.498172226246</v>
      </c>
      <c r="AR37" s="396">
        <f t="shared" si="435"/>
        <v>76564.859611860578</v>
      </c>
      <c r="AS37" s="396">
        <f t="shared" si="435"/>
        <v>76095.369636473435</v>
      </c>
      <c r="AT37" s="396">
        <f t="shared" si="435"/>
        <v>75368.285898210932</v>
      </c>
      <c r="AU37" s="396">
        <f t="shared" si="435"/>
        <v>75200.54373720508</v>
      </c>
      <c r="AV37" s="396">
        <f t="shared" si="435"/>
        <v>75929.654697495062</v>
      </c>
      <c r="AW37" s="396">
        <f t="shared" si="435"/>
        <v>75674.307143030004</v>
      </c>
      <c r="AX37" s="396">
        <f t="shared" si="435"/>
        <v>77672.846382786141</v>
      </c>
      <c r="AY37" s="396">
        <f t="shared" si="435"/>
        <v>83967.54534800096</v>
      </c>
      <c r="AZ37" s="396">
        <f t="shared" si="435"/>
        <v>81181.783857350529</v>
      </c>
      <c r="BA37" s="396">
        <f>SUM(AO37:AZ37)</f>
        <v>946620.83230880182</v>
      </c>
      <c r="BB37" s="396">
        <f t="shared" ref="BB37:BM37" si="436">BB10+BB24</f>
        <v>75458.325309748383</v>
      </c>
      <c r="BC37" s="396">
        <f t="shared" si="436"/>
        <v>74595.164325620601</v>
      </c>
      <c r="BD37" s="396">
        <f t="shared" si="436"/>
        <v>79134.189290023933</v>
      </c>
      <c r="BE37" s="396">
        <f t="shared" si="436"/>
        <v>86819.748781739065</v>
      </c>
      <c r="BF37" s="396">
        <f t="shared" si="436"/>
        <v>71272.7298455282</v>
      </c>
      <c r="BG37" s="396">
        <f t="shared" si="436"/>
        <v>70819.20867243153</v>
      </c>
      <c r="BH37" s="396">
        <f t="shared" si="436"/>
        <v>71006.015462336029</v>
      </c>
      <c r="BI37" s="396">
        <f t="shared" si="436"/>
        <v>71098.62605540792</v>
      </c>
      <c r="BJ37" s="396">
        <f t="shared" si="436"/>
        <v>71118.753897326271</v>
      </c>
      <c r="BK37" s="396">
        <f t="shared" si="436"/>
        <v>87903.863402481453</v>
      </c>
      <c r="BL37" s="396">
        <f t="shared" si="436"/>
        <v>151924.80071057173</v>
      </c>
      <c r="BM37" s="396">
        <f t="shared" si="436"/>
        <v>112638.39183939475</v>
      </c>
      <c r="BN37" s="396">
        <f>SUM(BB37:BM37)</f>
        <v>1023789.8175926099</v>
      </c>
      <c r="BO37" s="396"/>
    </row>
    <row r="38" spans="1:68" x14ac:dyDescent="0.25">
      <c r="A38" s="315" t="s">
        <v>419</v>
      </c>
      <c r="B38" s="396">
        <f t="shared" ref="B38:M38" si="437">B12+B25</f>
        <v>0</v>
      </c>
      <c r="C38" s="396">
        <f t="shared" si="437"/>
        <v>0</v>
      </c>
      <c r="D38" s="396">
        <f t="shared" si="437"/>
        <v>0</v>
      </c>
      <c r="E38" s="396">
        <f t="shared" si="437"/>
        <v>0</v>
      </c>
      <c r="F38" s="396">
        <f t="shared" si="437"/>
        <v>0</v>
      </c>
      <c r="G38" s="396">
        <f t="shared" si="437"/>
        <v>0</v>
      </c>
      <c r="H38" s="396">
        <f t="shared" si="437"/>
        <v>0</v>
      </c>
      <c r="I38" s="396">
        <f t="shared" si="437"/>
        <v>0</v>
      </c>
      <c r="J38" s="396">
        <f t="shared" si="437"/>
        <v>91.41</v>
      </c>
      <c r="K38" s="396">
        <f t="shared" si="437"/>
        <v>-623.06999999999994</v>
      </c>
      <c r="L38" s="396">
        <f t="shared" si="437"/>
        <v>1189.01</v>
      </c>
      <c r="M38" s="396">
        <f t="shared" si="437"/>
        <v>1298.8500000000001</v>
      </c>
      <c r="N38" s="396">
        <f t="shared" ref="N38:N39" si="438">SUM(B38:M38)</f>
        <v>1956.2000000000003</v>
      </c>
      <c r="O38" s="396">
        <f t="shared" ref="O38:Z38" si="439">O12+O25</f>
        <v>1024.83</v>
      </c>
      <c r="P38" s="396">
        <f t="shared" si="439"/>
        <v>2284.04</v>
      </c>
      <c r="Q38" s="396">
        <f t="shared" si="439"/>
        <v>4741.6400000000003</v>
      </c>
      <c r="R38" s="396">
        <f t="shared" si="439"/>
        <v>5275.01</v>
      </c>
      <c r="S38" s="396">
        <f t="shared" si="439"/>
        <v>4351.8699999999972</v>
      </c>
      <c r="T38" s="396">
        <f t="shared" si="439"/>
        <v>3174.8799999999974</v>
      </c>
      <c r="U38" s="396">
        <f t="shared" si="439"/>
        <v>1841.9799999999996</v>
      </c>
      <c r="V38" s="396">
        <f t="shared" si="439"/>
        <v>1807.2099999999973</v>
      </c>
      <c r="W38" s="396">
        <f t="shared" si="439"/>
        <v>1681.3899999999994</v>
      </c>
      <c r="X38" s="396">
        <f t="shared" si="439"/>
        <v>2164.4899999999998</v>
      </c>
      <c r="Y38" s="396">
        <f t="shared" si="439"/>
        <v>6130.6299999999974</v>
      </c>
      <c r="Z38" s="396">
        <f t="shared" si="439"/>
        <v>15922.41</v>
      </c>
      <c r="AA38" s="396">
        <f>SUM(O38:Z38)</f>
        <v>50400.37999999999</v>
      </c>
      <c r="AB38" s="396">
        <f t="shared" ref="AB38:AM38" si="440">AB12+AB25</f>
        <v>24609.420000000002</v>
      </c>
      <c r="AC38" s="396">
        <f t="shared" si="440"/>
        <v>30340.729999999996</v>
      </c>
      <c r="AD38" s="396">
        <f t="shared" si="440"/>
        <v>29514.519999999997</v>
      </c>
      <c r="AE38" s="396">
        <f t="shared" si="440"/>
        <v>28633.589999999997</v>
      </c>
      <c r="AF38" s="396">
        <f t="shared" si="440"/>
        <v>19523.62</v>
      </c>
      <c r="AG38" s="396">
        <f t="shared" si="440"/>
        <v>19181.62</v>
      </c>
      <c r="AH38" s="396">
        <f t="shared" si="440"/>
        <v>8178.619999999999</v>
      </c>
      <c r="AI38" s="396">
        <f t="shared" si="440"/>
        <v>23850.219999999994</v>
      </c>
      <c r="AJ38" s="396">
        <f t="shared" si="440"/>
        <v>4150</v>
      </c>
      <c r="AK38" s="396">
        <f t="shared" si="440"/>
        <v>6224.32</v>
      </c>
      <c r="AL38" s="396">
        <f t="shared" si="440"/>
        <v>27121.760000000097</v>
      </c>
      <c r="AM38" s="396">
        <f t="shared" si="440"/>
        <v>27459.480000000898</v>
      </c>
      <c r="AN38" s="396">
        <f>SUM(AB38:AM38)</f>
        <v>248787.90000000095</v>
      </c>
      <c r="AO38" s="396">
        <f t="shared" ref="AO38:AZ38" si="441">AO12+AO25</f>
        <v>50156.259999999995</v>
      </c>
      <c r="AP38" s="396">
        <f t="shared" si="441"/>
        <v>43403.850000000006</v>
      </c>
      <c r="AQ38" s="396">
        <f t="shared" si="441"/>
        <v>45752.4</v>
      </c>
      <c r="AR38" s="396">
        <f t="shared" si="441"/>
        <v>46239.950000000004</v>
      </c>
      <c r="AS38" s="396">
        <f t="shared" si="441"/>
        <v>29191.27</v>
      </c>
      <c r="AT38" s="396">
        <f t="shared" si="441"/>
        <v>17799.73</v>
      </c>
      <c r="AU38" s="396">
        <f t="shared" si="441"/>
        <v>6818.339999999951</v>
      </c>
      <c r="AV38" s="396">
        <f t="shared" si="441"/>
        <v>4626.4399999999896</v>
      </c>
      <c r="AW38" s="396">
        <f t="shared" si="441"/>
        <v>8256.08</v>
      </c>
      <c r="AX38" s="396">
        <f t="shared" si="441"/>
        <v>6925.8799999999992</v>
      </c>
      <c r="AY38" s="396">
        <f t="shared" si="441"/>
        <v>26633.199999999782</v>
      </c>
      <c r="AZ38" s="396">
        <f t="shared" si="441"/>
        <v>64651.709999999817</v>
      </c>
      <c r="BA38" s="396">
        <f>SUM(AO38:AZ38)</f>
        <v>350455.10999999952</v>
      </c>
      <c r="BB38" s="396">
        <f t="shared" ref="BB38:BM38" si="442">BB12+BB25</f>
        <v>60347</v>
      </c>
      <c r="BC38" s="396">
        <f t="shared" si="442"/>
        <v>83384</v>
      </c>
      <c r="BD38" s="396">
        <f t="shared" si="442"/>
        <v>66041</v>
      </c>
      <c r="BE38" s="396">
        <f t="shared" si="442"/>
        <v>63815.169999999896</v>
      </c>
      <c r="BF38" s="396">
        <f t="shared" si="442"/>
        <v>34643.189999999639</v>
      </c>
      <c r="BG38" s="396">
        <f t="shared" si="442"/>
        <v>16739.889999999818</v>
      </c>
      <c r="BH38" s="396">
        <f t="shared" si="442"/>
        <v>8685.6399999999903</v>
      </c>
      <c r="BI38" s="396">
        <f t="shared" si="442"/>
        <v>8845.3699999999826</v>
      </c>
      <c r="BJ38" s="396">
        <f t="shared" si="442"/>
        <v>8979.7999999999829</v>
      </c>
      <c r="BK38" s="396">
        <f t="shared" si="442"/>
        <v>8270.8999999999742</v>
      </c>
      <c r="BL38" s="396">
        <f t="shared" si="442"/>
        <v>41097.259999999776</v>
      </c>
      <c r="BM38" s="396">
        <f t="shared" si="442"/>
        <v>53737.469999999754</v>
      </c>
      <c r="BN38" s="396">
        <f>SUM(BB38:BM38)</f>
        <v>454586.6899999989</v>
      </c>
      <c r="BO38" s="396"/>
    </row>
    <row r="39" spans="1:68" x14ac:dyDescent="0.25">
      <c r="A39" s="315" t="s">
        <v>417</v>
      </c>
      <c r="B39" s="396">
        <f>B37-B38</f>
        <v>40775.223207613286</v>
      </c>
      <c r="C39" s="396">
        <f t="shared" ref="C39:M39" si="443">C37-C38</f>
        <v>40775.223207613286</v>
      </c>
      <c r="D39" s="396">
        <f t="shared" si="443"/>
        <v>40775.223207613286</v>
      </c>
      <c r="E39" s="396">
        <f t="shared" si="443"/>
        <v>40775.223207613286</v>
      </c>
      <c r="F39" s="396">
        <f t="shared" si="443"/>
        <v>44388.509207613286</v>
      </c>
      <c r="G39" s="396">
        <f t="shared" si="443"/>
        <v>62992.342207613285</v>
      </c>
      <c r="H39" s="396">
        <f t="shared" si="443"/>
        <v>64663.373207613287</v>
      </c>
      <c r="I39" s="396">
        <f t="shared" si="443"/>
        <v>61070.2805532739</v>
      </c>
      <c r="J39" s="396">
        <f t="shared" si="443"/>
        <v>59940.115651054686</v>
      </c>
      <c r="K39" s="396">
        <f t="shared" si="443"/>
        <v>60652.990383066754</v>
      </c>
      <c r="L39" s="396">
        <f t="shared" si="443"/>
        <v>65032.317607605619</v>
      </c>
      <c r="M39" s="396">
        <f t="shared" si="443"/>
        <v>73795.249989544071</v>
      </c>
      <c r="N39" s="396">
        <f t="shared" si="438"/>
        <v>655636.07163783803</v>
      </c>
      <c r="O39" s="396">
        <f>O37-O38</f>
        <v>72211.199776592926</v>
      </c>
      <c r="P39" s="396">
        <f t="shared" ref="P39" si="444">P37-P38</f>
        <v>71487.425468601359</v>
      </c>
      <c r="Q39" s="396">
        <f t="shared" ref="Q39" si="445">Q37-Q38</f>
        <v>68929.887989858995</v>
      </c>
      <c r="R39" s="396">
        <f t="shared" ref="R39" si="446">R37-R38</f>
        <v>67908.72387587883</v>
      </c>
      <c r="S39" s="396">
        <f t="shared" ref="S39" si="447">S37-S38</f>
        <v>68879.027036861909</v>
      </c>
      <c r="T39" s="396">
        <f t="shared" ref="T39" si="448">T37-T38</f>
        <v>70002.101482529717</v>
      </c>
      <c r="U39" s="396">
        <f t="shared" ref="U39" si="449">U37-U38</f>
        <v>71268.458984659752</v>
      </c>
      <c r="V39" s="396">
        <f t="shared" ref="V39" si="450">V37-V38</f>
        <v>71352.656485126441</v>
      </c>
      <c r="W39" s="396">
        <f t="shared" ref="W39" si="451">W37-W38</f>
        <v>71570.368114368728</v>
      </c>
      <c r="X39" s="396">
        <f t="shared" ref="X39" si="452">X37-X38</f>
        <v>71503.012948815871</v>
      </c>
      <c r="Y39" s="396">
        <f t="shared" ref="Y39" si="453">Y37-Y38</f>
        <v>68635.626395617175</v>
      </c>
      <c r="Z39" s="396">
        <f t="shared" ref="Z39" si="454">Z37-Z38</f>
        <v>39182.201189593383</v>
      </c>
      <c r="AA39" s="396">
        <f>SUM(O39:Z39)</f>
        <v>812930.68974850513</v>
      </c>
      <c r="AB39" s="396">
        <f>AB37-AB38</f>
        <v>48061.794964211746</v>
      </c>
      <c r="AC39" s="396">
        <f t="shared" ref="AC39:AM39" si="455">AC37-AC38</f>
        <v>41945.686355884231</v>
      </c>
      <c r="AD39" s="396">
        <f t="shared" si="455"/>
        <v>42480.10418377263</v>
      </c>
      <c r="AE39" s="396">
        <f t="shared" si="455"/>
        <v>42518.337350237794</v>
      </c>
      <c r="AF39" s="396">
        <f t="shared" si="455"/>
        <v>51166.141575137066</v>
      </c>
      <c r="AG39" s="396">
        <f t="shared" si="455"/>
        <v>51068.910503260413</v>
      </c>
      <c r="AH39" s="396">
        <f t="shared" si="455"/>
        <v>62059.149427954369</v>
      </c>
      <c r="AI39" s="396">
        <f t="shared" si="455"/>
        <v>46687.577551836039</v>
      </c>
      <c r="AJ39" s="396">
        <f t="shared" si="455"/>
        <v>66336.719101618219</v>
      </c>
      <c r="AK39" s="396">
        <f t="shared" si="455"/>
        <v>85115.806503360334</v>
      </c>
      <c r="AL39" s="396">
        <f t="shared" si="455"/>
        <v>66452.140736815694</v>
      </c>
      <c r="AM39" s="396">
        <f t="shared" si="455"/>
        <v>66685.225623587452</v>
      </c>
      <c r="AN39" s="396">
        <f>SUM(AB39:AM39)</f>
        <v>670577.59387767606</v>
      </c>
      <c r="AO39" s="396">
        <f>AO37-AO38</f>
        <v>39699.256416110773</v>
      </c>
      <c r="AP39" s="396">
        <f t="shared" ref="AP39:AZ39" si="456">AP37-AP38</f>
        <v>36241.771408052155</v>
      </c>
      <c r="AQ39" s="396">
        <f t="shared" si="456"/>
        <v>33712.098172226244</v>
      </c>
      <c r="AR39" s="396">
        <f t="shared" si="456"/>
        <v>30324.909611860574</v>
      </c>
      <c r="AS39" s="396">
        <f t="shared" si="456"/>
        <v>46904.099636473431</v>
      </c>
      <c r="AT39" s="396">
        <f t="shared" si="456"/>
        <v>57568.555898210936</v>
      </c>
      <c r="AU39" s="396">
        <f t="shared" si="456"/>
        <v>68382.203737205127</v>
      </c>
      <c r="AV39" s="396">
        <f t="shared" si="456"/>
        <v>71303.214697495074</v>
      </c>
      <c r="AW39" s="396">
        <f t="shared" si="456"/>
        <v>67418.227143030002</v>
      </c>
      <c r="AX39" s="396">
        <f t="shared" si="456"/>
        <v>70746.966382786137</v>
      </c>
      <c r="AY39" s="396">
        <f t="shared" si="456"/>
        <v>57334.345348001181</v>
      </c>
      <c r="AZ39" s="396">
        <f t="shared" si="456"/>
        <v>16530.073857350711</v>
      </c>
      <c r="BA39" s="396">
        <f>SUM(AO39:AZ39)</f>
        <v>596165.72230880253</v>
      </c>
      <c r="BB39" s="396">
        <f>BB37-BB38</f>
        <v>15111.325309748383</v>
      </c>
      <c r="BC39" s="396">
        <f t="shared" ref="BC39:BM39" si="457">BC37-BC38</f>
        <v>-8788.8356743793993</v>
      </c>
      <c r="BD39" s="396">
        <f t="shared" si="457"/>
        <v>13093.189290023933</v>
      </c>
      <c r="BE39" s="396">
        <f t="shared" si="457"/>
        <v>23004.578781739168</v>
      </c>
      <c r="BF39" s="396">
        <f t="shared" si="457"/>
        <v>36629.539845528561</v>
      </c>
      <c r="BG39" s="396">
        <f t="shared" si="457"/>
        <v>54079.318672431713</v>
      </c>
      <c r="BH39" s="396">
        <f t="shared" si="457"/>
        <v>62320.375462336036</v>
      </c>
      <c r="BI39" s="396">
        <f t="shared" si="457"/>
        <v>62253.256055407939</v>
      </c>
      <c r="BJ39" s="396">
        <f t="shared" si="457"/>
        <v>62138.95389732629</v>
      </c>
      <c r="BK39" s="396">
        <f t="shared" si="457"/>
        <v>79632.963402481473</v>
      </c>
      <c r="BL39" s="396">
        <f t="shared" si="457"/>
        <v>110827.54071057195</v>
      </c>
      <c r="BM39" s="396">
        <f t="shared" si="457"/>
        <v>58900.921839395</v>
      </c>
      <c r="BN39" s="396">
        <f>SUM(BB39:BM39)</f>
        <v>569203.12759261101</v>
      </c>
      <c r="BO39" s="396"/>
    </row>
    <row r="40" spans="1:68" x14ac:dyDescent="0.25">
      <c r="B40" s="396"/>
      <c r="C40" s="396"/>
      <c r="D40" s="396"/>
      <c r="E40" s="396"/>
      <c r="F40" s="396"/>
      <c r="G40" s="396"/>
      <c r="H40" s="396"/>
      <c r="I40" s="396"/>
      <c r="J40" s="396"/>
      <c r="K40" s="396"/>
      <c r="L40" s="396"/>
      <c r="M40" s="396"/>
      <c r="N40" s="396"/>
      <c r="O40" s="396"/>
      <c r="P40" s="396"/>
      <c r="Q40" s="396"/>
      <c r="R40" s="396"/>
      <c r="S40" s="396"/>
      <c r="T40" s="396"/>
      <c r="U40" s="396"/>
      <c r="V40" s="396"/>
      <c r="W40" s="396"/>
      <c r="X40" s="396"/>
      <c r="Y40" s="396"/>
      <c r="Z40" s="396"/>
      <c r="AA40" s="396"/>
      <c r="AB40" s="396"/>
      <c r="AC40" s="396"/>
      <c r="AD40" s="396"/>
      <c r="AE40" s="396"/>
      <c r="AF40" s="396"/>
      <c r="AG40" s="396"/>
      <c r="AH40" s="396"/>
      <c r="AI40" s="396"/>
      <c r="AJ40" s="396"/>
      <c r="AK40" s="396"/>
      <c r="AL40" s="396"/>
      <c r="AM40" s="396"/>
      <c r="AN40" s="396"/>
      <c r="AO40" s="396"/>
      <c r="AP40" s="396"/>
      <c r="AQ40" s="396"/>
      <c r="AR40" s="396"/>
      <c r="AS40" s="396"/>
      <c r="AT40" s="396"/>
      <c r="AU40" s="396"/>
      <c r="AV40" s="396"/>
      <c r="AW40" s="396"/>
      <c r="AX40" s="396"/>
      <c r="AY40" s="396"/>
      <c r="AZ40" s="396"/>
      <c r="BA40" s="396"/>
      <c r="BB40" s="396"/>
      <c r="BC40" s="396"/>
      <c r="BD40" s="396"/>
      <c r="BE40" s="396"/>
      <c r="BF40" s="396"/>
      <c r="BG40" s="396"/>
      <c r="BH40" s="396"/>
      <c r="BI40" s="396"/>
      <c r="BJ40" s="396"/>
      <c r="BK40" s="396"/>
      <c r="BL40" s="396"/>
      <c r="BM40" s="396"/>
      <c r="BN40" s="396"/>
      <c r="BO40" s="396"/>
    </row>
    <row r="41" spans="1:68" x14ac:dyDescent="0.25">
      <c r="A41" s="315" t="s">
        <v>433</v>
      </c>
      <c r="B41" s="396">
        <f t="shared" ref="B41:M41" si="458">B17+B30</f>
        <v>0</v>
      </c>
      <c r="C41" s="396">
        <f t="shared" si="458"/>
        <v>126.4031919436012</v>
      </c>
      <c r="D41" s="396">
        <f t="shared" si="458"/>
        <v>252.8063838872024</v>
      </c>
      <c r="E41" s="396">
        <f t="shared" si="458"/>
        <v>379.2095758308036</v>
      </c>
      <c r="F41" s="396">
        <f t="shared" si="458"/>
        <v>505.6127677744048</v>
      </c>
      <c r="G41" s="396">
        <f t="shared" si="458"/>
        <v>643.21714631800592</v>
      </c>
      <c r="H41" s="396">
        <f t="shared" si="458"/>
        <v>838.49340716160714</v>
      </c>
      <c r="I41" s="396">
        <f t="shared" si="458"/>
        <v>1038.9498641052082</v>
      </c>
      <c r="J41" s="396">
        <f t="shared" si="458"/>
        <v>1228.2677338203573</v>
      </c>
      <c r="K41" s="396">
        <f t="shared" si="458"/>
        <v>1414.0820923386268</v>
      </c>
      <c r="L41" s="396">
        <f t="shared" si="458"/>
        <v>1602.1063625261338</v>
      </c>
      <c r="M41" s="396">
        <f t="shared" si="458"/>
        <v>1803.7065471097112</v>
      </c>
      <c r="N41" s="396">
        <f>SUM(B41:M41)</f>
        <v>9832.8550728156624</v>
      </c>
      <c r="O41" s="396">
        <f t="shared" ref="O41:AT41" si="459">O17+O30</f>
        <v>2032.4718220772979</v>
      </c>
      <c r="P41" s="396">
        <f t="shared" si="459"/>
        <v>2256.3265413847357</v>
      </c>
      <c r="Q41" s="396">
        <f t="shared" si="459"/>
        <v>2477.9375603374001</v>
      </c>
      <c r="R41" s="396">
        <f t="shared" si="459"/>
        <v>2691.6202131059631</v>
      </c>
      <c r="S41" s="396">
        <f t="shared" si="459"/>
        <v>2902.1372571211878</v>
      </c>
      <c r="T41" s="396">
        <f t="shared" si="459"/>
        <v>3115.6622409354591</v>
      </c>
      <c r="U41" s="396">
        <f t="shared" si="459"/>
        <v>3332.668755531301</v>
      </c>
      <c r="V41" s="396">
        <f t="shared" si="459"/>
        <v>3553.6009783837471</v>
      </c>
      <c r="W41" s="396">
        <f t="shared" si="459"/>
        <v>3774.7942134876384</v>
      </c>
      <c r="X41" s="396">
        <f t="shared" si="459"/>
        <v>3996.6623546421815</v>
      </c>
      <c r="Y41" s="396">
        <f t="shared" si="459"/>
        <v>4218.3216947835108</v>
      </c>
      <c r="Z41" s="396">
        <f t="shared" si="459"/>
        <v>4431.0921366099237</v>
      </c>
      <c r="AA41" s="396">
        <f t="shared" si="459"/>
        <v>38783.295768400349</v>
      </c>
      <c r="AB41" s="396">
        <f t="shared" si="459"/>
        <v>4552.5569602976639</v>
      </c>
      <c r="AC41" s="396">
        <f t="shared" si="459"/>
        <v>4701.5485246867211</v>
      </c>
      <c r="AD41" s="396">
        <f t="shared" si="459"/>
        <v>4831.5801523899609</v>
      </c>
      <c r="AE41" s="396">
        <f t="shared" si="459"/>
        <v>4963.2684753596568</v>
      </c>
      <c r="AF41" s="396">
        <f t="shared" si="459"/>
        <v>5095.075321145393</v>
      </c>
      <c r="AG41" s="396">
        <f t="shared" si="459"/>
        <v>5253.6903600283185</v>
      </c>
      <c r="AH41" s="396">
        <f t="shared" si="459"/>
        <v>5412.0039825884269</v>
      </c>
      <c r="AI41" s="396">
        <f t="shared" si="459"/>
        <v>5604.3873458150847</v>
      </c>
      <c r="AJ41" s="396">
        <f t="shared" si="459"/>
        <v>5749.1188362257762</v>
      </c>
      <c r="AK41" s="396">
        <f t="shared" si="459"/>
        <v>5954.7626654407941</v>
      </c>
      <c r="AL41" s="396">
        <f t="shared" si="459"/>
        <v>6218.6216656012111</v>
      </c>
      <c r="AM41" s="396">
        <f t="shared" si="459"/>
        <v>6424.62330188534</v>
      </c>
      <c r="AN41" s="396">
        <f t="shared" si="459"/>
        <v>64761.237591464349</v>
      </c>
      <c r="AO41" s="396">
        <f t="shared" si="459"/>
        <v>6631.3475013184607</v>
      </c>
      <c r="AP41" s="396">
        <f t="shared" si="459"/>
        <v>6754.4151962084034</v>
      </c>
      <c r="AQ41" s="396">
        <f t="shared" si="459"/>
        <v>6866.7646875733662</v>
      </c>
      <c r="AR41" s="396">
        <f t="shared" si="459"/>
        <v>6971.2721919072674</v>
      </c>
      <c r="AS41" s="396">
        <f t="shared" si="459"/>
        <v>7065.2794117040339</v>
      </c>
      <c r="AT41" s="396">
        <f t="shared" si="459"/>
        <v>7210.6821205771021</v>
      </c>
      <c r="AU41" s="396">
        <f t="shared" ref="AU41:BN41" si="460">AU17+AU30</f>
        <v>7389.1446438615549</v>
      </c>
      <c r="AV41" s="396">
        <f t="shared" si="460"/>
        <v>7601.1294754468918</v>
      </c>
      <c r="AW41" s="396">
        <f t="shared" si="460"/>
        <v>7822.1694410091259</v>
      </c>
      <c r="AX41" s="396">
        <f t="shared" si="460"/>
        <v>8031.1659451525193</v>
      </c>
      <c r="AY41" s="396">
        <f t="shared" si="460"/>
        <v>8250.4815409391576</v>
      </c>
      <c r="AZ41" s="396">
        <f t="shared" si="460"/>
        <v>8428.2180115179617</v>
      </c>
      <c r="BA41" s="396">
        <f t="shared" si="460"/>
        <v>89022.070167215832</v>
      </c>
      <c r="BB41" s="396">
        <f t="shared" si="460"/>
        <v>8479.4612404757481</v>
      </c>
      <c r="BC41" s="396">
        <f t="shared" si="460"/>
        <v>8526.3063489359683</v>
      </c>
      <c r="BD41" s="396">
        <f t="shared" si="460"/>
        <v>8499.0609583453916</v>
      </c>
      <c r="BE41" s="396">
        <f t="shared" si="460"/>
        <v>8539.6498451444659</v>
      </c>
      <c r="BF41" s="396">
        <f t="shared" si="460"/>
        <v>8610.9640393678565</v>
      </c>
      <c r="BG41" s="396">
        <f t="shared" si="460"/>
        <v>8724.5156128889939</v>
      </c>
      <c r="BH41" s="396">
        <f t="shared" si="460"/>
        <v>8892.1615007735345</v>
      </c>
      <c r="BI41" s="396">
        <f t="shared" si="460"/>
        <v>9085.354664706776</v>
      </c>
      <c r="BJ41" s="396">
        <f t="shared" si="460"/>
        <v>9278.3397584785416</v>
      </c>
      <c r="BK41" s="396">
        <f t="shared" si="460"/>
        <v>9470.9705155602514</v>
      </c>
      <c r="BL41" s="396">
        <f t="shared" si="460"/>
        <v>9717.832702107944</v>
      </c>
      <c r="BM41" s="396">
        <f t="shared" si="460"/>
        <v>10061.398078310716</v>
      </c>
      <c r="BN41" s="396">
        <f t="shared" si="460"/>
        <v>107886.01526509618</v>
      </c>
      <c r="BO41" s="396">
        <f t="shared" ref="BO41" si="461">BO17+BO30</f>
        <v>122927.8912321541</v>
      </c>
    </row>
    <row r="42" spans="1:68" x14ac:dyDescent="0.25">
      <c r="B42" s="396"/>
      <c r="C42" s="396"/>
      <c r="D42" s="396"/>
      <c r="E42" s="396"/>
      <c r="F42" s="396"/>
      <c r="G42" s="396"/>
      <c r="H42" s="396"/>
      <c r="I42" s="396"/>
      <c r="J42" s="396"/>
      <c r="K42" s="396"/>
      <c r="L42" s="396"/>
      <c r="M42" s="396"/>
      <c r="N42" s="396"/>
      <c r="O42" s="396"/>
      <c r="P42" s="396"/>
      <c r="Q42" s="396"/>
      <c r="R42" s="396"/>
      <c r="S42" s="396"/>
      <c r="T42" s="396"/>
      <c r="U42" s="396"/>
      <c r="V42" s="396"/>
      <c r="W42" s="396"/>
      <c r="X42" s="396"/>
      <c r="Y42" s="396"/>
      <c r="Z42" s="396"/>
      <c r="AA42" s="396"/>
      <c r="AB42" s="396"/>
      <c r="AC42" s="396"/>
      <c r="AD42" s="396"/>
      <c r="AE42" s="396"/>
      <c r="AF42" s="396"/>
      <c r="AG42" s="396"/>
      <c r="AH42" s="396"/>
      <c r="AI42" s="396"/>
      <c r="AJ42" s="396"/>
      <c r="AK42" s="396"/>
      <c r="AL42" s="396"/>
      <c r="AM42" s="396"/>
      <c r="AN42" s="396"/>
      <c r="AO42" s="396"/>
      <c r="AP42" s="396"/>
      <c r="AQ42" s="396"/>
      <c r="AR42" s="396"/>
      <c r="AS42" s="396"/>
      <c r="AT42" s="396"/>
      <c r="AU42" s="396"/>
      <c r="AV42" s="396"/>
      <c r="AW42" s="396"/>
      <c r="AX42" s="396"/>
      <c r="AY42" s="396"/>
      <c r="AZ42" s="396"/>
      <c r="BA42" s="396"/>
      <c r="BB42" s="396"/>
      <c r="BC42" s="396"/>
      <c r="BD42" s="396"/>
      <c r="BE42" s="396"/>
      <c r="BF42" s="396"/>
      <c r="BG42" s="396"/>
      <c r="BH42" s="396"/>
      <c r="BI42" s="396"/>
      <c r="BJ42" s="396"/>
      <c r="BK42" s="396"/>
      <c r="BL42" s="396"/>
      <c r="BM42" s="396"/>
      <c r="BN42" s="396"/>
      <c r="BO42" s="396"/>
    </row>
    <row r="43" spans="1:68" s="315" customFormat="1" x14ac:dyDescent="0.25">
      <c r="A43" s="315" t="s">
        <v>435</v>
      </c>
      <c r="B43" s="400">
        <f>B39+B41</f>
        <v>40775.223207613286</v>
      </c>
      <c r="C43" s="400">
        <f t="shared" ref="C43:M43" si="462">C39+C41</f>
        <v>40901.626399556888</v>
      </c>
      <c r="D43" s="400">
        <f t="shared" si="462"/>
        <v>41028.02959150049</v>
      </c>
      <c r="E43" s="400">
        <f t="shared" si="462"/>
        <v>41154.432783444092</v>
      </c>
      <c r="F43" s="400">
        <f t="shared" si="462"/>
        <v>44894.121975387694</v>
      </c>
      <c r="G43" s="400">
        <f t="shared" si="462"/>
        <v>63635.55935393129</v>
      </c>
      <c r="H43" s="400">
        <f t="shared" si="462"/>
        <v>65501.866614774895</v>
      </c>
      <c r="I43" s="400">
        <f t="shared" si="462"/>
        <v>62109.230417379105</v>
      </c>
      <c r="J43" s="400">
        <f t="shared" si="462"/>
        <v>61168.383384875044</v>
      </c>
      <c r="K43" s="400">
        <f t="shared" si="462"/>
        <v>62067.072475405381</v>
      </c>
      <c r="L43" s="400">
        <f t="shared" si="462"/>
        <v>66634.423970131757</v>
      </c>
      <c r="M43" s="400">
        <f t="shared" si="462"/>
        <v>75598.956536653786</v>
      </c>
      <c r="N43" s="400">
        <f>SUM(B43:M43)</f>
        <v>665468.92671065382</v>
      </c>
      <c r="O43" s="400">
        <f>O39+O41</f>
        <v>74243.671598670218</v>
      </c>
      <c r="P43" s="400">
        <f t="shared" ref="P43:Z43" si="463">P39+P41</f>
        <v>73743.752009986099</v>
      </c>
      <c r="Q43" s="400">
        <f t="shared" si="463"/>
        <v>71407.825550196401</v>
      </c>
      <c r="R43" s="400">
        <f t="shared" si="463"/>
        <v>70600.344088984799</v>
      </c>
      <c r="S43" s="400">
        <f t="shared" si="463"/>
        <v>71781.164293983093</v>
      </c>
      <c r="T43" s="400">
        <f t="shared" si="463"/>
        <v>73117.763723465177</v>
      </c>
      <c r="U43" s="400">
        <f t="shared" si="463"/>
        <v>74601.127740191048</v>
      </c>
      <c r="V43" s="400">
        <f t="shared" si="463"/>
        <v>74906.257463510192</v>
      </c>
      <c r="W43" s="400">
        <f t="shared" si="463"/>
        <v>75345.162327856364</v>
      </c>
      <c r="X43" s="400">
        <f t="shared" si="463"/>
        <v>75499.675303458047</v>
      </c>
      <c r="Y43" s="400">
        <f t="shared" si="463"/>
        <v>72853.948090400692</v>
      </c>
      <c r="Z43" s="400">
        <f t="shared" si="463"/>
        <v>43613.293326203304</v>
      </c>
      <c r="AA43" s="400">
        <f t="shared" ref="AA43" si="464">AA39+AA41</f>
        <v>851713.98551690544</v>
      </c>
      <c r="AB43" s="400">
        <f>AB39+AB41</f>
        <v>52614.351924509407</v>
      </c>
      <c r="AC43" s="400">
        <f t="shared" ref="AC43:AN43" si="465">AC39+AC41</f>
        <v>46647.234880570948</v>
      </c>
      <c r="AD43" s="400">
        <f t="shared" si="465"/>
        <v>47311.684336162594</v>
      </c>
      <c r="AE43" s="400">
        <f t="shared" si="465"/>
        <v>47481.605825597449</v>
      </c>
      <c r="AF43" s="400">
        <f t="shared" si="465"/>
        <v>56261.216896282458</v>
      </c>
      <c r="AG43" s="400">
        <f t="shared" si="465"/>
        <v>56322.600863288731</v>
      </c>
      <c r="AH43" s="400">
        <f t="shared" si="465"/>
        <v>67471.1534105428</v>
      </c>
      <c r="AI43" s="400">
        <f t="shared" si="465"/>
        <v>52291.964897651123</v>
      </c>
      <c r="AJ43" s="400">
        <f t="shared" si="465"/>
        <v>72085.837937844</v>
      </c>
      <c r="AK43" s="400">
        <f t="shared" si="465"/>
        <v>91070.569168801128</v>
      </c>
      <c r="AL43" s="400">
        <f t="shared" si="465"/>
        <v>72670.762402416905</v>
      </c>
      <c r="AM43" s="400">
        <f t="shared" si="465"/>
        <v>73109.84892547279</v>
      </c>
      <c r="AN43" s="400">
        <f t="shared" si="465"/>
        <v>735338.83146914036</v>
      </c>
      <c r="AO43" s="400">
        <f>AO39+AO41</f>
        <v>46330.603917429231</v>
      </c>
      <c r="AP43" s="400">
        <f t="shared" ref="AP43:BA43" si="466">AP39+AP41</f>
        <v>42996.186604260554</v>
      </c>
      <c r="AQ43" s="400">
        <f t="shared" si="466"/>
        <v>40578.862859799614</v>
      </c>
      <c r="AR43" s="400">
        <f t="shared" si="466"/>
        <v>37296.181803767839</v>
      </c>
      <c r="AS43" s="400">
        <f t="shared" si="466"/>
        <v>53969.379048177463</v>
      </c>
      <c r="AT43" s="400">
        <f t="shared" si="466"/>
        <v>64779.238018788041</v>
      </c>
      <c r="AU43" s="400">
        <f t="shared" si="466"/>
        <v>75771.34838106668</v>
      </c>
      <c r="AV43" s="400">
        <f t="shared" si="466"/>
        <v>78904.344172941972</v>
      </c>
      <c r="AW43" s="400">
        <f t="shared" si="466"/>
        <v>75240.396584039132</v>
      </c>
      <c r="AX43" s="400">
        <f t="shared" si="466"/>
        <v>78778.132327938656</v>
      </c>
      <c r="AY43" s="400">
        <f t="shared" si="466"/>
        <v>65584.826888940341</v>
      </c>
      <c r="AZ43" s="400">
        <f t="shared" si="466"/>
        <v>24958.291868868673</v>
      </c>
      <c r="BA43" s="400">
        <f t="shared" si="466"/>
        <v>685187.79247601843</v>
      </c>
      <c r="BB43" s="400">
        <f>BB39+BB41</f>
        <v>23590.786550224133</v>
      </c>
      <c r="BC43" s="400">
        <f t="shared" ref="BC43:BN43" si="467">BC39+BC41</f>
        <v>-262.52932544343093</v>
      </c>
      <c r="BD43" s="400">
        <f t="shared" si="467"/>
        <v>21592.250248369324</v>
      </c>
      <c r="BE43" s="400">
        <f t="shared" si="467"/>
        <v>31544.228626883632</v>
      </c>
      <c r="BF43" s="400">
        <f t="shared" si="467"/>
        <v>45240.503884896418</v>
      </c>
      <c r="BG43" s="400">
        <f t="shared" si="467"/>
        <v>62803.834285320707</v>
      </c>
      <c r="BH43" s="400">
        <f t="shared" si="467"/>
        <v>71212.536963109567</v>
      </c>
      <c r="BI43" s="400">
        <f t="shared" si="467"/>
        <v>71338.61072011471</v>
      </c>
      <c r="BJ43" s="400">
        <f t="shared" si="467"/>
        <v>71417.293655804824</v>
      </c>
      <c r="BK43" s="400">
        <f t="shared" si="467"/>
        <v>89103.93391804173</v>
      </c>
      <c r="BL43" s="400">
        <f t="shared" si="467"/>
        <v>120545.3734126799</v>
      </c>
      <c r="BM43" s="400">
        <f t="shared" si="467"/>
        <v>68962.31991770571</v>
      </c>
      <c r="BN43" s="400">
        <f t="shared" si="467"/>
        <v>677089.14285770722</v>
      </c>
      <c r="BO43" s="400">
        <f t="shared" ref="BO43" si="468">BO39+BO41</f>
        <v>122927.8912321541</v>
      </c>
    </row>
    <row r="44" spans="1:68" s="315" customFormat="1" x14ac:dyDescent="0.25">
      <c r="A44" s="394" t="s">
        <v>452</v>
      </c>
      <c r="B44" s="409">
        <f>B43</f>
        <v>40775.223207613286</v>
      </c>
      <c r="C44" s="409">
        <f>C43+B44</f>
        <v>81676.849607170181</v>
      </c>
      <c r="D44" s="409">
        <f t="shared" ref="D44:M44" si="469">D43+C44</f>
        <v>122704.87919867068</v>
      </c>
      <c r="E44" s="409">
        <f t="shared" si="469"/>
        <v>163859.31198211477</v>
      </c>
      <c r="F44" s="409">
        <f t="shared" si="469"/>
        <v>208753.43395750248</v>
      </c>
      <c r="G44" s="409">
        <f t="shared" si="469"/>
        <v>272388.99331143376</v>
      </c>
      <c r="H44" s="409">
        <f t="shared" si="469"/>
        <v>337890.85992620868</v>
      </c>
      <c r="I44" s="409">
        <f t="shared" si="469"/>
        <v>400000.0903435878</v>
      </c>
      <c r="J44" s="409">
        <f t="shared" si="469"/>
        <v>461168.47372846282</v>
      </c>
      <c r="K44" s="409">
        <f t="shared" si="469"/>
        <v>523235.54620386823</v>
      </c>
      <c r="L44" s="409">
        <f t="shared" si="469"/>
        <v>589869.97017400002</v>
      </c>
      <c r="M44" s="409">
        <f t="shared" si="469"/>
        <v>665468.92671065382</v>
      </c>
      <c r="N44" s="410">
        <f>M44</f>
        <v>665468.92671065382</v>
      </c>
      <c r="O44" s="409">
        <f>O43+N44</f>
        <v>739712.59830932401</v>
      </c>
      <c r="P44" s="409">
        <f t="shared" ref="P44:Z44" si="470">P43+O44</f>
        <v>813456.35031931009</v>
      </c>
      <c r="Q44" s="409">
        <f t="shared" si="470"/>
        <v>884864.17586950655</v>
      </c>
      <c r="R44" s="409">
        <f t="shared" si="470"/>
        <v>955464.51995849132</v>
      </c>
      <c r="S44" s="409">
        <f t="shared" si="470"/>
        <v>1027245.6842524745</v>
      </c>
      <c r="T44" s="409">
        <f t="shared" si="470"/>
        <v>1100363.4479759396</v>
      </c>
      <c r="U44" s="409">
        <f t="shared" si="470"/>
        <v>1174964.5757161307</v>
      </c>
      <c r="V44" s="409">
        <f t="shared" si="470"/>
        <v>1249870.8331796408</v>
      </c>
      <c r="W44" s="409">
        <f t="shared" si="470"/>
        <v>1325215.9955074971</v>
      </c>
      <c r="X44" s="409">
        <f t="shared" si="470"/>
        <v>1400715.6708109551</v>
      </c>
      <c r="Y44" s="409">
        <f t="shared" si="470"/>
        <v>1473569.6189013559</v>
      </c>
      <c r="Z44" s="409">
        <f t="shared" si="470"/>
        <v>1517182.9122275591</v>
      </c>
      <c r="AA44" s="410">
        <f>Z44</f>
        <v>1517182.9122275591</v>
      </c>
      <c r="AB44" s="409">
        <f>AB43+AA44</f>
        <v>1569797.2641520686</v>
      </c>
      <c r="AC44" s="409">
        <f t="shared" ref="AC44" si="471">AC43+AB44</f>
        <v>1616444.4990326397</v>
      </c>
      <c r="AD44" s="409">
        <f t="shared" ref="AD44" si="472">AD43+AC44</f>
        <v>1663756.1833688023</v>
      </c>
      <c r="AE44" s="409">
        <f t="shared" ref="AE44" si="473">AE43+AD44</f>
        <v>1711237.7891943997</v>
      </c>
      <c r="AF44" s="409">
        <f t="shared" ref="AF44" si="474">AF43+AE44</f>
        <v>1767499.0060906822</v>
      </c>
      <c r="AG44" s="409">
        <f t="shared" ref="AG44" si="475">AG43+AF44</f>
        <v>1823821.6069539709</v>
      </c>
      <c r="AH44" s="409">
        <f t="shared" ref="AH44" si="476">AH43+AG44</f>
        <v>1891292.7603645136</v>
      </c>
      <c r="AI44" s="409">
        <f t="shared" ref="AI44" si="477">AI43+AH44</f>
        <v>1943584.7252621648</v>
      </c>
      <c r="AJ44" s="409">
        <f t="shared" ref="AJ44" si="478">AJ43+AI44</f>
        <v>2015670.5632000088</v>
      </c>
      <c r="AK44" s="409">
        <f t="shared" ref="AK44" si="479">AK43+AJ44</f>
        <v>2106741.13236881</v>
      </c>
      <c r="AL44" s="409">
        <f t="shared" ref="AL44" si="480">AL43+AK44</f>
        <v>2179411.8947712267</v>
      </c>
      <c r="AM44" s="409">
        <f t="shared" ref="AM44" si="481">AM43+AL44</f>
        <v>2252521.7436966994</v>
      </c>
      <c r="AN44" s="410">
        <f>AM44</f>
        <v>2252521.7436966994</v>
      </c>
      <c r="AO44" s="409">
        <f>AO43+AN44</f>
        <v>2298852.3476141286</v>
      </c>
      <c r="AP44" s="409">
        <f t="shared" ref="AP44" si="482">AP43+AO44</f>
        <v>2341848.5342183891</v>
      </c>
      <c r="AQ44" s="409">
        <f t="shared" ref="AQ44" si="483">AQ43+AP44</f>
        <v>2382427.3970781886</v>
      </c>
      <c r="AR44" s="409">
        <f t="shared" ref="AR44" si="484">AR43+AQ44</f>
        <v>2419723.5788819566</v>
      </c>
      <c r="AS44" s="409">
        <f t="shared" ref="AS44" si="485">AS43+AR44</f>
        <v>2473692.9579301341</v>
      </c>
      <c r="AT44" s="409">
        <f t="shared" ref="AT44" si="486">AT43+AS44</f>
        <v>2538472.1959489221</v>
      </c>
      <c r="AU44" s="409">
        <f t="shared" ref="AU44" si="487">AU43+AT44</f>
        <v>2614243.5443299888</v>
      </c>
      <c r="AV44" s="409">
        <f t="shared" ref="AV44" si="488">AV43+AU44</f>
        <v>2693147.8885029308</v>
      </c>
      <c r="AW44" s="409">
        <f t="shared" ref="AW44" si="489">AW43+AV44</f>
        <v>2768388.2850869698</v>
      </c>
      <c r="AX44" s="409">
        <f t="shared" ref="AX44" si="490">AX43+AW44</f>
        <v>2847166.4174149083</v>
      </c>
      <c r="AY44" s="409">
        <f t="shared" ref="AY44" si="491">AY43+AX44</f>
        <v>2912751.2443038486</v>
      </c>
      <c r="AZ44" s="409">
        <f t="shared" ref="AZ44" si="492">AZ43+AY44</f>
        <v>2937709.5361727173</v>
      </c>
      <c r="BA44" s="410">
        <f>AZ44</f>
        <v>2937709.5361727173</v>
      </c>
      <c r="BB44" s="409">
        <f>BB43+BA44</f>
        <v>2961300.3227229416</v>
      </c>
      <c r="BC44" s="409">
        <f t="shared" ref="BC44" si="493">BC43+BB44</f>
        <v>2961037.7933974983</v>
      </c>
      <c r="BD44" s="409">
        <f t="shared" ref="BD44" si="494">BD43+BC44</f>
        <v>2982630.0436458676</v>
      </c>
      <c r="BE44" s="409">
        <f t="shared" ref="BE44" si="495">BE43+BD44</f>
        <v>3014174.2722727512</v>
      </c>
      <c r="BF44" s="409">
        <f t="shared" ref="BF44" si="496">BF43+BE44</f>
        <v>3059414.7761576478</v>
      </c>
      <c r="BG44" s="409">
        <f t="shared" ref="BG44" si="497">BG43+BF44</f>
        <v>3122218.6104429686</v>
      </c>
      <c r="BH44" s="409">
        <f t="shared" ref="BH44" si="498">BH43+BG44</f>
        <v>3193431.1474060779</v>
      </c>
      <c r="BI44" s="409">
        <f t="shared" ref="BI44" si="499">BI43+BH44</f>
        <v>3264769.7581261927</v>
      </c>
      <c r="BJ44" s="409">
        <f t="shared" ref="BJ44" si="500">BJ43+BI44</f>
        <v>3336187.0517819976</v>
      </c>
      <c r="BK44" s="409">
        <f t="shared" ref="BK44" si="501">BK43+BJ44</f>
        <v>3425290.9857000392</v>
      </c>
      <c r="BL44" s="409">
        <f t="shared" ref="BL44" si="502">BL43+BK44</f>
        <v>3545836.3591127191</v>
      </c>
      <c r="BM44" s="409">
        <f t="shared" ref="BM44:BO44" si="503">BM43+BL44</f>
        <v>3614798.6790304249</v>
      </c>
      <c r="BN44" s="410">
        <f>BM44</f>
        <v>3614798.6790304249</v>
      </c>
      <c r="BO44" s="409">
        <f t="shared" si="503"/>
        <v>3737726.5702625792</v>
      </c>
      <c r="BP44" s="411"/>
    </row>
    <row r="47" spans="1:68" x14ac:dyDescent="0.25">
      <c r="N47" s="393"/>
      <c r="AA47" s="393"/>
      <c r="AN47" s="393"/>
      <c r="BA47" s="393"/>
      <c r="BN47" s="393"/>
      <c r="BO47" s="393"/>
    </row>
  </sheetData>
  <mergeCells count="1">
    <mergeCell ref="A1:A2"/>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13735-4DEA-42B4-99EB-DF639D15B130}">
  <sheetPr>
    <tabColor rgb="FF00B0F0"/>
  </sheetPr>
  <dimension ref="A1:BP47"/>
  <sheetViews>
    <sheetView showGridLines="0" zoomScale="80" zoomScaleNormal="80" workbookViewId="0">
      <pane xSplit="1" ySplit="2" topLeftCell="B3" activePane="bottomRight" state="frozen"/>
      <selection activeCell="CB42" sqref="CB42"/>
      <selection pane="topRight" activeCell="CB42" sqref="CB42"/>
      <selection pane="bottomLeft" activeCell="CB42" sqref="CB42"/>
      <selection pane="bottomRight" activeCell="BT24" sqref="BT24"/>
    </sheetView>
  </sheetViews>
  <sheetFormatPr defaultRowHeight="15" outlineLevelCol="1" x14ac:dyDescent="0.25"/>
  <cols>
    <col min="1" max="1" width="26.7109375" style="315" customWidth="1"/>
    <col min="2" max="13" width="10.7109375" style="391" hidden="1" customWidth="1" outlineLevel="1"/>
    <col min="14" max="14" width="12.42578125" style="391" customWidth="1" collapsed="1"/>
    <col min="15" max="26" width="10.7109375" style="391" hidden="1" customWidth="1" outlineLevel="1"/>
    <col min="27" max="27" width="12.42578125" style="391" customWidth="1" collapsed="1"/>
    <col min="28" max="39" width="10.7109375" style="391" hidden="1" customWidth="1" outlineLevel="1"/>
    <col min="40" max="40" width="12.42578125" style="391" customWidth="1" collapsed="1"/>
    <col min="41" max="52" width="10.7109375" style="391" hidden="1" customWidth="1" outlineLevel="1"/>
    <col min="53" max="53" width="12.42578125" style="391" customWidth="1" collapsed="1"/>
    <col min="54" max="65" width="10.7109375" style="391" hidden="1" customWidth="1" outlineLevel="1"/>
    <col min="66" max="66" width="12.42578125" style="391" customWidth="1" collapsed="1"/>
    <col min="67" max="67" width="12.42578125" style="391" customWidth="1"/>
    <col min="68" max="68" width="10.85546875" bestFit="1" customWidth="1"/>
  </cols>
  <sheetData>
    <row r="1" spans="1:67" s="315" customFormat="1" ht="21" customHeight="1" x14ac:dyDescent="0.25">
      <c r="A1" s="508" t="s">
        <v>453</v>
      </c>
      <c r="B1" s="395">
        <v>2020</v>
      </c>
      <c r="C1" s="395">
        <v>2020</v>
      </c>
      <c r="D1" s="395">
        <v>2020</v>
      </c>
      <c r="E1" s="395">
        <v>2020</v>
      </c>
      <c r="F1" s="395">
        <v>2020</v>
      </c>
      <c r="G1" s="395">
        <v>2020</v>
      </c>
      <c r="H1" s="395">
        <v>2020</v>
      </c>
      <c r="I1" s="395">
        <v>2020</v>
      </c>
      <c r="J1" s="395">
        <v>2020</v>
      </c>
      <c r="K1" s="395">
        <v>2020</v>
      </c>
      <c r="L1" s="395">
        <v>2020</v>
      </c>
      <c r="M1" s="395">
        <v>2020</v>
      </c>
      <c r="N1" s="395">
        <v>2020</v>
      </c>
      <c r="O1" s="395">
        <v>2021</v>
      </c>
      <c r="P1" s="395">
        <v>2021</v>
      </c>
      <c r="Q1" s="395">
        <v>2021</v>
      </c>
      <c r="R1" s="395">
        <v>2021</v>
      </c>
      <c r="S1" s="395">
        <v>2021</v>
      </c>
      <c r="T1" s="395">
        <v>2021</v>
      </c>
      <c r="U1" s="395">
        <v>2021</v>
      </c>
      <c r="V1" s="395">
        <v>2021</v>
      </c>
      <c r="W1" s="395">
        <v>2021</v>
      </c>
      <c r="X1" s="395">
        <v>2021</v>
      </c>
      <c r="Y1" s="395">
        <v>2021</v>
      </c>
      <c r="Z1" s="395">
        <v>2021</v>
      </c>
      <c r="AA1" s="395">
        <v>2021</v>
      </c>
      <c r="AB1" s="395">
        <v>2022</v>
      </c>
      <c r="AC1" s="395">
        <v>2022</v>
      </c>
      <c r="AD1" s="395">
        <v>2022</v>
      </c>
      <c r="AE1" s="395">
        <v>2022</v>
      </c>
      <c r="AF1" s="395">
        <v>2022</v>
      </c>
      <c r="AG1" s="395">
        <v>2022</v>
      </c>
      <c r="AH1" s="395">
        <v>2022</v>
      </c>
      <c r="AI1" s="395">
        <v>2022</v>
      </c>
      <c r="AJ1" s="395">
        <v>2022</v>
      </c>
      <c r="AK1" s="395">
        <v>2022</v>
      </c>
      <c r="AL1" s="395">
        <v>2022</v>
      </c>
      <c r="AM1" s="395">
        <v>2022</v>
      </c>
      <c r="AN1" s="395">
        <v>2022</v>
      </c>
      <c r="AO1" s="395">
        <v>2023</v>
      </c>
      <c r="AP1" s="395">
        <v>2023</v>
      </c>
      <c r="AQ1" s="395">
        <v>2023</v>
      </c>
      <c r="AR1" s="395">
        <v>2023</v>
      </c>
      <c r="AS1" s="395">
        <v>2023</v>
      </c>
      <c r="AT1" s="395">
        <v>2023</v>
      </c>
      <c r="AU1" s="395">
        <v>2023</v>
      </c>
      <c r="AV1" s="395">
        <v>2023</v>
      </c>
      <c r="AW1" s="395">
        <v>2023</v>
      </c>
      <c r="AX1" s="395">
        <v>2023</v>
      </c>
      <c r="AY1" s="395">
        <v>2023</v>
      </c>
      <c r="AZ1" s="395">
        <v>2023</v>
      </c>
      <c r="BA1" s="395">
        <v>2023</v>
      </c>
      <c r="BB1" s="395">
        <v>2024</v>
      </c>
      <c r="BC1" s="395">
        <v>2024</v>
      </c>
      <c r="BD1" s="395">
        <v>2024</v>
      </c>
      <c r="BE1" s="395">
        <v>2024</v>
      </c>
      <c r="BF1" s="395">
        <v>2024</v>
      </c>
      <c r="BG1" s="395">
        <v>2024</v>
      </c>
      <c r="BH1" s="395">
        <v>2024</v>
      </c>
      <c r="BI1" s="395">
        <v>2024</v>
      </c>
      <c r="BJ1" s="395">
        <v>2024</v>
      </c>
      <c r="BK1" s="395">
        <v>2024</v>
      </c>
      <c r="BL1" s="395">
        <v>2024</v>
      </c>
      <c r="BM1" s="395">
        <v>2024</v>
      </c>
      <c r="BN1" s="395">
        <v>2024</v>
      </c>
      <c r="BO1" s="395">
        <v>2025</v>
      </c>
    </row>
    <row r="2" spans="1:67" s="315" customFormat="1" x14ac:dyDescent="0.25">
      <c r="A2" s="509"/>
      <c r="B2" s="399" t="s">
        <v>420</v>
      </c>
      <c r="C2" s="399" t="s">
        <v>421</v>
      </c>
      <c r="D2" s="399" t="s">
        <v>422</v>
      </c>
      <c r="E2" s="399" t="s">
        <v>423</v>
      </c>
      <c r="F2" s="399" t="s">
        <v>424</v>
      </c>
      <c r="G2" s="399" t="s">
        <v>425</v>
      </c>
      <c r="H2" s="399" t="s">
        <v>426</v>
      </c>
      <c r="I2" s="399" t="s">
        <v>427</v>
      </c>
      <c r="J2" s="399" t="s">
        <v>428</v>
      </c>
      <c r="K2" s="399" t="s">
        <v>429</v>
      </c>
      <c r="L2" s="399" t="s">
        <v>430</v>
      </c>
      <c r="M2" s="399" t="s">
        <v>431</v>
      </c>
      <c r="N2" s="399" t="s">
        <v>343</v>
      </c>
      <c r="O2" s="399" t="s">
        <v>420</v>
      </c>
      <c r="P2" s="399" t="s">
        <v>421</v>
      </c>
      <c r="Q2" s="399" t="s">
        <v>422</v>
      </c>
      <c r="R2" s="399" t="s">
        <v>423</v>
      </c>
      <c r="S2" s="399" t="s">
        <v>424</v>
      </c>
      <c r="T2" s="399" t="s">
        <v>425</v>
      </c>
      <c r="U2" s="399" t="s">
        <v>426</v>
      </c>
      <c r="V2" s="399" t="s">
        <v>427</v>
      </c>
      <c r="W2" s="399" t="s">
        <v>428</v>
      </c>
      <c r="X2" s="399" t="s">
        <v>429</v>
      </c>
      <c r="Y2" s="399" t="s">
        <v>430</v>
      </c>
      <c r="Z2" s="399" t="s">
        <v>431</v>
      </c>
      <c r="AA2" s="399" t="s">
        <v>343</v>
      </c>
      <c r="AB2" s="399" t="s">
        <v>420</v>
      </c>
      <c r="AC2" s="399" t="s">
        <v>421</v>
      </c>
      <c r="AD2" s="399" t="s">
        <v>422</v>
      </c>
      <c r="AE2" s="399" t="s">
        <v>423</v>
      </c>
      <c r="AF2" s="399" t="s">
        <v>424</v>
      </c>
      <c r="AG2" s="399" t="s">
        <v>425</v>
      </c>
      <c r="AH2" s="399" t="s">
        <v>426</v>
      </c>
      <c r="AI2" s="399" t="s">
        <v>427</v>
      </c>
      <c r="AJ2" s="399" t="s">
        <v>428</v>
      </c>
      <c r="AK2" s="399" t="s">
        <v>429</v>
      </c>
      <c r="AL2" s="399" t="s">
        <v>430</v>
      </c>
      <c r="AM2" s="399" t="s">
        <v>431</v>
      </c>
      <c r="AN2" s="399" t="s">
        <v>343</v>
      </c>
      <c r="AO2" s="399" t="s">
        <v>420</v>
      </c>
      <c r="AP2" s="399" t="s">
        <v>421</v>
      </c>
      <c r="AQ2" s="399" t="s">
        <v>422</v>
      </c>
      <c r="AR2" s="399" t="s">
        <v>423</v>
      </c>
      <c r="AS2" s="399" t="s">
        <v>424</v>
      </c>
      <c r="AT2" s="399" t="s">
        <v>425</v>
      </c>
      <c r="AU2" s="399" t="s">
        <v>426</v>
      </c>
      <c r="AV2" s="399" t="s">
        <v>427</v>
      </c>
      <c r="AW2" s="399" t="s">
        <v>428</v>
      </c>
      <c r="AX2" s="399" t="s">
        <v>429</v>
      </c>
      <c r="AY2" s="399" t="s">
        <v>430</v>
      </c>
      <c r="AZ2" s="399" t="s">
        <v>431</v>
      </c>
      <c r="BA2" s="399" t="s">
        <v>343</v>
      </c>
      <c r="BB2" s="399" t="s">
        <v>420</v>
      </c>
      <c r="BC2" s="399" t="s">
        <v>421</v>
      </c>
      <c r="BD2" s="399" t="s">
        <v>422</v>
      </c>
      <c r="BE2" s="399" t="s">
        <v>423</v>
      </c>
      <c r="BF2" s="399" t="s">
        <v>424</v>
      </c>
      <c r="BG2" s="399" t="s">
        <v>425</v>
      </c>
      <c r="BH2" s="399" t="s">
        <v>426</v>
      </c>
      <c r="BI2" s="399" t="s">
        <v>427</v>
      </c>
      <c r="BJ2" s="399" t="s">
        <v>428</v>
      </c>
      <c r="BK2" s="399" t="s">
        <v>429</v>
      </c>
      <c r="BL2" s="399" t="s">
        <v>430</v>
      </c>
      <c r="BM2" s="399" t="s">
        <v>431</v>
      </c>
      <c r="BN2" s="399" t="s">
        <v>343</v>
      </c>
      <c r="BO2" s="399" t="s">
        <v>343</v>
      </c>
    </row>
    <row r="3" spans="1:67" x14ac:dyDescent="0.25">
      <c r="A3" s="401" t="s">
        <v>438</v>
      </c>
      <c r="B3" s="396"/>
      <c r="C3" s="396"/>
      <c r="D3" s="396"/>
      <c r="E3" s="396"/>
      <c r="F3" s="396"/>
      <c r="G3" s="396"/>
      <c r="H3" s="396"/>
      <c r="I3" s="396"/>
      <c r="J3" s="396"/>
      <c r="K3" s="396"/>
      <c r="L3" s="396"/>
      <c r="M3" s="396"/>
      <c r="N3" s="396"/>
      <c r="O3" s="396"/>
      <c r="P3" s="396"/>
      <c r="Q3" s="396"/>
      <c r="R3" s="396"/>
      <c r="S3" s="396"/>
      <c r="T3" s="396"/>
      <c r="U3" s="396"/>
      <c r="V3" s="396"/>
      <c r="W3" s="396"/>
      <c r="X3" s="396"/>
      <c r="Y3" s="396"/>
      <c r="Z3" s="396"/>
      <c r="AA3" s="396"/>
      <c r="AB3" s="396"/>
      <c r="AC3" s="396"/>
      <c r="AD3" s="396"/>
      <c r="AE3" s="396"/>
      <c r="AF3" s="396"/>
      <c r="AG3" s="396"/>
      <c r="AH3" s="396"/>
      <c r="AI3" s="396"/>
      <c r="AJ3" s="396"/>
      <c r="AK3" s="396"/>
      <c r="AL3" s="396"/>
      <c r="AM3" s="396"/>
      <c r="AN3" s="396"/>
      <c r="AO3" s="396"/>
      <c r="AP3" s="396"/>
      <c r="AQ3" s="396"/>
      <c r="AR3" s="396"/>
      <c r="AS3" s="396"/>
      <c r="AT3" s="396"/>
      <c r="AU3" s="396"/>
      <c r="AV3" s="396"/>
      <c r="AW3" s="396"/>
      <c r="AX3" s="396"/>
      <c r="AY3" s="396"/>
      <c r="AZ3" s="396"/>
      <c r="BA3" s="396"/>
      <c r="BB3" s="396"/>
      <c r="BC3" s="396"/>
      <c r="BD3" s="396"/>
      <c r="BE3" s="396"/>
      <c r="BF3" s="396"/>
      <c r="BG3" s="396"/>
      <c r="BH3" s="396"/>
      <c r="BI3" s="396"/>
      <c r="BJ3" s="396"/>
      <c r="BK3" s="396"/>
      <c r="BL3" s="396"/>
      <c r="BM3" s="396"/>
      <c r="BN3" s="396"/>
      <c r="BO3" s="396"/>
    </row>
    <row r="4" spans="1:67" x14ac:dyDescent="0.25">
      <c r="A4" s="392" t="s">
        <v>137</v>
      </c>
      <c r="B4" s="396">
        <v>0</v>
      </c>
      <c r="C4" s="396">
        <v>0</v>
      </c>
      <c r="D4" s="396">
        <v>0</v>
      </c>
      <c r="E4" s="396">
        <v>0</v>
      </c>
      <c r="F4" s="396">
        <v>0</v>
      </c>
      <c r="G4" s="396">
        <v>0</v>
      </c>
      <c r="H4" s="396">
        <v>0</v>
      </c>
      <c r="I4" s="396">
        <v>0</v>
      </c>
      <c r="J4" s="396">
        <v>0</v>
      </c>
      <c r="K4" s="396">
        <v>0</v>
      </c>
      <c r="L4" s="396">
        <v>0</v>
      </c>
      <c r="M4" s="396">
        <v>0</v>
      </c>
      <c r="N4" s="396">
        <f>SUM(B4:M4)</f>
        <v>0</v>
      </c>
      <c r="O4" s="396">
        <v>0</v>
      </c>
      <c r="P4" s="396">
        <v>0</v>
      </c>
      <c r="Q4" s="396">
        <v>0</v>
      </c>
      <c r="R4" s="396">
        <v>0</v>
      </c>
      <c r="S4" s="396">
        <v>0</v>
      </c>
      <c r="T4" s="396">
        <v>0</v>
      </c>
      <c r="U4" s="396">
        <v>0</v>
      </c>
      <c r="V4" s="396">
        <v>0</v>
      </c>
      <c r="W4" s="396">
        <v>0</v>
      </c>
      <c r="X4" s="396">
        <v>0</v>
      </c>
      <c r="Y4" s="396">
        <v>0</v>
      </c>
      <c r="Z4" s="396">
        <v>0</v>
      </c>
      <c r="AA4" s="396">
        <f>SUM(O4:Z4)</f>
        <v>0</v>
      </c>
      <c r="AB4" s="396">
        <v>0</v>
      </c>
      <c r="AC4" s="396">
        <v>0</v>
      </c>
      <c r="AD4" s="396">
        <v>0</v>
      </c>
      <c r="AE4" s="396">
        <v>0</v>
      </c>
      <c r="AF4" s="396">
        <v>0</v>
      </c>
      <c r="AG4" s="396">
        <v>0</v>
      </c>
      <c r="AH4" s="396">
        <v>0</v>
      </c>
      <c r="AI4" s="396">
        <v>0</v>
      </c>
      <c r="AJ4" s="396">
        <v>0</v>
      </c>
      <c r="AK4" s="396">
        <v>0</v>
      </c>
      <c r="AL4" s="396">
        <v>0</v>
      </c>
      <c r="AM4" s="396">
        <v>0</v>
      </c>
      <c r="AN4" s="396">
        <f>SUM(AB4:AM4)</f>
        <v>0</v>
      </c>
      <c r="AO4" s="396">
        <v>0</v>
      </c>
      <c r="AP4" s="396">
        <v>0</v>
      </c>
      <c r="AQ4" s="396">
        <v>0</v>
      </c>
      <c r="AR4" s="396">
        <v>0</v>
      </c>
      <c r="AS4" s="396">
        <v>0</v>
      </c>
      <c r="AT4" s="396">
        <v>0</v>
      </c>
      <c r="AU4" s="396">
        <v>0</v>
      </c>
      <c r="AV4" s="396">
        <v>0</v>
      </c>
      <c r="AW4" s="396">
        <v>0</v>
      </c>
      <c r="AX4" s="396">
        <v>0</v>
      </c>
      <c r="AY4" s="396">
        <v>0</v>
      </c>
      <c r="AZ4" s="396">
        <v>0</v>
      </c>
      <c r="BA4" s="396">
        <f>SUM(AO4:AZ4)</f>
        <v>0</v>
      </c>
      <c r="BB4" s="396">
        <v>0</v>
      </c>
      <c r="BC4" s="396">
        <v>0</v>
      </c>
      <c r="BD4" s="396">
        <v>0</v>
      </c>
      <c r="BE4" s="396">
        <v>0</v>
      </c>
      <c r="BF4" s="396">
        <v>0</v>
      </c>
      <c r="BG4" s="396">
        <v>0</v>
      </c>
      <c r="BH4" s="396">
        <v>0</v>
      </c>
      <c r="BI4" s="396">
        <v>0</v>
      </c>
      <c r="BJ4" s="396">
        <v>0</v>
      </c>
      <c r="BK4" s="396">
        <v>0</v>
      </c>
      <c r="BL4" s="396">
        <v>0</v>
      </c>
      <c r="BM4" s="396">
        <v>0</v>
      </c>
      <c r="BN4" s="396">
        <f>SUM(BB4:BM4)</f>
        <v>0</v>
      </c>
      <c r="BO4" s="396"/>
    </row>
    <row r="5" spans="1:67" x14ac:dyDescent="0.25">
      <c r="A5" s="392" t="s">
        <v>349</v>
      </c>
      <c r="B5" s="396">
        <f>Allocation!C4</f>
        <v>0</v>
      </c>
      <c r="C5" s="396">
        <f>Allocation!D4</f>
        <v>0</v>
      </c>
      <c r="D5" s="396">
        <f>Allocation!E4</f>
        <v>0</v>
      </c>
      <c r="E5" s="396">
        <f>Allocation!F4</f>
        <v>0</v>
      </c>
      <c r="F5" s="396">
        <f>Allocation!G4</f>
        <v>0</v>
      </c>
      <c r="G5" s="396">
        <f>Allocation!H4</f>
        <v>0</v>
      </c>
      <c r="H5" s="396">
        <f>Allocation!I4</f>
        <v>0</v>
      </c>
      <c r="I5" s="396">
        <f>Allocation!J4</f>
        <v>7355.2852188498155</v>
      </c>
      <c r="J5" s="396">
        <f>Allocation!K4</f>
        <v>7736.269487458153</v>
      </c>
      <c r="K5" s="396">
        <f>Allocation!L4</f>
        <v>7777.6154874581525</v>
      </c>
      <c r="L5" s="396">
        <f>Allocation!M4</f>
        <v>11442.731486384928</v>
      </c>
      <c r="M5" s="396">
        <f>Allocation!N4</f>
        <v>17257.701565359999</v>
      </c>
      <c r="N5" s="396">
        <f t="shared" ref="N5:N8" si="0">SUM(B5:M5)</f>
        <v>51569.60324551104</v>
      </c>
      <c r="O5" s="396">
        <f>Allocation!P4-O4</f>
        <v>17528.807120917405</v>
      </c>
      <c r="P5" s="396">
        <f>Allocation!Q4-P4</f>
        <v>17421.018051300834</v>
      </c>
      <c r="Q5" s="396">
        <f>Allocation!R4-Q4</f>
        <v>17400.528297452078</v>
      </c>
      <c r="R5" s="396">
        <f>Allocation!S4-R4</f>
        <v>17629.355605839999</v>
      </c>
      <c r="S5" s="396">
        <f>Allocation!T4-S4</f>
        <v>17615.855605839999</v>
      </c>
      <c r="T5" s="396">
        <f>Allocation!U4-T4</f>
        <v>17557.892605839999</v>
      </c>
      <c r="U5" s="396">
        <f>Allocation!V4-U4</f>
        <v>17573.585605839999</v>
      </c>
      <c r="V5" s="396">
        <f>Allocation!W4-V4</f>
        <v>17546.948282464276</v>
      </c>
      <c r="W5" s="396">
        <f>Allocation!X4-W4</f>
        <v>17484.540991069542</v>
      </c>
      <c r="X5" s="396">
        <f>Allocation!Y4-X4</f>
        <v>17441.257316110008</v>
      </c>
      <c r="Y5" s="396">
        <f>Allocation!Z4-Y4</f>
        <v>17254.033481205057</v>
      </c>
      <c r="Z5" s="396">
        <f>Allocation!AA4-Z4</f>
        <v>18010.297168460282</v>
      </c>
      <c r="AA5" s="396">
        <f t="shared" ref="AA5:AA8" si="1">SUM(O5:Z5)</f>
        <v>210464.12013233948</v>
      </c>
      <c r="AB5" s="396">
        <f>Allocation!AC4-AB4</f>
        <v>19058.544909993343</v>
      </c>
      <c r="AC5" s="396">
        <f>Allocation!AD4-AC4</f>
        <v>19030.452515331581</v>
      </c>
      <c r="AD5" s="396">
        <f>Allocation!AE4-AD4</f>
        <v>19097.112962590902</v>
      </c>
      <c r="AE5" s="396">
        <f>Allocation!AF4-AE4</f>
        <v>19220.426036320205</v>
      </c>
      <c r="AF5" s="396">
        <f>Allocation!AG4-AF4</f>
        <v>19322.396321471726</v>
      </c>
      <c r="AG5" s="396">
        <f>Allocation!AH4-AG4</f>
        <v>19331.843959721304</v>
      </c>
      <c r="AH5" s="396">
        <f>Allocation!AI4-AH4</f>
        <v>19364.045705107357</v>
      </c>
      <c r="AI5" s="396">
        <f>Allocation!AJ4-AI4</f>
        <v>19249.301338361238</v>
      </c>
      <c r="AJ5" s="396">
        <f>Allocation!AK4-AJ4</f>
        <v>19241.040262745904</v>
      </c>
      <c r="AK5" s="396">
        <f>Allocation!AL4-AK4</f>
        <v>18851.996883017935</v>
      </c>
      <c r="AL5" s="396">
        <f>Allocation!AM4-AL4</f>
        <v>18754.835519456967</v>
      </c>
      <c r="AM5" s="396">
        <f>Allocation!AN4-AM4</f>
        <v>18773.443099836848</v>
      </c>
      <c r="AN5" s="396">
        <f t="shared" ref="AN5:AN8" si="2">SUM(AB5:AM5)</f>
        <v>229295.43951395529</v>
      </c>
      <c r="AO5" s="396">
        <f>Allocation!AP4-AO4</f>
        <v>22765.84943395924</v>
      </c>
      <c r="AP5" s="396">
        <f>Allocation!AQ4-AP4</f>
        <v>19365.798420489547</v>
      </c>
      <c r="AQ5" s="396">
        <f>Allocation!AR4-AQ4</f>
        <v>19450.920458538178</v>
      </c>
      <c r="AR5" s="396">
        <f>Allocation!AS4-AR4</f>
        <v>19702.565676076611</v>
      </c>
      <c r="AS5" s="396">
        <f>Allocation!AT4-AS4</f>
        <v>19771.445382104375</v>
      </c>
      <c r="AT5" s="396">
        <f>Allocation!AU4-AT4</f>
        <v>19920.179935861393</v>
      </c>
      <c r="AU5" s="396">
        <f>Allocation!AV4-AU4</f>
        <v>20004.360792618896</v>
      </c>
      <c r="AV5" s="396">
        <f>Allocation!AW4-AV4</f>
        <v>19835.325046533333</v>
      </c>
      <c r="AW5" s="396">
        <f>Allocation!AX4-AW4</f>
        <v>19887.9085247892</v>
      </c>
      <c r="AX5" s="396">
        <f>Allocation!AY4-AX4</f>
        <v>19566.918295682532</v>
      </c>
      <c r="AY5" s="396">
        <f>Allocation!AZ4-AY4</f>
        <v>18977.740129428137</v>
      </c>
      <c r="AZ5" s="396">
        <f>Allocation!BA4-AZ4</f>
        <v>19257.636329056924</v>
      </c>
      <c r="BA5" s="396">
        <f t="shared" ref="BA5:BA8" si="3">SUM(AO5:AZ5)</f>
        <v>238506.64842513838</v>
      </c>
      <c r="BB5" s="396">
        <f>Allocation!BC4-BB4</f>
        <v>19285.872197785102</v>
      </c>
      <c r="BC5" s="396">
        <f>Allocation!BD4-BC4</f>
        <v>19224.199104004409</v>
      </c>
      <c r="BD5" s="396">
        <f>Allocation!BE4-BD4</f>
        <v>19313.135936784409</v>
      </c>
      <c r="BE5" s="396">
        <f>Allocation!BF4-BE4+'S&amp;TVA 2024'!E40*(1-Allocation!BB14)</f>
        <v>28585.626901796379</v>
      </c>
      <c r="BF5" s="396">
        <f>Allocation!BG4-BF4</f>
        <v>20404.087681344678</v>
      </c>
      <c r="BG5" s="396">
        <f>Allocation!BH4-BG4</f>
        <v>20428.104344771542</v>
      </c>
      <c r="BH5" s="396">
        <f>Allocation!BI4-BH4</f>
        <v>20363.481786382683</v>
      </c>
      <c r="BI5" s="396">
        <f>Allocation!BJ4-BI4</f>
        <v>20401.952667090827</v>
      </c>
      <c r="BJ5" s="396">
        <f>Allocation!BK4-BJ4</f>
        <v>20384.591592684978</v>
      </c>
      <c r="BK5" s="396">
        <f>Allocation!BL4-BK4</f>
        <v>19697.819195694159</v>
      </c>
      <c r="BL5" s="396">
        <f>Allocation!BM4-BL4</f>
        <v>19776.442342666811</v>
      </c>
      <c r="BM5" s="396">
        <f>Allocation!BN4-BM4</f>
        <v>19673.206201032615</v>
      </c>
      <c r="BN5" s="396">
        <f t="shared" ref="BN5:BN8" si="4">SUM(BB5:BM5)</f>
        <v>247538.51995203862</v>
      </c>
      <c r="BO5" s="396"/>
    </row>
    <row r="6" spans="1:67" x14ac:dyDescent="0.25">
      <c r="A6" s="392" t="s">
        <v>473</v>
      </c>
      <c r="B6" s="396">
        <f>Allocation!C9</f>
        <v>0</v>
      </c>
      <c r="C6" s="396">
        <f>Allocation!D9</f>
        <v>0</v>
      </c>
      <c r="D6" s="396">
        <f>Allocation!E9</f>
        <v>0</v>
      </c>
      <c r="E6" s="396">
        <f>Allocation!F9</f>
        <v>0</v>
      </c>
      <c r="F6" s="396">
        <f>Allocation!G9</f>
        <v>0</v>
      </c>
      <c r="G6" s="396">
        <f>Allocation!H9</f>
        <v>0</v>
      </c>
      <c r="H6" s="396">
        <f>Allocation!I9</f>
        <v>0</v>
      </c>
      <c r="I6" s="396">
        <f>Allocation!J9</f>
        <v>1369.5314354895681</v>
      </c>
      <c r="J6" s="396">
        <f>Allocation!K9</f>
        <v>1856.0300691004481</v>
      </c>
      <c r="K6" s="396">
        <f>Allocation!L9</f>
        <v>2734.9553370883841</v>
      </c>
      <c r="L6" s="396">
        <f>Allocation!M9</f>
        <v>2712.4451136227394</v>
      </c>
      <c r="M6" s="396">
        <f>Allocation!N9</f>
        <v>2945.3546527092103</v>
      </c>
      <c r="N6" s="396">
        <f t="shared" si="0"/>
        <v>11618.316608010351</v>
      </c>
      <c r="O6" s="396">
        <f>Allocation!P9</f>
        <v>3076.936240635725</v>
      </c>
      <c r="P6" s="396">
        <f>Allocation!Q9</f>
        <v>2942.5425479787</v>
      </c>
      <c r="Q6" s="396">
        <f>Allocation!R9</f>
        <v>3119.7019587775617</v>
      </c>
      <c r="R6" s="396">
        <f>Allocation!S9</f>
        <v>2857.0036055103296</v>
      </c>
      <c r="S6" s="396">
        <f>Allocation!T9</f>
        <v>2624.0704445272481</v>
      </c>
      <c r="T6" s="396">
        <f>Allocation!U9</f>
        <v>1928.895998859434</v>
      </c>
      <c r="U6" s="396">
        <f>Allocation!V9</f>
        <v>2096.8584967294055</v>
      </c>
      <c r="V6" s="396">
        <f>Allocation!W9</f>
        <v>1997.2268903403876</v>
      </c>
      <c r="W6" s="396">
        <f>Allocation!X9</f>
        <v>1735.9719817908961</v>
      </c>
      <c r="X6" s="396">
        <f>Allocation!Y9</f>
        <v>2690.7909911740867</v>
      </c>
      <c r="Y6" s="396">
        <f>Allocation!Z9</f>
        <v>2955.6997841607549</v>
      </c>
      <c r="Z6" s="396">
        <f>Allocation!AA9</f>
        <v>3219.2711503351939</v>
      </c>
      <c r="AA6" s="396">
        <f t="shared" si="1"/>
        <v>31244.970090819723</v>
      </c>
      <c r="AB6" s="396">
        <f>Allocation!AC9</f>
        <v>3638.7378193034979</v>
      </c>
      <c r="AC6" s="396">
        <f>Allocation!AD9</f>
        <v>3110.0373848563399</v>
      </c>
      <c r="AD6" s="396">
        <f>Allocation!AE9</f>
        <v>3267.7552429741413</v>
      </c>
      <c r="AE6" s="396">
        <f>Allocation!AF9</f>
        <v>2965.3098487397574</v>
      </c>
      <c r="AF6" s="396">
        <f>Allocation!AG9</f>
        <v>2819.4310523904005</v>
      </c>
      <c r="AG6" s="396">
        <f>Allocation!AH9</f>
        <v>2048.8400565695997</v>
      </c>
      <c r="AH6" s="396">
        <f>Allocation!AI9</f>
        <v>2031.2053864896002</v>
      </c>
      <c r="AI6" s="396">
        <f>Allocation!AJ9</f>
        <v>2120.1722970432002</v>
      </c>
      <c r="AJ6" s="396">
        <f>Allocation!AK9</f>
        <v>1903.9271551871998</v>
      </c>
      <c r="AK6" s="396">
        <f>Allocation!AL9</f>
        <v>2561.48</v>
      </c>
      <c r="AL6" s="396">
        <f>Allocation!AM9</f>
        <v>2772.5669166527996</v>
      </c>
      <c r="AM6" s="396">
        <f>Allocation!AN9</f>
        <v>2957.9072991936009</v>
      </c>
      <c r="AN6" s="396">
        <f t="shared" si="2"/>
        <v>32197.370459400136</v>
      </c>
      <c r="AO6" s="396">
        <f>Allocation!AP9</f>
        <v>2948.7813574272</v>
      </c>
      <c r="AP6" s="396">
        <f>Allocation!AQ9</f>
        <v>2720.015599814401</v>
      </c>
      <c r="AQ6" s="396">
        <f>Allocation!AR9</f>
        <v>2993.7938528064005</v>
      </c>
      <c r="AR6" s="396">
        <f>Allocation!AS9</f>
        <v>2767.4585534775997</v>
      </c>
      <c r="AS6" s="396">
        <f>Allocation!AT9</f>
        <v>2348.2764051704007</v>
      </c>
      <c r="AT6" s="396">
        <f>Allocation!AU9</f>
        <v>1990.4972021344001</v>
      </c>
      <c r="AU6" s="396">
        <f>Allocation!AV9</f>
        <v>2206.7097297680007</v>
      </c>
      <c r="AV6" s="396">
        <f>Allocation!AW9</f>
        <v>2296.2317808176008</v>
      </c>
      <c r="AW6" s="396">
        <f>Allocation!AX9</f>
        <v>2146.7193612392007</v>
      </c>
      <c r="AX6" s="396">
        <f>Allocation!AY9</f>
        <v>2561.6637793192003</v>
      </c>
      <c r="AY6" s="396">
        <f>Allocation!AZ9</f>
        <v>2783.7914720616</v>
      </c>
      <c r="AZ6" s="396">
        <f>Allocation!BA9</f>
        <v>2975.7694799584001</v>
      </c>
      <c r="BA6" s="396">
        <f t="shared" si="3"/>
        <v>30739.708573994405</v>
      </c>
      <c r="BB6" s="396">
        <f>Allocation!BC9</f>
        <v>3201.4286145567999</v>
      </c>
      <c r="BC6" s="396">
        <f>Allocation!BD9</f>
        <v>2602.010502524</v>
      </c>
      <c r="BD6" s="396">
        <f>Allocation!BE9</f>
        <v>2668.5600951798133</v>
      </c>
      <c r="BE6" s="396">
        <f>Allocation!BF9</f>
        <v>2490.6817980136007</v>
      </c>
      <c r="BF6" s="396">
        <f>Allocation!BG9</f>
        <v>2690.5614070632005</v>
      </c>
      <c r="BG6" s="396">
        <f>Allocation!BH9</f>
        <v>1881.2873627376005</v>
      </c>
      <c r="BH6" s="396">
        <f>Allocation!BI9</f>
        <v>2234.5816481400002</v>
      </c>
      <c r="BI6" s="396">
        <f>Allocation!BJ9</f>
        <v>2297.4891413592004</v>
      </c>
      <c r="BJ6" s="396">
        <f>Allocation!BK9</f>
        <v>2216.8723958472001</v>
      </c>
      <c r="BK6" s="396">
        <f>Allocation!BL9</f>
        <v>2632.9517189951998</v>
      </c>
      <c r="BL6" s="396">
        <f>Allocation!BM9</f>
        <v>2607.7534794144003</v>
      </c>
      <c r="BM6" s="396">
        <f>Allocation!BN9</f>
        <v>3009.1631980511993</v>
      </c>
      <c r="BN6" s="396">
        <f t="shared" si="4"/>
        <v>30533.341361882216</v>
      </c>
      <c r="BO6" s="396"/>
    </row>
    <row r="7" spans="1:67" x14ac:dyDescent="0.25">
      <c r="A7" s="392" t="s">
        <v>350</v>
      </c>
      <c r="B7" s="396">
        <v>0</v>
      </c>
      <c r="C7" s="396">
        <v>0</v>
      </c>
      <c r="D7" s="396">
        <v>0</v>
      </c>
      <c r="E7" s="396">
        <v>0</v>
      </c>
      <c r="F7" s="396">
        <v>0</v>
      </c>
      <c r="G7" s="396">
        <v>0</v>
      </c>
      <c r="H7" s="396">
        <v>0</v>
      </c>
      <c r="I7" s="396">
        <v>0</v>
      </c>
      <c r="J7" s="396">
        <v>0</v>
      </c>
      <c r="K7" s="396">
        <v>0</v>
      </c>
      <c r="L7" s="396">
        <v>0</v>
      </c>
      <c r="M7" s="396">
        <v>0</v>
      </c>
      <c r="N7" s="396">
        <f t="shared" si="0"/>
        <v>0</v>
      </c>
      <c r="O7" s="396">
        <v>0</v>
      </c>
      <c r="P7" s="396">
        <v>0</v>
      </c>
      <c r="Q7" s="396">
        <v>0</v>
      </c>
      <c r="R7" s="396">
        <v>0</v>
      </c>
      <c r="S7" s="396">
        <v>0</v>
      </c>
      <c r="T7" s="396">
        <v>0</v>
      </c>
      <c r="U7" s="396">
        <v>0</v>
      </c>
      <c r="V7" s="396">
        <v>0</v>
      </c>
      <c r="W7" s="396">
        <v>0</v>
      </c>
      <c r="X7" s="396">
        <v>0</v>
      </c>
      <c r="Y7" s="396">
        <v>0</v>
      </c>
      <c r="Z7" s="396">
        <v>0</v>
      </c>
      <c r="AA7" s="396">
        <f t="shared" si="1"/>
        <v>0</v>
      </c>
      <c r="AB7" s="396">
        <v>0</v>
      </c>
      <c r="AC7" s="396">
        <v>0</v>
      </c>
      <c r="AD7" s="396">
        <v>0</v>
      </c>
      <c r="AE7" s="396">
        <v>0</v>
      </c>
      <c r="AF7" s="396">
        <v>0</v>
      </c>
      <c r="AG7" s="396">
        <v>0</v>
      </c>
      <c r="AH7" s="396">
        <v>0</v>
      </c>
      <c r="AI7" s="396">
        <v>0</v>
      </c>
      <c r="AJ7" s="396">
        <v>0</v>
      </c>
      <c r="AK7" s="396">
        <v>0</v>
      </c>
      <c r="AL7" s="396">
        <v>0</v>
      </c>
      <c r="AM7" s="396">
        <v>0</v>
      </c>
      <c r="AN7" s="396">
        <f t="shared" si="2"/>
        <v>0</v>
      </c>
      <c r="AO7" s="396">
        <v>0</v>
      </c>
      <c r="AP7" s="396">
        <v>0</v>
      </c>
      <c r="AQ7" s="396">
        <v>0</v>
      </c>
      <c r="AR7" s="396">
        <v>0</v>
      </c>
      <c r="AS7" s="396">
        <v>0</v>
      </c>
      <c r="AT7" s="396">
        <v>0</v>
      </c>
      <c r="AU7" s="396">
        <v>0</v>
      </c>
      <c r="AV7" s="396">
        <v>0</v>
      </c>
      <c r="AW7" s="396">
        <v>0</v>
      </c>
      <c r="AX7" s="396">
        <v>0</v>
      </c>
      <c r="AY7" s="396">
        <v>0</v>
      </c>
      <c r="AZ7" s="396">
        <v>0</v>
      </c>
      <c r="BA7" s="396">
        <f t="shared" si="3"/>
        <v>0</v>
      </c>
      <c r="BB7" s="396">
        <v>0</v>
      </c>
      <c r="BC7" s="396">
        <v>0</v>
      </c>
      <c r="BD7" s="396">
        <v>0</v>
      </c>
      <c r="BE7" s="396">
        <v>0</v>
      </c>
      <c r="BF7" s="396">
        <v>0</v>
      </c>
      <c r="BG7" s="396">
        <v>0</v>
      </c>
      <c r="BH7" s="396">
        <v>0</v>
      </c>
      <c r="BI7" s="396">
        <v>0</v>
      </c>
      <c r="BJ7" s="396">
        <v>0</v>
      </c>
      <c r="BK7" s="396">
        <v>0</v>
      </c>
      <c r="BL7" s="396">
        <v>0</v>
      </c>
      <c r="BM7" s="396">
        <v>0</v>
      </c>
      <c r="BN7" s="396">
        <f t="shared" si="4"/>
        <v>0</v>
      </c>
      <c r="BO7" s="396"/>
    </row>
    <row r="8" spans="1:67" x14ac:dyDescent="0.25">
      <c r="A8" s="392" t="s">
        <v>352</v>
      </c>
      <c r="B8" s="396">
        <v>0</v>
      </c>
      <c r="C8" s="396">
        <v>0</v>
      </c>
      <c r="D8" s="396">
        <v>0</v>
      </c>
      <c r="E8" s="396">
        <v>0</v>
      </c>
      <c r="F8" s="396">
        <v>0</v>
      </c>
      <c r="G8" s="396">
        <v>0</v>
      </c>
      <c r="H8" s="396">
        <v>0</v>
      </c>
      <c r="I8" s="396">
        <v>0</v>
      </c>
      <c r="J8" s="396">
        <v>0</v>
      </c>
      <c r="K8" s="396">
        <v>0</v>
      </c>
      <c r="L8" s="396">
        <v>0</v>
      </c>
      <c r="M8" s="396">
        <v>0</v>
      </c>
      <c r="N8" s="396">
        <f t="shared" si="0"/>
        <v>0</v>
      </c>
      <c r="O8" s="396">
        <v>0</v>
      </c>
      <c r="P8" s="396">
        <v>0</v>
      </c>
      <c r="Q8" s="396">
        <v>0</v>
      </c>
      <c r="R8" s="396">
        <v>0</v>
      </c>
      <c r="S8" s="396">
        <v>0</v>
      </c>
      <c r="T8" s="396">
        <v>0</v>
      </c>
      <c r="U8" s="396">
        <v>0</v>
      </c>
      <c r="V8" s="396">
        <v>0</v>
      </c>
      <c r="W8" s="396">
        <v>0</v>
      </c>
      <c r="X8" s="396">
        <v>0</v>
      </c>
      <c r="Y8" s="396">
        <v>0</v>
      </c>
      <c r="Z8" s="396">
        <v>0</v>
      </c>
      <c r="AA8" s="396">
        <f t="shared" si="1"/>
        <v>0</v>
      </c>
      <c r="AB8" s="396">
        <v>0</v>
      </c>
      <c r="AC8" s="396">
        <v>0</v>
      </c>
      <c r="AD8" s="396">
        <v>0</v>
      </c>
      <c r="AE8" s="396">
        <v>0</v>
      </c>
      <c r="AF8" s="396">
        <v>0</v>
      </c>
      <c r="AG8" s="396">
        <v>0</v>
      </c>
      <c r="AH8" s="396">
        <v>0</v>
      </c>
      <c r="AI8" s="396">
        <v>0</v>
      </c>
      <c r="AJ8" s="396">
        <v>0</v>
      </c>
      <c r="AK8" s="396">
        <v>0</v>
      </c>
      <c r="AL8" s="396">
        <v>0</v>
      </c>
      <c r="AM8" s="396">
        <v>0</v>
      </c>
      <c r="AN8" s="396">
        <f t="shared" si="2"/>
        <v>0</v>
      </c>
      <c r="AO8" s="396">
        <v>0</v>
      </c>
      <c r="AP8" s="396">
        <v>0</v>
      </c>
      <c r="AQ8" s="396">
        <v>0</v>
      </c>
      <c r="AR8" s="396">
        <v>0</v>
      </c>
      <c r="AS8" s="396">
        <v>0</v>
      </c>
      <c r="AT8" s="396">
        <v>0</v>
      </c>
      <c r="AU8" s="396">
        <v>0</v>
      </c>
      <c r="AV8" s="396">
        <v>0</v>
      </c>
      <c r="AW8" s="396">
        <v>0</v>
      </c>
      <c r="AX8" s="396">
        <v>0</v>
      </c>
      <c r="AY8" s="396">
        <v>0</v>
      </c>
      <c r="AZ8" s="396">
        <v>0</v>
      </c>
      <c r="BA8" s="396">
        <f t="shared" si="3"/>
        <v>0</v>
      </c>
      <c r="BB8" s="396">
        <v>0</v>
      </c>
      <c r="BC8" s="396">
        <v>0</v>
      </c>
      <c r="BD8" s="396">
        <v>0</v>
      </c>
      <c r="BE8" s="396">
        <v>0</v>
      </c>
      <c r="BF8" s="396">
        <v>0</v>
      </c>
      <c r="BG8" s="396">
        <v>0</v>
      </c>
      <c r="BH8" s="396">
        <v>0</v>
      </c>
      <c r="BI8" s="396">
        <v>0</v>
      </c>
      <c r="BJ8" s="396">
        <v>0</v>
      </c>
      <c r="BK8" s="396">
        <v>0</v>
      </c>
      <c r="BL8" s="396">
        <v>0</v>
      </c>
      <c r="BM8" s="396">
        <v>0</v>
      </c>
      <c r="BN8" s="396">
        <f t="shared" si="4"/>
        <v>0</v>
      </c>
      <c r="BO8" s="396"/>
    </row>
    <row r="9" spans="1:67" s="315" customFormat="1" x14ac:dyDescent="0.25">
      <c r="A9" s="392" t="s">
        <v>436</v>
      </c>
      <c r="B9" s="400">
        <f>SUM(B4:B8)</f>
        <v>0</v>
      </c>
      <c r="C9" s="400">
        <f t="shared" ref="C9:BN9" si="5">SUM(C4:C8)</f>
        <v>0</v>
      </c>
      <c r="D9" s="400">
        <f t="shared" si="5"/>
        <v>0</v>
      </c>
      <c r="E9" s="400">
        <f t="shared" si="5"/>
        <v>0</v>
      </c>
      <c r="F9" s="400">
        <f t="shared" si="5"/>
        <v>0</v>
      </c>
      <c r="G9" s="400">
        <f t="shared" si="5"/>
        <v>0</v>
      </c>
      <c r="H9" s="400">
        <f t="shared" si="5"/>
        <v>0</v>
      </c>
      <c r="I9" s="400">
        <f t="shared" si="5"/>
        <v>8724.8166543393836</v>
      </c>
      <c r="J9" s="400">
        <f t="shared" si="5"/>
        <v>9592.2995565586007</v>
      </c>
      <c r="K9" s="400">
        <f t="shared" si="5"/>
        <v>10512.570824546536</v>
      </c>
      <c r="L9" s="400">
        <f t="shared" si="5"/>
        <v>14155.176600007668</v>
      </c>
      <c r="M9" s="400">
        <f t="shared" si="5"/>
        <v>20203.05621806921</v>
      </c>
      <c r="N9" s="400">
        <f t="shared" si="5"/>
        <v>63187.919853521395</v>
      </c>
      <c r="O9" s="400">
        <f t="shared" si="5"/>
        <v>20605.74336155313</v>
      </c>
      <c r="P9" s="400">
        <f t="shared" si="5"/>
        <v>20363.560599279535</v>
      </c>
      <c r="Q9" s="400">
        <f t="shared" si="5"/>
        <v>20520.230256229639</v>
      </c>
      <c r="R9" s="400">
        <f t="shared" si="5"/>
        <v>20486.359211350329</v>
      </c>
      <c r="S9" s="400">
        <f t="shared" si="5"/>
        <v>20239.926050367249</v>
      </c>
      <c r="T9" s="400">
        <f t="shared" si="5"/>
        <v>19486.788604699432</v>
      </c>
      <c r="U9" s="400">
        <f t="shared" si="5"/>
        <v>19670.444102569403</v>
      </c>
      <c r="V9" s="400">
        <f t="shared" si="5"/>
        <v>19544.175172804666</v>
      </c>
      <c r="W9" s="400">
        <f t="shared" si="5"/>
        <v>19220.512972860437</v>
      </c>
      <c r="X9" s="400">
        <f t="shared" si="5"/>
        <v>20132.048307284094</v>
      </c>
      <c r="Y9" s="400">
        <f t="shared" si="5"/>
        <v>20209.733265365812</v>
      </c>
      <c r="Z9" s="400">
        <f t="shared" si="5"/>
        <v>21229.568318795475</v>
      </c>
      <c r="AA9" s="400">
        <f t="shared" si="5"/>
        <v>241709.0902231592</v>
      </c>
      <c r="AB9" s="400">
        <f t="shared" si="5"/>
        <v>22697.28272929684</v>
      </c>
      <c r="AC9" s="400">
        <f t="shared" si="5"/>
        <v>22140.48990018792</v>
      </c>
      <c r="AD9" s="400">
        <f t="shared" si="5"/>
        <v>22364.868205565042</v>
      </c>
      <c r="AE9" s="400">
        <f t="shared" si="5"/>
        <v>22185.735885059963</v>
      </c>
      <c r="AF9" s="400">
        <f t="shared" si="5"/>
        <v>22141.827373862128</v>
      </c>
      <c r="AG9" s="400">
        <f t="shared" si="5"/>
        <v>21380.684016290903</v>
      </c>
      <c r="AH9" s="400">
        <f t="shared" si="5"/>
        <v>21395.251091596958</v>
      </c>
      <c r="AI9" s="400">
        <f t="shared" si="5"/>
        <v>21369.473635404436</v>
      </c>
      <c r="AJ9" s="400">
        <f t="shared" si="5"/>
        <v>21144.967417933105</v>
      </c>
      <c r="AK9" s="400">
        <f t="shared" si="5"/>
        <v>21413.476883017935</v>
      </c>
      <c r="AL9" s="400">
        <f t="shared" si="5"/>
        <v>21527.402436109765</v>
      </c>
      <c r="AM9" s="400">
        <f t="shared" si="5"/>
        <v>21731.350399030449</v>
      </c>
      <c r="AN9" s="400">
        <f t="shared" si="5"/>
        <v>261492.80997335544</v>
      </c>
      <c r="AO9" s="400">
        <f t="shared" si="5"/>
        <v>25714.63079138644</v>
      </c>
      <c r="AP9" s="400">
        <f t="shared" si="5"/>
        <v>22085.814020303947</v>
      </c>
      <c r="AQ9" s="400">
        <f t="shared" si="5"/>
        <v>22444.714311344578</v>
      </c>
      <c r="AR9" s="400">
        <f t="shared" si="5"/>
        <v>22470.024229554212</v>
      </c>
      <c r="AS9" s="400">
        <f t="shared" si="5"/>
        <v>22119.721787274775</v>
      </c>
      <c r="AT9" s="400">
        <f t="shared" si="5"/>
        <v>21910.677137995794</v>
      </c>
      <c r="AU9" s="400">
        <f t="shared" si="5"/>
        <v>22211.070522386897</v>
      </c>
      <c r="AV9" s="400">
        <f t="shared" si="5"/>
        <v>22131.556827350934</v>
      </c>
      <c r="AW9" s="400">
        <f t="shared" si="5"/>
        <v>22034.6278860284</v>
      </c>
      <c r="AX9" s="400">
        <f t="shared" si="5"/>
        <v>22128.58207500173</v>
      </c>
      <c r="AY9" s="400">
        <f t="shared" si="5"/>
        <v>21761.531601489736</v>
      </c>
      <c r="AZ9" s="400">
        <f t="shared" si="5"/>
        <v>22233.405809015323</v>
      </c>
      <c r="BA9" s="400">
        <f t="shared" si="5"/>
        <v>269246.35699913278</v>
      </c>
      <c r="BB9" s="400">
        <f t="shared" si="5"/>
        <v>22487.300812341902</v>
      </c>
      <c r="BC9" s="400">
        <f t="shared" si="5"/>
        <v>21826.209606528409</v>
      </c>
      <c r="BD9" s="400">
        <f t="shared" si="5"/>
        <v>21981.696031964224</v>
      </c>
      <c r="BE9" s="400">
        <f t="shared" si="5"/>
        <v>31076.308699809979</v>
      </c>
      <c r="BF9" s="400">
        <f t="shared" si="5"/>
        <v>23094.649088407878</v>
      </c>
      <c r="BG9" s="400">
        <f t="shared" si="5"/>
        <v>22309.391707509141</v>
      </c>
      <c r="BH9" s="400">
        <f t="shared" si="5"/>
        <v>22598.063434522683</v>
      </c>
      <c r="BI9" s="400">
        <f t="shared" si="5"/>
        <v>22699.441808450028</v>
      </c>
      <c r="BJ9" s="400">
        <f t="shared" si="5"/>
        <v>22601.463988532178</v>
      </c>
      <c r="BK9" s="400">
        <f t="shared" si="5"/>
        <v>22330.770914689358</v>
      </c>
      <c r="BL9" s="400">
        <f t="shared" si="5"/>
        <v>22384.195822081212</v>
      </c>
      <c r="BM9" s="400">
        <f t="shared" si="5"/>
        <v>22682.369399083815</v>
      </c>
      <c r="BN9" s="400">
        <f t="shared" si="5"/>
        <v>278071.86131392082</v>
      </c>
      <c r="BO9" s="400"/>
    </row>
    <row r="10" spans="1:67" x14ac:dyDescent="0.25">
      <c r="A10" s="392"/>
      <c r="B10" s="396"/>
      <c r="C10" s="396"/>
      <c r="D10" s="396"/>
      <c r="E10" s="396"/>
      <c r="F10" s="396"/>
      <c r="G10" s="396"/>
      <c r="H10" s="396"/>
      <c r="I10" s="396"/>
      <c r="J10" s="396"/>
      <c r="K10" s="396"/>
      <c r="L10" s="396"/>
      <c r="M10" s="396"/>
      <c r="N10" s="396"/>
      <c r="O10" s="396"/>
      <c r="P10" s="396"/>
      <c r="Q10" s="396"/>
      <c r="R10" s="396"/>
      <c r="S10" s="396"/>
      <c r="T10" s="396"/>
      <c r="U10" s="396"/>
      <c r="V10" s="396"/>
      <c r="W10" s="396"/>
      <c r="X10" s="396"/>
      <c r="Y10" s="396"/>
      <c r="Z10" s="396"/>
      <c r="AA10" s="396"/>
      <c r="AB10" s="396"/>
      <c r="AC10" s="396"/>
      <c r="AD10" s="396"/>
      <c r="AE10" s="396"/>
      <c r="AF10" s="396"/>
      <c r="AG10" s="396"/>
      <c r="AH10" s="396"/>
      <c r="AI10" s="396"/>
      <c r="AJ10" s="396"/>
      <c r="AK10" s="396"/>
      <c r="AL10" s="396"/>
      <c r="AM10" s="396"/>
      <c r="AN10" s="396"/>
      <c r="AO10" s="396"/>
      <c r="AP10" s="396"/>
      <c r="AQ10" s="396"/>
      <c r="AR10" s="396"/>
      <c r="AS10" s="396"/>
      <c r="AT10" s="396"/>
      <c r="AU10" s="396"/>
      <c r="AV10" s="396"/>
      <c r="AW10" s="396"/>
      <c r="AX10" s="396"/>
      <c r="AY10" s="396"/>
      <c r="AZ10" s="396"/>
      <c r="BA10" s="396"/>
      <c r="BB10" s="396"/>
      <c r="BC10" s="396"/>
      <c r="BD10" s="396"/>
      <c r="BE10" s="396"/>
      <c r="BF10" s="396"/>
      <c r="BG10" s="396"/>
      <c r="BH10" s="396"/>
      <c r="BI10" s="396"/>
      <c r="BJ10" s="396"/>
      <c r="BK10" s="396"/>
      <c r="BL10" s="396"/>
      <c r="BM10" s="396"/>
      <c r="BN10" s="396"/>
      <c r="BO10" s="396"/>
    </row>
    <row r="11" spans="1:67" s="315" customFormat="1" x14ac:dyDescent="0.25">
      <c r="A11" s="392" t="s">
        <v>419</v>
      </c>
      <c r="B11" s="400">
        <f>'S&amp;TVA Q4 2020'!B45</f>
        <v>0</v>
      </c>
      <c r="C11" s="400">
        <f>'S&amp;TVA Q4 2020'!C45</f>
        <v>0</v>
      </c>
      <c r="D11" s="400">
        <f>'S&amp;TVA Q4 2020'!D45</f>
        <v>0</v>
      </c>
      <c r="E11" s="400">
        <f>'S&amp;TVA Q4 2020'!E45</f>
        <v>0</v>
      </c>
      <c r="F11" s="400">
        <f>'S&amp;TVA Q4 2020'!F45</f>
        <v>0</v>
      </c>
      <c r="G11" s="400">
        <f>'S&amp;TVA Q4 2020'!G45</f>
        <v>0</v>
      </c>
      <c r="H11" s="400">
        <f>'S&amp;TVA Q4 2020'!H45</f>
        <v>0</v>
      </c>
      <c r="I11" s="400">
        <f>'S&amp;TVA Q4 2020'!I45</f>
        <v>0</v>
      </c>
      <c r="J11" s="400">
        <f>'S&amp;TVA Q4 2020'!J45</f>
        <v>9877.2099999999991</v>
      </c>
      <c r="K11" s="400">
        <f>'S&amp;TVA Q4 2020'!K45</f>
        <v>15882.82</v>
      </c>
      <c r="L11" s="400">
        <f>'S&amp;TVA Q4 2020'!L45</f>
        <v>15873.16</v>
      </c>
      <c r="M11" s="400">
        <f>'S&amp;TVA Q4 2020'!M45</f>
        <v>15889.26</v>
      </c>
      <c r="N11" s="400">
        <f>SUM(B11:M11)</f>
        <v>57522.450000000004</v>
      </c>
      <c r="O11" s="400">
        <f>'S&amp;TVA 2021'!B47</f>
        <v>15889.26</v>
      </c>
      <c r="P11" s="400">
        <f>'S&amp;TVA 2021'!C47</f>
        <v>15889.26</v>
      </c>
      <c r="Q11" s="400">
        <f>'S&amp;TVA 2021'!D47</f>
        <v>15889.26</v>
      </c>
      <c r="R11" s="400">
        <f>'S&amp;TVA 2021'!E47</f>
        <v>15889.26</v>
      </c>
      <c r="S11" s="400">
        <f>'S&amp;TVA 2021'!F47</f>
        <v>15889.26</v>
      </c>
      <c r="T11" s="400">
        <f>'S&amp;TVA 2021'!G47</f>
        <v>15889.26</v>
      </c>
      <c r="U11" s="400">
        <f>'S&amp;TVA 2021'!H47</f>
        <v>15889.26</v>
      </c>
      <c r="V11" s="400">
        <f>'S&amp;TVA 2021'!I47</f>
        <v>15889.26</v>
      </c>
      <c r="W11" s="400">
        <f>'S&amp;TVA 2021'!J47</f>
        <v>15889.26</v>
      </c>
      <c r="X11" s="400">
        <f>'S&amp;TVA 2021'!K47</f>
        <v>15889.26</v>
      </c>
      <c r="Y11" s="400">
        <f>'S&amp;TVA 2021'!L47</f>
        <v>15889.26</v>
      </c>
      <c r="Z11" s="400">
        <f>'S&amp;TVA 2021'!M47</f>
        <v>15889.26</v>
      </c>
      <c r="AA11" s="400">
        <f>SUM(O11:Z11)</f>
        <v>190671.12000000002</v>
      </c>
      <c r="AB11" s="400">
        <f>'S&amp;TVA 2022'!B47</f>
        <v>15889.26</v>
      </c>
      <c r="AC11" s="400">
        <f>'S&amp;TVA 2022'!C47</f>
        <v>15889.26</v>
      </c>
      <c r="AD11" s="400">
        <f>'S&amp;TVA 2022'!D47</f>
        <v>15889.26</v>
      </c>
      <c r="AE11" s="400">
        <f>'S&amp;TVA 2022'!E47</f>
        <v>15889.26</v>
      </c>
      <c r="AF11" s="400">
        <f>'S&amp;TVA 2022'!F47</f>
        <v>15889.26</v>
      </c>
      <c r="AG11" s="400">
        <f>'S&amp;TVA 2022'!G47</f>
        <v>15889.26</v>
      </c>
      <c r="AH11" s="400">
        <f>'S&amp;TVA 2022'!H47</f>
        <v>15889.26</v>
      </c>
      <c r="AI11" s="400">
        <f>'S&amp;TVA 2022'!I47</f>
        <v>15889.26</v>
      </c>
      <c r="AJ11" s="400">
        <f>'S&amp;TVA 2022'!J47</f>
        <v>17535.7</v>
      </c>
      <c r="AK11" s="400">
        <f>'S&amp;TVA 2022'!K47</f>
        <v>17535.7</v>
      </c>
      <c r="AL11" s="400">
        <f>'S&amp;TVA 2022'!L47</f>
        <v>17535.7</v>
      </c>
      <c r="AM11" s="400">
        <f>'S&amp;TVA 2022'!M47</f>
        <v>40969.46</v>
      </c>
      <c r="AN11" s="400">
        <f>SUM(AB11:AM11)</f>
        <v>220690.64</v>
      </c>
      <c r="AO11" s="400">
        <f>'S&amp;TVA 2023'!B48</f>
        <v>19182.14</v>
      </c>
      <c r="AP11" s="400">
        <f>'S&amp;TVA 2023'!C48</f>
        <v>15889.26</v>
      </c>
      <c r="AQ11" s="400">
        <f>'S&amp;TVA 2023'!D48</f>
        <v>17535.7</v>
      </c>
      <c r="AR11" s="400">
        <f>'S&amp;TVA 2023'!E48</f>
        <v>17535.7</v>
      </c>
      <c r="AS11" s="400">
        <f>'S&amp;TVA 2023'!F48</f>
        <v>17544.68</v>
      </c>
      <c r="AT11" s="400">
        <f>'S&amp;TVA 2023'!G48</f>
        <v>19190.46</v>
      </c>
      <c r="AU11" s="400">
        <f>'S&amp;TVA 2023'!H48</f>
        <v>17536.36</v>
      </c>
      <c r="AV11" s="400">
        <f>'S&amp;TVA 2023'!I48</f>
        <v>17535.699999999997</v>
      </c>
      <c r="AW11" s="400">
        <f>'S&amp;TVA 2023'!J48</f>
        <v>17535.699999999997</v>
      </c>
      <c r="AX11" s="400">
        <f>'S&amp;TVA 2023'!K48</f>
        <v>17535.699999999997</v>
      </c>
      <c r="AY11" s="400">
        <f>'S&amp;TVA 2023'!L48</f>
        <v>17535.699999999997</v>
      </c>
      <c r="AZ11" s="400">
        <f>'S&amp;TVA 2023'!M48</f>
        <v>17535.699999999997</v>
      </c>
      <c r="BA11" s="400">
        <f>SUM(AO11:AZ11)</f>
        <v>212092.80000000005</v>
      </c>
      <c r="BB11" s="400">
        <f>'S&amp;TVA 2024'!B58</f>
        <v>17535.699999999997</v>
      </c>
      <c r="BC11" s="400">
        <f>'S&amp;TVA 2024'!C58</f>
        <v>17535.699999999997</v>
      </c>
      <c r="BD11" s="400">
        <f>'S&amp;TVA 2024'!D58</f>
        <v>17535.699999999997</v>
      </c>
      <c r="BE11" s="400">
        <f>'S&amp;TVA 2024'!E58</f>
        <v>17535.699999999997</v>
      </c>
      <c r="BF11" s="400">
        <f>'S&amp;TVA 2024'!F58</f>
        <v>17535.699999999997</v>
      </c>
      <c r="BG11" s="400">
        <f>'S&amp;TVA 2024'!G58</f>
        <v>17535.699999999997</v>
      </c>
      <c r="BH11" s="400">
        <f>'S&amp;TVA 2024'!H58</f>
        <v>17535.699999999997</v>
      </c>
      <c r="BI11" s="400">
        <f>'S&amp;TVA 2024'!I58</f>
        <v>17535.699999999997</v>
      </c>
      <c r="BJ11" s="400">
        <f>'S&amp;TVA 2024'!J58</f>
        <v>17535.699999999997</v>
      </c>
      <c r="BK11" s="400">
        <f>'S&amp;TVA 2024'!K58</f>
        <v>17535.699999999997</v>
      </c>
      <c r="BL11" s="400">
        <f>'S&amp;TVA 2024'!L58</f>
        <v>17535.699999999997</v>
      </c>
      <c r="BM11" s="400">
        <f>'S&amp;TVA 2024'!M58</f>
        <v>17535.699999999997</v>
      </c>
      <c r="BN11" s="400">
        <f>SUM(BB11:BM11)</f>
        <v>210428.40000000002</v>
      </c>
      <c r="BO11" s="400"/>
    </row>
    <row r="12" spans="1:67" x14ac:dyDescent="0.25">
      <c r="A12" s="392"/>
      <c r="B12" s="397"/>
      <c r="C12" s="397"/>
      <c r="D12" s="397"/>
      <c r="E12" s="397"/>
      <c r="F12" s="397"/>
      <c r="G12" s="397"/>
      <c r="H12" s="397"/>
      <c r="I12" s="397"/>
      <c r="J12" s="397"/>
      <c r="K12" s="397"/>
      <c r="L12" s="397"/>
      <c r="M12" s="397"/>
      <c r="N12" s="397"/>
      <c r="O12" s="397"/>
      <c r="P12" s="397"/>
      <c r="Q12" s="397"/>
      <c r="R12" s="397"/>
      <c r="S12" s="397"/>
      <c r="T12" s="397"/>
      <c r="U12" s="397"/>
      <c r="V12" s="397"/>
      <c r="W12" s="397"/>
      <c r="X12" s="397"/>
      <c r="Y12" s="397"/>
      <c r="Z12" s="397"/>
      <c r="AA12" s="397"/>
      <c r="AB12" s="397"/>
      <c r="AC12" s="397"/>
      <c r="AD12" s="397"/>
      <c r="AE12" s="397"/>
      <c r="AF12" s="397"/>
      <c r="AG12" s="397"/>
      <c r="AH12" s="397"/>
      <c r="AI12" s="397"/>
      <c r="AJ12" s="397"/>
      <c r="AK12" s="397"/>
      <c r="AL12" s="397"/>
      <c r="AM12" s="397"/>
      <c r="AN12" s="397"/>
      <c r="AO12" s="397"/>
      <c r="AP12" s="397"/>
      <c r="AQ12" s="397"/>
      <c r="AR12" s="397"/>
      <c r="AS12" s="397"/>
      <c r="AT12" s="397"/>
      <c r="AU12" s="397"/>
      <c r="AV12" s="397"/>
      <c r="AW12" s="397"/>
      <c r="AX12" s="397"/>
      <c r="AY12" s="397"/>
      <c r="AZ12" s="397"/>
      <c r="BA12" s="397"/>
      <c r="BB12" s="397"/>
      <c r="BC12" s="397"/>
      <c r="BD12" s="397"/>
      <c r="BE12" s="397"/>
      <c r="BF12" s="397"/>
      <c r="BG12" s="397"/>
      <c r="BH12" s="397"/>
      <c r="BI12" s="397"/>
      <c r="BJ12" s="397"/>
      <c r="BK12" s="397"/>
      <c r="BL12" s="397"/>
      <c r="BM12" s="397"/>
      <c r="BN12" s="397"/>
      <c r="BO12" s="397"/>
    </row>
    <row r="13" spans="1:67" x14ac:dyDescent="0.25">
      <c r="A13" s="392" t="s">
        <v>417</v>
      </c>
      <c r="B13" s="396">
        <f>B9-B11</f>
        <v>0</v>
      </c>
      <c r="C13" s="396">
        <f t="shared" ref="C13:M13" si="6">C9-C11</f>
        <v>0</v>
      </c>
      <c r="D13" s="396">
        <f t="shared" si="6"/>
        <v>0</v>
      </c>
      <c r="E13" s="396">
        <f t="shared" si="6"/>
        <v>0</v>
      </c>
      <c r="F13" s="396">
        <f t="shared" si="6"/>
        <v>0</v>
      </c>
      <c r="G13" s="396">
        <f t="shared" si="6"/>
        <v>0</v>
      </c>
      <c r="H13" s="396">
        <f t="shared" si="6"/>
        <v>0</v>
      </c>
      <c r="I13" s="396">
        <f t="shared" si="6"/>
        <v>8724.8166543393836</v>
      </c>
      <c r="J13" s="396">
        <f t="shared" si="6"/>
        <v>-284.91044344139846</v>
      </c>
      <c r="K13" s="396">
        <f t="shared" si="6"/>
        <v>-5370.249175453464</v>
      </c>
      <c r="L13" s="396">
        <f t="shared" si="6"/>
        <v>-1717.9833999923321</v>
      </c>
      <c r="M13" s="396">
        <f t="shared" si="6"/>
        <v>4313.7962180692102</v>
      </c>
      <c r="N13" s="396">
        <f>SUM(B13:M13)</f>
        <v>5665.4698535213993</v>
      </c>
      <c r="O13" s="396">
        <f>O9-O11</f>
        <v>4716.4833615531297</v>
      </c>
      <c r="P13" s="396">
        <f t="shared" ref="P13:Z13" si="7">P9-P11</f>
        <v>4474.3005992795352</v>
      </c>
      <c r="Q13" s="396">
        <f t="shared" si="7"/>
        <v>4630.9702562296388</v>
      </c>
      <c r="R13" s="396">
        <f t="shared" si="7"/>
        <v>4597.0992113503289</v>
      </c>
      <c r="S13" s="396">
        <f t="shared" si="7"/>
        <v>4350.6660503672483</v>
      </c>
      <c r="T13" s="396">
        <f t="shared" si="7"/>
        <v>3597.5286046994315</v>
      </c>
      <c r="U13" s="396">
        <f t="shared" si="7"/>
        <v>3781.184102569403</v>
      </c>
      <c r="V13" s="396">
        <f t="shared" si="7"/>
        <v>3654.9151728046654</v>
      </c>
      <c r="W13" s="396">
        <f t="shared" si="7"/>
        <v>3331.2529728604368</v>
      </c>
      <c r="X13" s="396">
        <f t="shared" si="7"/>
        <v>4242.7883072840941</v>
      </c>
      <c r="Y13" s="396">
        <f t="shared" si="7"/>
        <v>4320.473265365812</v>
      </c>
      <c r="Z13" s="396">
        <f t="shared" si="7"/>
        <v>5340.3083187954744</v>
      </c>
      <c r="AA13" s="396">
        <f>SUM(O13:Z13)</f>
        <v>51037.970223159195</v>
      </c>
      <c r="AB13" s="396">
        <f>AB9-AB11</f>
        <v>6808.0227292968393</v>
      </c>
      <c r="AC13" s="396">
        <f t="shared" ref="AC13:AM13" si="8">AC9-AC11</f>
        <v>6251.2299001879201</v>
      </c>
      <c r="AD13" s="396">
        <f t="shared" si="8"/>
        <v>6475.6082055650422</v>
      </c>
      <c r="AE13" s="396">
        <f t="shared" si="8"/>
        <v>6296.4758850599628</v>
      </c>
      <c r="AF13" s="396">
        <f t="shared" si="8"/>
        <v>6252.5673738621281</v>
      </c>
      <c r="AG13" s="396">
        <f t="shared" si="8"/>
        <v>5491.4240162909027</v>
      </c>
      <c r="AH13" s="396">
        <f t="shared" si="8"/>
        <v>5505.9910915969576</v>
      </c>
      <c r="AI13" s="396">
        <f t="shared" si="8"/>
        <v>5480.213635404436</v>
      </c>
      <c r="AJ13" s="396">
        <f t="shared" si="8"/>
        <v>3609.2674179331043</v>
      </c>
      <c r="AK13" s="396">
        <f t="shared" si="8"/>
        <v>3877.7768830179339</v>
      </c>
      <c r="AL13" s="396">
        <f t="shared" si="8"/>
        <v>3991.7024361097647</v>
      </c>
      <c r="AM13" s="396">
        <f t="shared" si="8"/>
        <v>-19238.10960096955</v>
      </c>
      <c r="AN13" s="396">
        <f>SUM(AB13:AM13)</f>
        <v>40802.169973355441</v>
      </c>
      <c r="AO13" s="396">
        <f>AO9-AO11</f>
        <v>6532.4907913864408</v>
      </c>
      <c r="AP13" s="396">
        <f t="shared" ref="AP13:AZ13" si="9">AP9-AP11</f>
        <v>6196.5540203039473</v>
      </c>
      <c r="AQ13" s="396">
        <f t="shared" si="9"/>
        <v>4909.0143113445774</v>
      </c>
      <c r="AR13" s="396">
        <f t="shared" si="9"/>
        <v>4934.3242295542113</v>
      </c>
      <c r="AS13" s="396">
        <f t="shared" si="9"/>
        <v>4575.0417872747748</v>
      </c>
      <c r="AT13" s="396">
        <f t="shared" si="9"/>
        <v>2720.2171379957945</v>
      </c>
      <c r="AU13" s="396">
        <f t="shared" si="9"/>
        <v>4674.7105223868966</v>
      </c>
      <c r="AV13" s="396">
        <f t="shared" si="9"/>
        <v>4595.8568273509372</v>
      </c>
      <c r="AW13" s="396">
        <f t="shared" si="9"/>
        <v>4498.927886028403</v>
      </c>
      <c r="AX13" s="396">
        <f t="shared" si="9"/>
        <v>4592.882075001733</v>
      </c>
      <c r="AY13" s="396">
        <f t="shared" si="9"/>
        <v>4225.8316014897391</v>
      </c>
      <c r="AZ13" s="396">
        <f t="shared" si="9"/>
        <v>4697.7058090153259</v>
      </c>
      <c r="BA13" s="396">
        <f>SUM(AO13:AZ13)</f>
        <v>57153.556999132794</v>
      </c>
      <c r="BB13" s="396">
        <f>BB9-BB11</f>
        <v>4951.6008123419051</v>
      </c>
      <c r="BC13" s="396">
        <f t="shared" ref="BC13:BM13" si="10">BC9-BC11</f>
        <v>4290.5096065284124</v>
      </c>
      <c r="BD13" s="396">
        <f t="shared" si="10"/>
        <v>4445.9960319642269</v>
      </c>
      <c r="BE13" s="396">
        <f t="shared" si="10"/>
        <v>13540.608699809982</v>
      </c>
      <c r="BF13" s="396">
        <f t="shared" si="10"/>
        <v>5558.9490884078805</v>
      </c>
      <c r="BG13" s="396">
        <f t="shared" si="10"/>
        <v>4773.6917075091442</v>
      </c>
      <c r="BH13" s="396">
        <f t="shared" si="10"/>
        <v>5062.3634345226856</v>
      </c>
      <c r="BI13" s="396">
        <f t="shared" si="10"/>
        <v>5163.7418084500314</v>
      </c>
      <c r="BJ13" s="396">
        <f t="shared" si="10"/>
        <v>5065.7639885321805</v>
      </c>
      <c r="BK13" s="396">
        <f t="shared" si="10"/>
        <v>4795.0709146893605</v>
      </c>
      <c r="BL13" s="396">
        <f t="shared" si="10"/>
        <v>4848.495822081215</v>
      </c>
      <c r="BM13" s="396">
        <f t="shared" si="10"/>
        <v>5146.6693990838176</v>
      </c>
      <c r="BN13" s="396">
        <f>SUM(BB13:BM13)</f>
        <v>67643.461313920852</v>
      </c>
      <c r="BO13" s="396"/>
    </row>
    <row r="14" spans="1:67" x14ac:dyDescent="0.25">
      <c r="A14" s="392" t="s">
        <v>432</v>
      </c>
      <c r="B14" s="396">
        <f>B13</f>
        <v>0</v>
      </c>
      <c r="C14" s="396">
        <f>C13+B14</f>
        <v>0</v>
      </c>
      <c r="D14" s="396">
        <f t="shared" ref="D14:M14" si="11">D13+C14</f>
        <v>0</v>
      </c>
      <c r="E14" s="396">
        <f t="shared" si="11"/>
        <v>0</v>
      </c>
      <c r="F14" s="396">
        <f t="shared" si="11"/>
        <v>0</v>
      </c>
      <c r="G14" s="396">
        <f t="shared" si="11"/>
        <v>0</v>
      </c>
      <c r="H14" s="396">
        <f t="shared" si="11"/>
        <v>0</v>
      </c>
      <c r="I14" s="396">
        <f t="shared" si="11"/>
        <v>8724.8166543393836</v>
      </c>
      <c r="J14" s="396">
        <f t="shared" si="11"/>
        <v>8439.9062108979851</v>
      </c>
      <c r="K14" s="396">
        <f t="shared" si="11"/>
        <v>3069.6570354445212</v>
      </c>
      <c r="L14" s="396">
        <f t="shared" si="11"/>
        <v>1351.673635452189</v>
      </c>
      <c r="M14" s="396">
        <f t="shared" si="11"/>
        <v>5665.4698535213993</v>
      </c>
      <c r="N14" s="396">
        <f>M14</f>
        <v>5665.4698535213993</v>
      </c>
      <c r="O14" s="396">
        <f t="shared" ref="O14:Z14" si="12">O13+N14</f>
        <v>10381.953215074529</v>
      </c>
      <c r="P14" s="396">
        <f t="shared" si="12"/>
        <v>14856.253814354064</v>
      </c>
      <c r="Q14" s="396">
        <f t="shared" si="12"/>
        <v>19487.224070583703</v>
      </c>
      <c r="R14" s="396">
        <f t="shared" si="12"/>
        <v>24084.323281934034</v>
      </c>
      <c r="S14" s="396">
        <f t="shared" si="12"/>
        <v>28434.98933230128</v>
      </c>
      <c r="T14" s="396">
        <f t="shared" si="12"/>
        <v>32032.51793700071</v>
      </c>
      <c r="U14" s="396">
        <f t="shared" si="12"/>
        <v>35813.702039570111</v>
      </c>
      <c r="V14" s="396">
        <f t="shared" si="12"/>
        <v>39468.617212374775</v>
      </c>
      <c r="W14" s="396">
        <f t="shared" si="12"/>
        <v>42799.87018523521</v>
      </c>
      <c r="X14" s="396">
        <f t="shared" si="12"/>
        <v>47042.658492519302</v>
      </c>
      <c r="Y14" s="396">
        <f t="shared" si="12"/>
        <v>51363.131757885116</v>
      </c>
      <c r="Z14" s="396">
        <f t="shared" si="12"/>
        <v>56703.440076680592</v>
      </c>
      <c r="AA14" s="396">
        <f>Z14</f>
        <v>56703.440076680592</v>
      </c>
      <c r="AB14" s="396">
        <f t="shared" ref="AB14:AM14" si="13">AB13+AA14</f>
        <v>63511.462805977433</v>
      </c>
      <c r="AC14" s="396">
        <f t="shared" si="13"/>
        <v>69762.692706165355</v>
      </c>
      <c r="AD14" s="396">
        <f t="shared" si="13"/>
        <v>76238.300911730403</v>
      </c>
      <c r="AE14" s="396">
        <f t="shared" si="13"/>
        <v>82534.776796790364</v>
      </c>
      <c r="AF14" s="396">
        <f t="shared" si="13"/>
        <v>88787.34417065249</v>
      </c>
      <c r="AG14" s="396">
        <f t="shared" si="13"/>
        <v>94278.768186943387</v>
      </c>
      <c r="AH14" s="396">
        <f t="shared" si="13"/>
        <v>99784.759278540339</v>
      </c>
      <c r="AI14" s="396">
        <f t="shared" si="13"/>
        <v>105264.97291394477</v>
      </c>
      <c r="AJ14" s="396">
        <f t="shared" si="13"/>
        <v>108874.24033187788</v>
      </c>
      <c r="AK14" s="396">
        <f t="shared" si="13"/>
        <v>112752.01721489581</v>
      </c>
      <c r="AL14" s="396">
        <f t="shared" si="13"/>
        <v>116743.71965100558</v>
      </c>
      <c r="AM14" s="396">
        <f t="shared" si="13"/>
        <v>97505.610050036033</v>
      </c>
      <c r="AN14" s="396">
        <f>AM14</f>
        <v>97505.610050036033</v>
      </c>
      <c r="AO14" s="396">
        <f t="shared" ref="AO14:AZ14" si="14">AO13+AN14</f>
        <v>104038.10084142248</v>
      </c>
      <c r="AP14" s="396">
        <f t="shared" si="14"/>
        <v>110234.65486172642</v>
      </c>
      <c r="AQ14" s="396">
        <f t="shared" si="14"/>
        <v>115143.669173071</v>
      </c>
      <c r="AR14" s="396">
        <f t="shared" si="14"/>
        <v>120077.99340262522</v>
      </c>
      <c r="AS14" s="396">
        <f t="shared" si="14"/>
        <v>124653.03518989999</v>
      </c>
      <c r="AT14" s="396">
        <f t="shared" si="14"/>
        <v>127373.25232789578</v>
      </c>
      <c r="AU14" s="396">
        <f t="shared" si="14"/>
        <v>132047.96285028267</v>
      </c>
      <c r="AV14" s="396">
        <f t="shared" si="14"/>
        <v>136643.81967763361</v>
      </c>
      <c r="AW14" s="396">
        <f t="shared" si="14"/>
        <v>141142.74756366201</v>
      </c>
      <c r="AX14" s="396">
        <f t="shared" si="14"/>
        <v>145735.62963866373</v>
      </c>
      <c r="AY14" s="396">
        <f t="shared" si="14"/>
        <v>149961.46124015347</v>
      </c>
      <c r="AZ14" s="396">
        <f t="shared" si="14"/>
        <v>154659.16704916878</v>
      </c>
      <c r="BA14" s="396">
        <f>AZ14</f>
        <v>154659.16704916878</v>
      </c>
      <c r="BB14" s="396">
        <f t="shared" ref="BB14:BM14" si="15">BB13+BA14</f>
        <v>159610.76786151069</v>
      </c>
      <c r="BC14" s="396">
        <f t="shared" si="15"/>
        <v>163901.2774680391</v>
      </c>
      <c r="BD14" s="396">
        <f t="shared" si="15"/>
        <v>168347.27350000333</v>
      </c>
      <c r="BE14" s="396">
        <f t="shared" si="15"/>
        <v>181887.88219981332</v>
      </c>
      <c r="BF14" s="396">
        <f t="shared" si="15"/>
        <v>187446.8312882212</v>
      </c>
      <c r="BG14" s="396">
        <f t="shared" si="15"/>
        <v>192220.52299573034</v>
      </c>
      <c r="BH14" s="396">
        <f t="shared" si="15"/>
        <v>197282.88643025301</v>
      </c>
      <c r="BI14" s="396">
        <f t="shared" si="15"/>
        <v>202446.62823870304</v>
      </c>
      <c r="BJ14" s="396">
        <f t="shared" si="15"/>
        <v>207512.39222723522</v>
      </c>
      <c r="BK14" s="396">
        <f t="shared" si="15"/>
        <v>212307.46314192459</v>
      </c>
      <c r="BL14" s="396">
        <f t="shared" si="15"/>
        <v>217155.95896400581</v>
      </c>
      <c r="BM14" s="396">
        <f t="shared" si="15"/>
        <v>222302.62836308964</v>
      </c>
      <c r="BN14" s="396">
        <f>BM14</f>
        <v>222302.62836308964</v>
      </c>
      <c r="BO14" s="396"/>
    </row>
    <row r="15" spans="1:67" x14ac:dyDescent="0.25">
      <c r="A15" s="392"/>
      <c r="B15" s="397"/>
      <c r="C15" s="397"/>
      <c r="D15" s="397"/>
      <c r="E15" s="397"/>
      <c r="F15" s="397"/>
      <c r="G15" s="397"/>
      <c r="H15" s="397"/>
      <c r="I15" s="397"/>
      <c r="J15" s="397"/>
      <c r="K15" s="397"/>
      <c r="L15" s="397"/>
      <c r="M15" s="397"/>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7"/>
      <c r="AK15" s="397"/>
      <c r="AL15" s="397"/>
      <c r="AM15" s="397"/>
      <c r="AN15" s="397"/>
      <c r="AO15" s="397"/>
      <c r="AP15" s="397"/>
      <c r="AQ15" s="397"/>
      <c r="AR15" s="397"/>
      <c r="AS15" s="397"/>
      <c r="AT15" s="397"/>
      <c r="AU15" s="397"/>
      <c r="AV15" s="397"/>
      <c r="AW15" s="397"/>
      <c r="AX15" s="397"/>
      <c r="AY15" s="397"/>
      <c r="AZ15" s="397"/>
      <c r="BA15" s="397"/>
      <c r="BB15" s="397"/>
      <c r="BC15" s="397"/>
      <c r="BD15" s="397"/>
      <c r="BE15" s="397"/>
      <c r="BF15" s="397"/>
      <c r="BG15" s="397"/>
      <c r="BH15" s="397"/>
      <c r="BI15" s="397"/>
      <c r="BJ15" s="397"/>
      <c r="BK15" s="397"/>
      <c r="BL15" s="397"/>
      <c r="BM15" s="397"/>
      <c r="BN15" s="397"/>
      <c r="BO15" s="397"/>
    </row>
    <row r="16" spans="1:67" x14ac:dyDescent="0.25">
      <c r="A16" s="392" t="s">
        <v>433</v>
      </c>
      <c r="B16" s="396">
        <v>0</v>
      </c>
      <c r="C16" s="396">
        <f>B14*C18/12</f>
        <v>0</v>
      </c>
      <c r="D16" s="396">
        <f t="shared" ref="D16:M16" si="16">C14*D18/12</f>
        <v>0</v>
      </c>
      <c r="E16" s="396">
        <f t="shared" si="16"/>
        <v>0</v>
      </c>
      <c r="F16" s="396">
        <f t="shared" si="16"/>
        <v>0</v>
      </c>
      <c r="G16" s="396">
        <f t="shared" si="16"/>
        <v>0</v>
      </c>
      <c r="H16" s="396">
        <f t="shared" si="16"/>
        <v>0</v>
      </c>
      <c r="I16" s="396">
        <f t="shared" si="16"/>
        <v>0</v>
      </c>
      <c r="J16" s="396">
        <f t="shared" si="16"/>
        <v>4.1660999524470554</v>
      </c>
      <c r="K16" s="396">
        <f t="shared" si="16"/>
        <v>4.0089554501765425</v>
      </c>
      <c r="L16" s="396">
        <f t="shared" si="16"/>
        <v>1.4580870918361475</v>
      </c>
      <c r="M16" s="396">
        <f t="shared" si="16"/>
        <v>0.64204497683978967</v>
      </c>
      <c r="N16" s="396">
        <f>SUM(B16:M16)</f>
        <v>10.275187471299537</v>
      </c>
      <c r="O16" s="396">
        <f>N14*O18/12</f>
        <v>2.6910981804226641</v>
      </c>
      <c r="P16" s="396">
        <f t="shared" ref="P16:BM16" si="17">O14*P18/12</f>
        <v>4.9314277771604003</v>
      </c>
      <c r="Q16" s="396">
        <f t="shared" si="17"/>
        <v>7.056720561818179</v>
      </c>
      <c r="R16" s="396">
        <f t="shared" si="17"/>
        <v>9.2564314335272577</v>
      </c>
      <c r="S16" s="396">
        <f t="shared" si="17"/>
        <v>11.440053558918665</v>
      </c>
      <c r="T16" s="396">
        <f t="shared" si="17"/>
        <v>13.506619932843106</v>
      </c>
      <c r="U16" s="396">
        <f t="shared" si="17"/>
        <v>15.215446020075335</v>
      </c>
      <c r="V16" s="396">
        <f t="shared" si="17"/>
        <v>17.0115084687958</v>
      </c>
      <c r="W16" s="396">
        <f t="shared" si="17"/>
        <v>18.747593175878016</v>
      </c>
      <c r="X16" s="396">
        <f t="shared" si="17"/>
        <v>20.329938337986722</v>
      </c>
      <c r="Y16" s="396">
        <f t="shared" si="17"/>
        <v>22.345262783946666</v>
      </c>
      <c r="Z16" s="396">
        <f t="shared" si="17"/>
        <v>24.397487584995428</v>
      </c>
      <c r="AA16" s="396">
        <f>SUM(O16:Z16)</f>
        <v>166.92958781636821</v>
      </c>
      <c r="AB16" s="396">
        <f t="shared" si="17"/>
        <v>26.934134036423277</v>
      </c>
      <c r="AC16" s="396">
        <f t="shared" si="17"/>
        <v>30.167944832839279</v>
      </c>
      <c r="AD16" s="396">
        <f t="shared" si="17"/>
        <v>33.137279035428541</v>
      </c>
      <c r="AE16" s="396">
        <f t="shared" si="17"/>
        <v>64.802555774970855</v>
      </c>
      <c r="AF16" s="396">
        <f t="shared" si="17"/>
        <v>70.154560277271813</v>
      </c>
      <c r="AG16" s="396">
        <f t="shared" si="17"/>
        <v>75.469242545054627</v>
      </c>
      <c r="AH16" s="396">
        <f t="shared" si="17"/>
        <v>172.84440834272957</v>
      </c>
      <c r="AI16" s="396">
        <f t="shared" si="17"/>
        <v>182.93872534399065</v>
      </c>
      <c r="AJ16" s="396">
        <f t="shared" si="17"/>
        <v>192.98578367556544</v>
      </c>
      <c r="AK16" s="396">
        <f t="shared" si="17"/>
        <v>351.11942507030614</v>
      </c>
      <c r="AL16" s="396">
        <f t="shared" si="17"/>
        <v>363.62525551803895</v>
      </c>
      <c r="AM16" s="396">
        <f t="shared" si="17"/>
        <v>376.49849587449302</v>
      </c>
      <c r="AN16" s="396">
        <f>SUM(AB16:AM16)</f>
        <v>1940.6778103271122</v>
      </c>
      <c r="AO16" s="396">
        <f t="shared" si="17"/>
        <v>384.33461294722537</v>
      </c>
      <c r="AP16" s="396">
        <f t="shared" si="17"/>
        <v>410.0835141499403</v>
      </c>
      <c r="AQ16" s="396">
        <f t="shared" si="17"/>
        <v>434.50826457997164</v>
      </c>
      <c r="AR16" s="396">
        <f t="shared" si="17"/>
        <v>477.84622706824467</v>
      </c>
      <c r="AS16" s="396">
        <f t="shared" si="17"/>
        <v>498.32367262089468</v>
      </c>
      <c r="AT16" s="396">
        <f t="shared" si="17"/>
        <v>517.31009603808502</v>
      </c>
      <c r="AU16" s="396">
        <f t="shared" si="17"/>
        <v>528.59899716076757</v>
      </c>
      <c r="AV16" s="396">
        <f t="shared" si="17"/>
        <v>547.99904582867305</v>
      </c>
      <c r="AW16" s="396">
        <f t="shared" si="17"/>
        <v>567.07185166217948</v>
      </c>
      <c r="AX16" s="396">
        <f t="shared" si="17"/>
        <v>645.72807010375379</v>
      </c>
      <c r="AY16" s="396">
        <f t="shared" si="17"/>
        <v>666.74050559688658</v>
      </c>
      <c r="AZ16" s="396">
        <f t="shared" si="17"/>
        <v>686.07368517370207</v>
      </c>
      <c r="BA16" s="396">
        <f>SUM(AO16:AZ16)</f>
        <v>6364.6185429303232</v>
      </c>
      <c r="BB16" s="396">
        <f t="shared" si="17"/>
        <v>707.56568924994724</v>
      </c>
      <c r="BC16" s="396">
        <f t="shared" si="17"/>
        <v>730.21926296641141</v>
      </c>
      <c r="BD16" s="396">
        <f t="shared" si="17"/>
        <v>749.84834441627891</v>
      </c>
      <c r="BE16" s="396">
        <f t="shared" si="17"/>
        <v>770.18877626251526</v>
      </c>
      <c r="BF16" s="396">
        <f t="shared" si="17"/>
        <v>832.137061064146</v>
      </c>
      <c r="BG16" s="396">
        <f t="shared" si="17"/>
        <v>857.56925314361206</v>
      </c>
      <c r="BH16" s="396">
        <f t="shared" si="17"/>
        <v>832.95559964816493</v>
      </c>
      <c r="BI16" s="396">
        <f t="shared" si="17"/>
        <v>854.89250786442983</v>
      </c>
      <c r="BJ16" s="396">
        <f t="shared" si="17"/>
        <v>877.26872236771317</v>
      </c>
      <c r="BK16" s="396">
        <f t="shared" si="17"/>
        <v>761.57047947395313</v>
      </c>
      <c r="BL16" s="396">
        <f t="shared" si="17"/>
        <v>779.16838973086317</v>
      </c>
      <c r="BM16" s="396">
        <f t="shared" si="17"/>
        <v>796.96236939790117</v>
      </c>
      <c r="BN16" s="396">
        <f>SUM(BB16:BM16)</f>
        <v>9550.3464555859373</v>
      </c>
      <c r="BO16" s="396">
        <f>BN14*BO18</f>
        <v>7016.4267077100167</v>
      </c>
    </row>
    <row r="17" spans="1:68" x14ac:dyDescent="0.25">
      <c r="A17" s="392" t="s">
        <v>437</v>
      </c>
      <c r="B17" s="396">
        <f>B16</f>
        <v>0</v>
      </c>
      <c r="C17" s="396">
        <f>C16+B17</f>
        <v>0</v>
      </c>
      <c r="D17" s="396">
        <f t="shared" ref="D17:M17" si="18">D16+C17</f>
        <v>0</v>
      </c>
      <c r="E17" s="396">
        <f t="shared" si="18"/>
        <v>0</v>
      </c>
      <c r="F17" s="396">
        <f t="shared" si="18"/>
        <v>0</v>
      </c>
      <c r="G17" s="396">
        <f t="shared" si="18"/>
        <v>0</v>
      </c>
      <c r="H17" s="396">
        <f t="shared" si="18"/>
        <v>0</v>
      </c>
      <c r="I17" s="396">
        <f t="shared" si="18"/>
        <v>0</v>
      </c>
      <c r="J17" s="396">
        <f t="shared" si="18"/>
        <v>4.1660999524470554</v>
      </c>
      <c r="K17" s="396">
        <f t="shared" si="18"/>
        <v>8.1750554026235989</v>
      </c>
      <c r="L17" s="396">
        <f t="shared" si="18"/>
        <v>9.6331424944597472</v>
      </c>
      <c r="M17" s="396">
        <f t="shared" si="18"/>
        <v>10.275187471299537</v>
      </c>
      <c r="N17" s="396">
        <f>M17</f>
        <v>10.275187471299537</v>
      </c>
      <c r="O17" s="396">
        <f t="shared" ref="O17:Z17" si="19">O16+N17</f>
        <v>12.966285651722201</v>
      </c>
      <c r="P17" s="396">
        <f t="shared" si="19"/>
        <v>17.8977134288826</v>
      </c>
      <c r="Q17" s="396">
        <f t="shared" si="19"/>
        <v>24.954433990700778</v>
      </c>
      <c r="R17" s="396">
        <f t="shared" si="19"/>
        <v>34.210865424228032</v>
      </c>
      <c r="S17" s="396">
        <f t="shared" si="19"/>
        <v>45.650918983146695</v>
      </c>
      <c r="T17" s="396">
        <f t="shared" si="19"/>
        <v>59.157538915989804</v>
      </c>
      <c r="U17" s="396">
        <f t="shared" si="19"/>
        <v>74.372984936065137</v>
      </c>
      <c r="V17" s="396">
        <f t="shared" si="19"/>
        <v>91.384493404860933</v>
      </c>
      <c r="W17" s="396">
        <f t="shared" si="19"/>
        <v>110.13208658073896</v>
      </c>
      <c r="X17" s="396">
        <f t="shared" si="19"/>
        <v>130.46202491872569</v>
      </c>
      <c r="Y17" s="396">
        <f t="shared" si="19"/>
        <v>152.80728770267234</v>
      </c>
      <c r="Z17" s="396">
        <f t="shared" si="19"/>
        <v>177.20477528766776</v>
      </c>
      <c r="AA17" s="396">
        <f>Z17</f>
        <v>177.20477528766776</v>
      </c>
      <c r="AB17" s="396">
        <f>AB16+AA17</f>
        <v>204.13890932409103</v>
      </c>
      <c r="AC17" s="396">
        <f t="shared" ref="AC17:AM17" si="20">AC16+AB17</f>
        <v>234.30685415693031</v>
      </c>
      <c r="AD17" s="396">
        <f t="shared" si="20"/>
        <v>267.44413319235883</v>
      </c>
      <c r="AE17" s="396">
        <f t="shared" si="20"/>
        <v>332.2466889673297</v>
      </c>
      <c r="AF17" s="396">
        <f t="shared" si="20"/>
        <v>402.4012492446015</v>
      </c>
      <c r="AG17" s="396">
        <f t="shared" si="20"/>
        <v>477.87049178965611</v>
      </c>
      <c r="AH17" s="396">
        <f t="shared" si="20"/>
        <v>650.71490013238565</v>
      </c>
      <c r="AI17" s="396">
        <f t="shared" si="20"/>
        <v>833.65362547637631</v>
      </c>
      <c r="AJ17" s="396">
        <f t="shared" si="20"/>
        <v>1026.6394091519417</v>
      </c>
      <c r="AK17" s="396">
        <f t="shared" si="20"/>
        <v>1377.7588342222477</v>
      </c>
      <c r="AL17" s="396">
        <f t="shared" si="20"/>
        <v>1741.3840897402868</v>
      </c>
      <c r="AM17" s="396">
        <f t="shared" si="20"/>
        <v>2117.8825856147796</v>
      </c>
      <c r="AN17" s="396">
        <f>AM17</f>
        <v>2117.8825856147796</v>
      </c>
      <c r="AO17" s="396">
        <f t="shared" ref="AO17:AZ17" si="21">AO16+AN17</f>
        <v>2502.2171985620048</v>
      </c>
      <c r="AP17" s="396">
        <f t="shared" si="21"/>
        <v>2912.3007127119449</v>
      </c>
      <c r="AQ17" s="396">
        <f t="shared" si="21"/>
        <v>3346.8089772919166</v>
      </c>
      <c r="AR17" s="396">
        <f t="shared" si="21"/>
        <v>3824.6552043601614</v>
      </c>
      <c r="AS17" s="396">
        <f t="shared" si="21"/>
        <v>4322.9788769810557</v>
      </c>
      <c r="AT17" s="396">
        <f t="shared" si="21"/>
        <v>4840.2889730191409</v>
      </c>
      <c r="AU17" s="396">
        <f t="shared" si="21"/>
        <v>5368.8879701799087</v>
      </c>
      <c r="AV17" s="396">
        <f t="shared" si="21"/>
        <v>5916.8870160085817</v>
      </c>
      <c r="AW17" s="396">
        <f t="shared" si="21"/>
        <v>6483.9588676707608</v>
      </c>
      <c r="AX17" s="396">
        <f t="shared" si="21"/>
        <v>7129.6869377745143</v>
      </c>
      <c r="AY17" s="396">
        <f t="shared" si="21"/>
        <v>7796.4274433714008</v>
      </c>
      <c r="AZ17" s="396">
        <f t="shared" si="21"/>
        <v>8482.5011285451037</v>
      </c>
      <c r="BA17" s="396">
        <f>AZ17</f>
        <v>8482.5011285451037</v>
      </c>
      <c r="BB17" s="396">
        <f t="shared" ref="BB17:BM17" si="22">BB16+BA17</f>
        <v>9190.0668177950502</v>
      </c>
      <c r="BC17" s="396">
        <f t="shared" si="22"/>
        <v>9920.2860807614616</v>
      </c>
      <c r="BD17" s="396">
        <f t="shared" si="22"/>
        <v>10670.134425177741</v>
      </c>
      <c r="BE17" s="396">
        <f t="shared" si="22"/>
        <v>11440.323201440257</v>
      </c>
      <c r="BF17" s="396">
        <f t="shared" si="22"/>
        <v>12272.460262504403</v>
      </c>
      <c r="BG17" s="396">
        <f t="shared" si="22"/>
        <v>13130.029515648015</v>
      </c>
      <c r="BH17" s="396">
        <f t="shared" si="22"/>
        <v>13962.98511529618</v>
      </c>
      <c r="BI17" s="396">
        <f t="shared" si="22"/>
        <v>14817.87762316061</v>
      </c>
      <c r="BJ17" s="396">
        <f t="shared" si="22"/>
        <v>15695.146345528323</v>
      </c>
      <c r="BK17" s="396">
        <f t="shared" si="22"/>
        <v>16456.716825002277</v>
      </c>
      <c r="BL17" s="396">
        <f t="shared" si="22"/>
        <v>17235.885214733142</v>
      </c>
      <c r="BM17" s="396">
        <f t="shared" si="22"/>
        <v>18032.847584131043</v>
      </c>
      <c r="BN17" s="396">
        <f>BM17</f>
        <v>18032.847584131043</v>
      </c>
      <c r="BO17" s="396">
        <f>BN17</f>
        <v>18032.847584131043</v>
      </c>
    </row>
    <row r="18" spans="1:68" x14ac:dyDescent="0.25">
      <c r="A18" s="392" t="s">
        <v>434</v>
      </c>
      <c r="B18" s="447">
        <f>Staff16_Summary!D3</f>
        <v>2.18E-2</v>
      </c>
      <c r="C18" s="398">
        <f>B18</f>
        <v>2.18E-2</v>
      </c>
      <c r="D18" s="398">
        <f>C18</f>
        <v>2.18E-2</v>
      </c>
      <c r="E18" s="447">
        <f>Staff16_Summary!E3</f>
        <v>2.18E-2</v>
      </c>
      <c r="F18" s="398">
        <f>E18</f>
        <v>2.18E-2</v>
      </c>
      <c r="G18" s="398">
        <f>F18</f>
        <v>2.18E-2</v>
      </c>
      <c r="H18" s="447">
        <f>Staff16_Summary!F3</f>
        <v>5.7299999999999999E-3</v>
      </c>
      <c r="I18" s="398">
        <f>H18</f>
        <v>5.7299999999999999E-3</v>
      </c>
      <c r="J18" s="398">
        <f>I18</f>
        <v>5.7299999999999999E-3</v>
      </c>
      <c r="K18" s="447">
        <f>Staff16_Summary!G3</f>
        <v>5.6999999999999993E-3</v>
      </c>
      <c r="L18" s="398">
        <f>K18</f>
        <v>5.6999999999999993E-3</v>
      </c>
      <c r="M18" s="398">
        <f>L18</f>
        <v>5.6999999999999993E-3</v>
      </c>
      <c r="N18" s="397"/>
      <c r="O18" s="447">
        <f>Staff16_Summary!H3</f>
        <v>5.6999999999999993E-3</v>
      </c>
      <c r="P18" s="398">
        <f>O18</f>
        <v>5.6999999999999993E-3</v>
      </c>
      <c r="Q18" s="398">
        <f>P18</f>
        <v>5.6999999999999993E-3</v>
      </c>
      <c r="R18" s="447">
        <f>Staff16_Summary!I3</f>
        <v>5.6999999999999993E-3</v>
      </c>
      <c r="S18" s="398">
        <f>R18</f>
        <v>5.6999999999999993E-3</v>
      </c>
      <c r="T18" s="398">
        <f>S18</f>
        <v>5.6999999999999993E-3</v>
      </c>
      <c r="U18" s="447">
        <f>Staff16_Summary!J3</f>
        <v>5.6999999999999993E-3</v>
      </c>
      <c r="V18" s="398">
        <f>U18</f>
        <v>5.6999999999999993E-3</v>
      </c>
      <c r="W18" s="398">
        <f>V18</f>
        <v>5.6999999999999993E-3</v>
      </c>
      <c r="X18" s="447">
        <f>Staff16_Summary!K3</f>
        <v>5.6999999999999993E-3</v>
      </c>
      <c r="Y18" s="398">
        <f>X18</f>
        <v>5.6999999999999993E-3</v>
      </c>
      <c r="Z18" s="398">
        <f>Y18</f>
        <v>5.6999999999999993E-3</v>
      </c>
      <c r="AA18" s="397"/>
      <c r="AB18" s="447">
        <f>Staff16_Summary!L3</f>
        <v>5.6999999999999993E-3</v>
      </c>
      <c r="AC18" s="398">
        <f>AB18</f>
        <v>5.6999999999999993E-3</v>
      </c>
      <c r="AD18" s="398">
        <f>AC18</f>
        <v>5.6999999999999993E-3</v>
      </c>
      <c r="AE18" s="447">
        <f>Staff16_Summary!M3</f>
        <v>1.0200000000000001E-2</v>
      </c>
      <c r="AF18" s="398">
        <f>AE18</f>
        <v>1.0200000000000001E-2</v>
      </c>
      <c r="AG18" s="398">
        <f>AF18</f>
        <v>1.0200000000000001E-2</v>
      </c>
      <c r="AH18" s="447">
        <f>Staff16_Summary!N3</f>
        <v>2.2000000000000002E-2</v>
      </c>
      <c r="AI18" s="398">
        <f>AH18</f>
        <v>2.2000000000000002E-2</v>
      </c>
      <c r="AJ18" s="398">
        <f>AI18</f>
        <v>2.2000000000000002E-2</v>
      </c>
      <c r="AK18" s="447">
        <f>Staff16_Summary!O3</f>
        <v>3.8699999999999998E-2</v>
      </c>
      <c r="AL18" s="398">
        <f>AK18</f>
        <v>3.8699999999999998E-2</v>
      </c>
      <c r="AM18" s="398">
        <f>AL18</f>
        <v>3.8699999999999998E-2</v>
      </c>
      <c r="AN18" s="397"/>
      <c r="AO18" s="447">
        <f>Staff16_Summary!P3</f>
        <v>4.7300000000000002E-2</v>
      </c>
      <c r="AP18" s="398">
        <f>AO18</f>
        <v>4.7300000000000002E-2</v>
      </c>
      <c r="AQ18" s="398">
        <f>AP18</f>
        <v>4.7300000000000002E-2</v>
      </c>
      <c r="AR18" s="447">
        <f>Staff16_Summary!Q3</f>
        <v>4.9800000000000004E-2</v>
      </c>
      <c r="AS18" s="398">
        <f>AR18</f>
        <v>4.9800000000000004E-2</v>
      </c>
      <c r="AT18" s="398">
        <f>AS18</f>
        <v>4.9800000000000004E-2</v>
      </c>
      <c r="AU18" s="447">
        <f>Staff16_Summary!R3</f>
        <v>4.9800000000000004E-2</v>
      </c>
      <c r="AV18" s="398">
        <f>AU18</f>
        <v>4.9800000000000004E-2</v>
      </c>
      <c r="AW18" s="398">
        <f>AV18</f>
        <v>4.9800000000000004E-2</v>
      </c>
      <c r="AX18" s="447">
        <f>Staff16_Summary!S3</f>
        <v>5.4900000000000004E-2</v>
      </c>
      <c r="AY18" s="398">
        <f>AX18</f>
        <v>5.4900000000000004E-2</v>
      </c>
      <c r="AZ18" s="398">
        <f>AY18</f>
        <v>5.4900000000000004E-2</v>
      </c>
      <c r="BA18" s="397"/>
      <c r="BB18" s="447">
        <f>Staff16_Summary!T3</f>
        <v>5.4900000000000004E-2</v>
      </c>
      <c r="BC18" s="398">
        <f>BB18</f>
        <v>5.4900000000000004E-2</v>
      </c>
      <c r="BD18" s="398">
        <f>BC18</f>
        <v>5.4900000000000004E-2</v>
      </c>
      <c r="BE18" s="447">
        <f>Staff16_Summary!U3</f>
        <v>5.4900000000000004E-2</v>
      </c>
      <c r="BF18" s="398">
        <f>BE18</f>
        <v>5.4900000000000004E-2</v>
      </c>
      <c r="BG18" s="398">
        <f>BF18</f>
        <v>5.4900000000000004E-2</v>
      </c>
      <c r="BH18" s="447">
        <f>Staff16_Summary!V3</f>
        <v>5.2000000000000005E-2</v>
      </c>
      <c r="BI18" s="398">
        <f>BH18</f>
        <v>5.2000000000000005E-2</v>
      </c>
      <c r="BJ18" s="398">
        <f>BI18</f>
        <v>5.2000000000000005E-2</v>
      </c>
      <c r="BK18" s="447">
        <f>Staff16_Summary!W3</f>
        <v>4.4039999999999996E-2</v>
      </c>
      <c r="BL18" s="398">
        <f>BK18</f>
        <v>4.4039999999999996E-2</v>
      </c>
      <c r="BM18" s="398">
        <f>BL18</f>
        <v>4.4039999999999996E-2</v>
      </c>
      <c r="BN18" s="397"/>
      <c r="BO18" s="398">
        <f>(Staff16_Summary!X3+Staff16_Summary!Y3+Staff16_Summary!Z3+Staff16_Summary!AA3)/4</f>
        <v>3.15625E-2</v>
      </c>
    </row>
    <row r="19" spans="1:68" x14ac:dyDescent="0.25">
      <c r="A19" s="392"/>
      <c r="B19" s="397"/>
      <c r="C19" s="397"/>
      <c r="D19" s="397"/>
      <c r="E19" s="397"/>
      <c r="F19" s="397"/>
      <c r="G19" s="397"/>
      <c r="H19" s="397"/>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397"/>
      <c r="AM19" s="397"/>
      <c r="AN19" s="397"/>
      <c r="AO19" s="397"/>
      <c r="AP19" s="397"/>
      <c r="AQ19" s="397"/>
      <c r="AR19" s="397"/>
      <c r="AS19" s="397"/>
      <c r="AT19" s="397"/>
      <c r="AU19" s="397"/>
      <c r="AV19" s="397"/>
      <c r="AW19" s="397"/>
      <c r="AX19" s="397"/>
      <c r="AY19" s="397"/>
      <c r="AZ19" s="397"/>
      <c r="BA19" s="397"/>
      <c r="BB19" s="397"/>
      <c r="BC19" s="397"/>
      <c r="BD19" s="397"/>
      <c r="BE19" s="397"/>
      <c r="BF19" s="397"/>
      <c r="BG19" s="397"/>
      <c r="BH19" s="397"/>
      <c r="BI19" s="397"/>
      <c r="BJ19" s="397"/>
      <c r="BK19" s="397"/>
      <c r="BL19" s="397"/>
      <c r="BM19" s="397"/>
      <c r="BN19" s="397"/>
      <c r="BO19" s="397"/>
    </row>
    <row r="20" spans="1:68" s="315" customFormat="1" x14ac:dyDescent="0.25">
      <c r="A20" s="392" t="s">
        <v>447</v>
      </c>
      <c r="B20" s="400">
        <f>B13+B16</f>
        <v>0</v>
      </c>
      <c r="C20" s="400">
        <f t="shared" ref="C20:N20" si="23">C13+C16</f>
        <v>0</v>
      </c>
      <c r="D20" s="400">
        <f t="shared" si="23"/>
        <v>0</v>
      </c>
      <c r="E20" s="400">
        <f t="shared" si="23"/>
        <v>0</v>
      </c>
      <c r="F20" s="400">
        <f t="shared" si="23"/>
        <v>0</v>
      </c>
      <c r="G20" s="400">
        <f t="shared" si="23"/>
        <v>0</v>
      </c>
      <c r="H20" s="400">
        <f t="shared" si="23"/>
        <v>0</v>
      </c>
      <c r="I20" s="400">
        <f t="shared" si="23"/>
        <v>8724.8166543393836</v>
      </c>
      <c r="J20" s="400">
        <f t="shared" si="23"/>
        <v>-280.74434348895142</v>
      </c>
      <c r="K20" s="400">
        <f t="shared" si="23"/>
        <v>-5366.2402200032875</v>
      </c>
      <c r="L20" s="400">
        <f t="shared" si="23"/>
        <v>-1716.5253129004959</v>
      </c>
      <c r="M20" s="400">
        <f t="shared" si="23"/>
        <v>4314.4382630460505</v>
      </c>
      <c r="N20" s="400">
        <f t="shared" si="23"/>
        <v>5675.7450409926987</v>
      </c>
      <c r="O20" s="400">
        <f>O13+O16</f>
        <v>4719.1744597335528</v>
      </c>
      <c r="P20" s="400">
        <f t="shared" ref="P20:AA20" si="24">P13+P16</f>
        <v>4479.2320270566952</v>
      </c>
      <c r="Q20" s="400">
        <f t="shared" si="24"/>
        <v>4638.0269767914569</v>
      </c>
      <c r="R20" s="400">
        <f t="shared" si="24"/>
        <v>4606.3556427838557</v>
      </c>
      <c r="S20" s="400">
        <f t="shared" si="24"/>
        <v>4362.1061039261667</v>
      </c>
      <c r="T20" s="400">
        <f t="shared" si="24"/>
        <v>3611.0352246322745</v>
      </c>
      <c r="U20" s="400">
        <f t="shared" si="24"/>
        <v>3796.3995485894784</v>
      </c>
      <c r="V20" s="400">
        <f t="shared" si="24"/>
        <v>3671.9266812734613</v>
      </c>
      <c r="W20" s="400">
        <f t="shared" si="24"/>
        <v>3350.0005660363149</v>
      </c>
      <c r="X20" s="400">
        <f t="shared" si="24"/>
        <v>4263.1182456220804</v>
      </c>
      <c r="Y20" s="400">
        <f t="shared" si="24"/>
        <v>4342.818528149759</v>
      </c>
      <c r="Z20" s="400">
        <f t="shared" si="24"/>
        <v>5364.7058063804698</v>
      </c>
      <c r="AA20" s="400">
        <f t="shared" si="24"/>
        <v>51204.899810975563</v>
      </c>
      <c r="AB20" s="400">
        <f>AB13+AB16</f>
        <v>6834.9568633332628</v>
      </c>
      <c r="AC20" s="400">
        <f t="shared" ref="AC20:AN20" si="25">AC13+AC16</f>
        <v>6281.3978450207596</v>
      </c>
      <c r="AD20" s="400">
        <f t="shared" si="25"/>
        <v>6508.7454846004712</v>
      </c>
      <c r="AE20" s="400">
        <f t="shared" si="25"/>
        <v>6361.2784408349335</v>
      </c>
      <c r="AF20" s="400">
        <f t="shared" si="25"/>
        <v>6322.7219341394002</v>
      </c>
      <c r="AG20" s="400">
        <f t="shared" si="25"/>
        <v>5566.8932588359576</v>
      </c>
      <c r="AH20" s="400">
        <f t="shared" si="25"/>
        <v>5678.835499939687</v>
      </c>
      <c r="AI20" s="400">
        <f t="shared" si="25"/>
        <v>5663.1523607484269</v>
      </c>
      <c r="AJ20" s="400">
        <f t="shared" si="25"/>
        <v>3802.2532016086698</v>
      </c>
      <c r="AK20" s="400">
        <f t="shared" si="25"/>
        <v>4228.8963080882404</v>
      </c>
      <c r="AL20" s="400">
        <f t="shared" si="25"/>
        <v>4355.3276916278037</v>
      </c>
      <c r="AM20" s="400">
        <f t="shared" si="25"/>
        <v>-18861.611105095057</v>
      </c>
      <c r="AN20" s="400">
        <f t="shared" si="25"/>
        <v>42742.847783682555</v>
      </c>
      <c r="AO20" s="400">
        <f>AO13+AO16</f>
        <v>6916.8254043336665</v>
      </c>
      <c r="AP20" s="400">
        <f t="shared" ref="AP20:BA20" si="26">AP13+AP16</f>
        <v>6606.6375344538874</v>
      </c>
      <c r="AQ20" s="400">
        <f t="shared" si="26"/>
        <v>5343.5225759245495</v>
      </c>
      <c r="AR20" s="400">
        <f t="shared" si="26"/>
        <v>5412.1704566224562</v>
      </c>
      <c r="AS20" s="400">
        <f t="shared" si="26"/>
        <v>5073.3654598956691</v>
      </c>
      <c r="AT20" s="400">
        <f t="shared" si="26"/>
        <v>3237.5272340338797</v>
      </c>
      <c r="AU20" s="400">
        <f t="shared" si="26"/>
        <v>5203.3095195476644</v>
      </c>
      <c r="AV20" s="400">
        <f t="shared" si="26"/>
        <v>5143.8558731796102</v>
      </c>
      <c r="AW20" s="400">
        <f t="shared" si="26"/>
        <v>5065.9997376905822</v>
      </c>
      <c r="AX20" s="400">
        <f t="shared" si="26"/>
        <v>5238.6101451054865</v>
      </c>
      <c r="AY20" s="400">
        <f t="shared" si="26"/>
        <v>4892.5721070866257</v>
      </c>
      <c r="AZ20" s="400">
        <f t="shared" si="26"/>
        <v>5383.7794941890279</v>
      </c>
      <c r="BA20" s="400">
        <f t="shared" si="26"/>
        <v>63518.175542063116</v>
      </c>
      <c r="BB20" s="400">
        <f>BB13+BB16</f>
        <v>5659.1665015918525</v>
      </c>
      <c r="BC20" s="400">
        <f t="shared" ref="BC20:BO20" si="27">BC13+BC16</f>
        <v>5020.7288694948238</v>
      </c>
      <c r="BD20" s="400">
        <f t="shared" si="27"/>
        <v>5195.8443763805062</v>
      </c>
      <c r="BE20" s="400">
        <f t="shared" si="27"/>
        <v>14310.797476072497</v>
      </c>
      <c r="BF20" s="400">
        <f t="shared" si="27"/>
        <v>6391.0861494720266</v>
      </c>
      <c r="BG20" s="400">
        <f t="shared" si="27"/>
        <v>5631.2609606527567</v>
      </c>
      <c r="BH20" s="400">
        <f t="shared" si="27"/>
        <v>5895.3190341708505</v>
      </c>
      <c r="BI20" s="400">
        <f t="shared" si="27"/>
        <v>6018.6343163144611</v>
      </c>
      <c r="BJ20" s="400">
        <f t="shared" si="27"/>
        <v>5943.0327108998936</v>
      </c>
      <c r="BK20" s="400">
        <f t="shared" si="27"/>
        <v>5556.6413941633136</v>
      </c>
      <c r="BL20" s="400">
        <f t="shared" si="27"/>
        <v>5627.6642118120781</v>
      </c>
      <c r="BM20" s="400">
        <f t="shared" si="27"/>
        <v>5943.6317684817186</v>
      </c>
      <c r="BN20" s="400">
        <f t="shared" si="27"/>
        <v>77193.807769506791</v>
      </c>
      <c r="BO20" s="400">
        <f t="shared" si="27"/>
        <v>7016.4267077100167</v>
      </c>
    </row>
    <row r="21" spans="1:68" s="315" customFormat="1" x14ac:dyDescent="0.25">
      <c r="A21" s="394" t="s">
        <v>448</v>
      </c>
      <c r="B21" s="409">
        <f>B20</f>
        <v>0</v>
      </c>
      <c r="C21" s="409">
        <f>C20+B21</f>
        <v>0</v>
      </c>
      <c r="D21" s="409">
        <f t="shared" ref="D21:M21" si="28">D20+C21</f>
        <v>0</v>
      </c>
      <c r="E21" s="409">
        <f t="shared" si="28"/>
        <v>0</v>
      </c>
      <c r="F21" s="409">
        <f t="shared" si="28"/>
        <v>0</v>
      </c>
      <c r="G21" s="409">
        <f t="shared" si="28"/>
        <v>0</v>
      </c>
      <c r="H21" s="409">
        <f t="shared" si="28"/>
        <v>0</v>
      </c>
      <c r="I21" s="409">
        <f t="shared" si="28"/>
        <v>8724.8166543393836</v>
      </c>
      <c r="J21" s="409">
        <f t="shared" si="28"/>
        <v>8444.0723108504317</v>
      </c>
      <c r="K21" s="409">
        <f t="shared" si="28"/>
        <v>3077.8320908471442</v>
      </c>
      <c r="L21" s="409">
        <f t="shared" si="28"/>
        <v>1361.3067779466483</v>
      </c>
      <c r="M21" s="409">
        <f t="shared" si="28"/>
        <v>5675.7450409926987</v>
      </c>
      <c r="N21" s="410">
        <f>M21</f>
        <v>5675.7450409926987</v>
      </c>
      <c r="O21" s="409">
        <f t="shared" ref="O21:Z21" si="29">O20+N21</f>
        <v>10394.919500726251</v>
      </c>
      <c r="P21" s="409">
        <f t="shared" si="29"/>
        <v>14874.151527782946</v>
      </c>
      <c r="Q21" s="409">
        <f t="shared" si="29"/>
        <v>19512.178504574404</v>
      </c>
      <c r="R21" s="409">
        <f t="shared" si="29"/>
        <v>24118.534147358259</v>
      </c>
      <c r="S21" s="409">
        <f t="shared" si="29"/>
        <v>28480.640251284425</v>
      </c>
      <c r="T21" s="409">
        <f t="shared" si="29"/>
        <v>32091.675475916702</v>
      </c>
      <c r="U21" s="409">
        <f t="shared" si="29"/>
        <v>35888.075024506179</v>
      </c>
      <c r="V21" s="409">
        <f t="shared" si="29"/>
        <v>39560.001705779643</v>
      </c>
      <c r="W21" s="409">
        <f t="shared" si="29"/>
        <v>42910.00227181596</v>
      </c>
      <c r="X21" s="409">
        <f t="shared" si="29"/>
        <v>47173.120517438037</v>
      </c>
      <c r="Y21" s="409">
        <f t="shared" si="29"/>
        <v>51515.939045587795</v>
      </c>
      <c r="Z21" s="409">
        <f t="shared" si="29"/>
        <v>56880.644851968267</v>
      </c>
      <c r="AA21" s="410">
        <f>Z21</f>
        <v>56880.644851968267</v>
      </c>
      <c r="AB21" s="409">
        <f t="shared" ref="AB21:AM21" si="30">AB20+AA21</f>
        <v>63715.601715301527</v>
      </c>
      <c r="AC21" s="409">
        <f t="shared" si="30"/>
        <v>69996.999560322292</v>
      </c>
      <c r="AD21" s="409">
        <f t="shared" si="30"/>
        <v>76505.745044922762</v>
      </c>
      <c r="AE21" s="409">
        <f t="shared" si="30"/>
        <v>82867.023485757702</v>
      </c>
      <c r="AF21" s="409">
        <f t="shared" si="30"/>
        <v>89189.745419897095</v>
      </c>
      <c r="AG21" s="409">
        <f t="shared" si="30"/>
        <v>94756.638678733056</v>
      </c>
      <c r="AH21" s="409">
        <f t="shared" si="30"/>
        <v>100435.47417867274</v>
      </c>
      <c r="AI21" s="409">
        <f t="shared" si="30"/>
        <v>106098.62653942117</v>
      </c>
      <c r="AJ21" s="409">
        <f t="shared" si="30"/>
        <v>109900.87974102984</v>
      </c>
      <c r="AK21" s="409">
        <f t="shared" si="30"/>
        <v>114129.77604911808</v>
      </c>
      <c r="AL21" s="409">
        <f t="shared" si="30"/>
        <v>118485.10374074588</v>
      </c>
      <c r="AM21" s="409">
        <f t="shared" si="30"/>
        <v>99623.492635650822</v>
      </c>
      <c r="AN21" s="410">
        <f>AM21</f>
        <v>99623.492635650822</v>
      </c>
      <c r="AO21" s="409">
        <f t="shared" ref="AO21:AZ21" si="31">AO20+AN21</f>
        <v>106540.31803998449</v>
      </c>
      <c r="AP21" s="409">
        <f t="shared" si="31"/>
        <v>113146.95557443837</v>
      </c>
      <c r="AQ21" s="409">
        <f t="shared" si="31"/>
        <v>118490.47815036292</v>
      </c>
      <c r="AR21" s="409">
        <f t="shared" si="31"/>
        <v>123902.64860698537</v>
      </c>
      <c r="AS21" s="409">
        <f t="shared" si="31"/>
        <v>128976.01406688103</v>
      </c>
      <c r="AT21" s="409">
        <f t="shared" si="31"/>
        <v>132213.54130091492</v>
      </c>
      <c r="AU21" s="409">
        <f t="shared" si="31"/>
        <v>137416.8508204626</v>
      </c>
      <c r="AV21" s="409">
        <f t="shared" si="31"/>
        <v>142560.70669364222</v>
      </c>
      <c r="AW21" s="409">
        <f t="shared" si="31"/>
        <v>147626.7064313328</v>
      </c>
      <c r="AX21" s="409">
        <f t="shared" si="31"/>
        <v>152865.31657643829</v>
      </c>
      <c r="AY21" s="409">
        <f t="shared" si="31"/>
        <v>157757.88868352491</v>
      </c>
      <c r="AZ21" s="409">
        <f t="shared" si="31"/>
        <v>163141.66817771393</v>
      </c>
      <c r="BA21" s="410">
        <f>AZ21</f>
        <v>163141.66817771393</v>
      </c>
      <c r="BB21" s="409">
        <f t="shared" ref="BB21:BM21" si="32">BB20+BA21</f>
        <v>168800.83467930579</v>
      </c>
      <c r="BC21" s="409">
        <f t="shared" si="32"/>
        <v>173821.56354880062</v>
      </c>
      <c r="BD21" s="409">
        <f t="shared" si="32"/>
        <v>179017.40792518112</v>
      </c>
      <c r="BE21" s="409">
        <f t="shared" si="32"/>
        <v>193328.20540125362</v>
      </c>
      <c r="BF21" s="409">
        <f t="shared" si="32"/>
        <v>199719.29155072564</v>
      </c>
      <c r="BG21" s="409">
        <f t="shared" si="32"/>
        <v>205350.5525113784</v>
      </c>
      <c r="BH21" s="409">
        <f t="shared" si="32"/>
        <v>211245.87154554925</v>
      </c>
      <c r="BI21" s="409">
        <f t="shared" si="32"/>
        <v>217264.5058618637</v>
      </c>
      <c r="BJ21" s="409">
        <f t="shared" si="32"/>
        <v>223207.53857276359</v>
      </c>
      <c r="BK21" s="409">
        <f t="shared" si="32"/>
        <v>228764.17996692689</v>
      </c>
      <c r="BL21" s="409">
        <f t="shared" si="32"/>
        <v>234391.84417873897</v>
      </c>
      <c r="BM21" s="409">
        <f t="shared" si="32"/>
        <v>240335.47594722069</v>
      </c>
      <c r="BN21" s="410">
        <f>BM21</f>
        <v>240335.47594722069</v>
      </c>
      <c r="BO21" s="410">
        <f>BN21+BO20</f>
        <v>247351.90265493072</v>
      </c>
    </row>
    <row r="22" spans="1:68" x14ac:dyDescent="0.25">
      <c r="A22" s="401" t="s">
        <v>439</v>
      </c>
      <c r="B22" s="396"/>
      <c r="C22" s="396"/>
      <c r="D22" s="396"/>
      <c r="E22" s="396"/>
      <c r="F22" s="396"/>
      <c r="G22" s="396"/>
      <c r="H22" s="396"/>
      <c r="I22" s="396"/>
      <c r="J22" s="396"/>
      <c r="K22" s="396"/>
      <c r="L22" s="396"/>
      <c r="M22" s="396"/>
      <c r="N22" s="396"/>
      <c r="O22" s="396"/>
      <c r="P22" s="396"/>
      <c r="Q22" s="396"/>
      <c r="R22" s="396"/>
      <c r="S22" s="396"/>
      <c r="T22" s="396"/>
      <c r="U22" s="396"/>
      <c r="V22" s="396"/>
      <c r="W22" s="396"/>
      <c r="X22" s="396"/>
      <c r="Y22" s="396"/>
      <c r="Z22" s="396"/>
      <c r="AA22" s="396"/>
      <c r="AB22" s="396"/>
      <c r="AC22" s="396"/>
      <c r="AD22" s="396"/>
      <c r="AE22" s="396"/>
      <c r="AF22" s="396"/>
      <c r="AG22" s="396"/>
      <c r="AH22" s="396"/>
      <c r="AI22" s="396"/>
      <c r="AJ22" s="396"/>
      <c r="AK22" s="396"/>
      <c r="AL22" s="396"/>
      <c r="AM22" s="396"/>
      <c r="AN22" s="396"/>
      <c r="AO22" s="396"/>
      <c r="AP22" s="396"/>
      <c r="AQ22" s="396"/>
      <c r="AR22" s="396"/>
      <c r="AS22" s="396"/>
      <c r="AT22" s="396"/>
      <c r="AU22" s="396"/>
      <c r="AV22" s="396"/>
      <c r="AW22" s="396"/>
      <c r="AX22" s="396"/>
      <c r="AY22" s="396"/>
      <c r="AZ22" s="396"/>
      <c r="BA22" s="396"/>
      <c r="BB22" s="396"/>
      <c r="BC22" s="396"/>
      <c r="BD22" s="396"/>
      <c r="BE22" s="396"/>
      <c r="BF22" s="396"/>
      <c r="BG22" s="396"/>
      <c r="BH22" s="396"/>
      <c r="BI22" s="396"/>
      <c r="BJ22" s="396"/>
      <c r="BK22" s="396"/>
      <c r="BL22" s="396"/>
      <c r="BM22" s="396"/>
      <c r="BN22" s="396"/>
      <c r="BO22" s="396"/>
    </row>
    <row r="23" spans="1:68" x14ac:dyDescent="0.25">
      <c r="A23" s="315" t="s">
        <v>418</v>
      </c>
      <c r="B23" s="396">
        <f>('Upstream Recovery'!E128+'Upstream Recovery'!F128)/12*1000*'Upstream Allocation'!$R$32</f>
        <v>20043.585488351684</v>
      </c>
      <c r="C23" s="396">
        <f>B23</f>
        <v>20043.585488351684</v>
      </c>
      <c r="D23" s="396">
        <f t="shared" ref="D23:M23" si="33">C23</f>
        <v>20043.585488351684</v>
      </c>
      <c r="E23" s="396">
        <f t="shared" si="33"/>
        <v>20043.585488351684</v>
      </c>
      <c r="F23" s="396">
        <f t="shared" si="33"/>
        <v>20043.585488351684</v>
      </c>
      <c r="G23" s="396">
        <f t="shared" si="33"/>
        <v>20043.585488351684</v>
      </c>
      <c r="H23" s="396">
        <f t="shared" si="33"/>
        <v>20043.585488351684</v>
      </c>
      <c r="I23" s="396">
        <f t="shared" si="33"/>
        <v>20043.585488351684</v>
      </c>
      <c r="J23" s="396">
        <f t="shared" si="33"/>
        <v>20043.585488351684</v>
      </c>
      <c r="K23" s="396">
        <f t="shared" si="33"/>
        <v>20043.585488351684</v>
      </c>
      <c r="L23" s="396">
        <f t="shared" si="33"/>
        <v>20043.585488351684</v>
      </c>
      <c r="M23" s="396">
        <f t="shared" si="33"/>
        <v>20043.585488351684</v>
      </c>
      <c r="N23" s="396">
        <f>SUM(B23:M23)</f>
        <v>240523.02586022016</v>
      </c>
      <c r="O23" s="396">
        <f>'Upstream Recovery'!G128/12*1000*'Upstream Allocation'!$R$32</f>
        <v>13104.055787241525</v>
      </c>
      <c r="P23" s="396">
        <f>O23</f>
        <v>13104.055787241525</v>
      </c>
      <c r="Q23" s="396">
        <f t="shared" ref="Q23:Z23" si="34">P23</f>
        <v>13104.055787241525</v>
      </c>
      <c r="R23" s="396">
        <f t="shared" si="34"/>
        <v>13104.055787241525</v>
      </c>
      <c r="S23" s="396">
        <f t="shared" si="34"/>
        <v>13104.055787241525</v>
      </c>
      <c r="T23" s="396">
        <f t="shared" si="34"/>
        <v>13104.055787241525</v>
      </c>
      <c r="U23" s="396">
        <f t="shared" si="34"/>
        <v>13104.055787241525</v>
      </c>
      <c r="V23" s="396">
        <f t="shared" si="34"/>
        <v>13104.055787241525</v>
      </c>
      <c r="W23" s="396">
        <f t="shared" si="34"/>
        <v>13104.055787241525</v>
      </c>
      <c r="X23" s="396">
        <f t="shared" si="34"/>
        <v>13104.055787241525</v>
      </c>
      <c r="Y23" s="396">
        <f t="shared" si="34"/>
        <v>13104.055787241525</v>
      </c>
      <c r="Z23" s="396">
        <f t="shared" si="34"/>
        <v>13104.055787241525</v>
      </c>
      <c r="AA23" s="396">
        <f>SUM(O23:Z23)</f>
        <v>157248.6694468983</v>
      </c>
      <c r="AB23" s="396">
        <f>'Upstream Recovery'!H128/12*1000*'Upstream Allocation'!$R$32</f>
        <v>12882.626182961869</v>
      </c>
      <c r="AC23" s="396">
        <f>AB23</f>
        <v>12882.626182961869</v>
      </c>
      <c r="AD23" s="396">
        <f t="shared" ref="AD23:AM23" si="35">AC23</f>
        <v>12882.626182961869</v>
      </c>
      <c r="AE23" s="396">
        <f t="shared" si="35"/>
        <v>12882.626182961869</v>
      </c>
      <c r="AF23" s="396">
        <f t="shared" si="35"/>
        <v>12882.626182961869</v>
      </c>
      <c r="AG23" s="396">
        <f t="shared" si="35"/>
        <v>12882.626182961869</v>
      </c>
      <c r="AH23" s="396">
        <f t="shared" si="35"/>
        <v>12882.626182961869</v>
      </c>
      <c r="AI23" s="396">
        <f t="shared" si="35"/>
        <v>12882.626182961869</v>
      </c>
      <c r="AJ23" s="396">
        <f t="shared" si="35"/>
        <v>12882.626182961869</v>
      </c>
      <c r="AK23" s="396">
        <f t="shared" si="35"/>
        <v>12882.626182961869</v>
      </c>
      <c r="AL23" s="396">
        <f t="shared" si="35"/>
        <v>12882.626182961869</v>
      </c>
      <c r="AM23" s="396">
        <f t="shared" si="35"/>
        <v>12882.626182961869</v>
      </c>
      <c r="AN23" s="396">
        <f>SUM(AB23:AM23)</f>
        <v>154591.51419554243</v>
      </c>
      <c r="AO23" s="396">
        <f>'Upstream Recovery'!I128/12*1000*'Upstream Allocation'!$R$32</f>
        <v>12661.196578682213</v>
      </c>
      <c r="AP23" s="396">
        <f>AO23</f>
        <v>12661.196578682213</v>
      </c>
      <c r="AQ23" s="396">
        <f t="shared" ref="AQ23:BM23" si="36">AP23</f>
        <v>12661.196578682213</v>
      </c>
      <c r="AR23" s="396">
        <f t="shared" si="36"/>
        <v>12661.196578682213</v>
      </c>
      <c r="AS23" s="396">
        <f t="shared" si="36"/>
        <v>12661.196578682213</v>
      </c>
      <c r="AT23" s="396">
        <f t="shared" si="36"/>
        <v>12661.196578682213</v>
      </c>
      <c r="AU23" s="396">
        <f t="shared" si="36"/>
        <v>12661.196578682213</v>
      </c>
      <c r="AV23" s="396">
        <f t="shared" si="36"/>
        <v>12661.196578682213</v>
      </c>
      <c r="AW23" s="396">
        <f t="shared" si="36"/>
        <v>12661.196578682213</v>
      </c>
      <c r="AX23" s="396">
        <f t="shared" si="36"/>
        <v>12661.196578682213</v>
      </c>
      <c r="AY23" s="396">
        <f t="shared" si="36"/>
        <v>12661.196578682213</v>
      </c>
      <c r="AZ23" s="396">
        <f t="shared" si="36"/>
        <v>12661.196578682213</v>
      </c>
      <c r="BA23" s="396">
        <f>SUM(AO23:AZ23)</f>
        <v>151934.35894418656</v>
      </c>
      <c r="BB23" s="396">
        <f>'Upstream Recovery'!J128/12*1000*'Upstream Allocation'!$R$32</f>
        <v>12439.766974402555</v>
      </c>
      <c r="BC23" s="396">
        <f>BB23</f>
        <v>12439.766974402555</v>
      </c>
      <c r="BD23" s="396">
        <f t="shared" si="36"/>
        <v>12439.766974402555</v>
      </c>
      <c r="BE23" s="396">
        <f t="shared" si="36"/>
        <v>12439.766974402555</v>
      </c>
      <c r="BF23" s="396">
        <f t="shared" si="36"/>
        <v>12439.766974402555</v>
      </c>
      <c r="BG23" s="396">
        <f t="shared" si="36"/>
        <v>12439.766974402555</v>
      </c>
      <c r="BH23" s="396">
        <f t="shared" si="36"/>
        <v>12439.766974402555</v>
      </c>
      <c r="BI23" s="396">
        <f t="shared" si="36"/>
        <v>12439.766974402555</v>
      </c>
      <c r="BJ23" s="396">
        <f t="shared" si="36"/>
        <v>12439.766974402555</v>
      </c>
      <c r="BK23" s="396">
        <f t="shared" si="36"/>
        <v>12439.766974402555</v>
      </c>
      <c r="BL23" s="396">
        <f t="shared" si="36"/>
        <v>12439.766974402555</v>
      </c>
      <c r="BM23" s="396">
        <f t="shared" si="36"/>
        <v>12439.766974402555</v>
      </c>
      <c r="BN23" s="396">
        <f>SUM(BB23:BM23)</f>
        <v>149277.20369283069</v>
      </c>
      <c r="BO23" s="396"/>
      <c r="BP23" s="408"/>
    </row>
    <row r="24" spans="1:68" x14ac:dyDescent="0.25">
      <c r="A24" s="315" t="s">
        <v>419</v>
      </c>
      <c r="B24" s="396">
        <f>'S&amp;TVA Q4 2020'!B44</f>
        <v>0</v>
      </c>
      <c r="C24" s="396">
        <f>'S&amp;TVA Q4 2020'!C44</f>
        <v>0</v>
      </c>
      <c r="D24" s="396">
        <f>'S&amp;TVA Q4 2020'!D44</f>
        <v>0</v>
      </c>
      <c r="E24" s="396">
        <f>'S&amp;TVA Q4 2020'!E44</f>
        <v>0</v>
      </c>
      <c r="F24" s="396">
        <f>'S&amp;TVA Q4 2020'!F44</f>
        <v>0</v>
      </c>
      <c r="G24" s="396">
        <f>'S&amp;TVA Q4 2020'!G44</f>
        <v>0</v>
      </c>
      <c r="H24" s="396">
        <f>'S&amp;TVA Q4 2020'!H44</f>
        <v>0</v>
      </c>
      <c r="I24" s="396">
        <f>'S&amp;TVA Q4 2020'!I44</f>
        <v>0</v>
      </c>
      <c r="J24" s="396">
        <f>'S&amp;TVA Q4 2020'!J44</f>
        <v>7687.74</v>
      </c>
      <c r="K24" s="396">
        <f>'S&amp;TVA Q4 2020'!K44</f>
        <v>12362.109999999999</v>
      </c>
      <c r="L24" s="396">
        <f>'S&amp;TVA Q4 2020'!L44</f>
        <v>12354.59</v>
      </c>
      <c r="M24" s="396">
        <f>'S&amp;TVA Q4 2020'!M44</f>
        <v>12367.12</v>
      </c>
      <c r="N24" s="396">
        <f>SUM(B24:M24)</f>
        <v>44771.56</v>
      </c>
      <c r="O24" s="396">
        <f>'S&amp;TVA 2021'!B46</f>
        <v>12367.12</v>
      </c>
      <c r="P24" s="396">
        <f>'S&amp;TVA 2021'!C46</f>
        <v>12367.12</v>
      </c>
      <c r="Q24" s="396">
        <f>'S&amp;TVA 2021'!D46</f>
        <v>12367.12</v>
      </c>
      <c r="R24" s="396">
        <f>'S&amp;TVA 2021'!E46</f>
        <v>12367.12</v>
      </c>
      <c r="S24" s="396">
        <f>'S&amp;TVA 2021'!F46</f>
        <v>12367.12</v>
      </c>
      <c r="T24" s="396">
        <f>'S&amp;TVA 2021'!G46</f>
        <v>12367.12</v>
      </c>
      <c r="U24" s="396">
        <f>'S&amp;TVA 2021'!H46</f>
        <v>12367.12</v>
      </c>
      <c r="V24" s="396">
        <f>'S&amp;TVA 2021'!I46</f>
        <v>12367.12</v>
      </c>
      <c r="W24" s="396">
        <f>'S&amp;TVA 2021'!J46</f>
        <v>12367.12</v>
      </c>
      <c r="X24" s="396">
        <f>'S&amp;TVA 2021'!K46</f>
        <v>12367.12</v>
      </c>
      <c r="Y24" s="396">
        <f>'S&amp;TVA 2021'!L46</f>
        <v>12367.12</v>
      </c>
      <c r="Z24" s="396">
        <f>'S&amp;TVA 2021'!M46</f>
        <v>12367.12</v>
      </c>
      <c r="AA24" s="396">
        <f>SUM(O24:Z24)</f>
        <v>148405.43999999997</v>
      </c>
      <c r="AB24" s="396">
        <f>'S&amp;TVA 2022'!B46</f>
        <v>12367.12</v>
      </c>
      <c r="AC24" s="396">
        <f>'S&amp;TVA 2022'!C46</f>
        <v>12367.12</v>
      </c>
      <c r="AD24" s="396">
        <f>'S&amp;TVA 2022'!D46</f>
        <v>12367.12</v>
      </c>
      <c r="AE24" s="396">
        <f>'S&amp;TVA 2022'!E46</f>
        <v>12367.12</v>
      </c>
      <c r="AF24" s="396">
        <f>'S&amp;TVA 2022'!F46</f>
        <v>12367.12</v>
      </c>
      <c r="AG24" s="396">
        <f>'S&amp;TVA 2022'!G46</f>
        <v>12367.12</v>
      </c>
      <c r="AH24" s="396">
        <f>'S&amp;TVA 2022'!H46</f>
        <v>12367.12</v>
      </c>
      <c r="AI24" s="396">
        <f>'S&amp;TVA 2022'!I46</f>
        <v>12367.12</v>
      </c>
      <c r="AJ24" s="396">
        <f>'S&amp;TVA 2022'!J46</f>
        <v>13655.79</v>
      </c>
      <c r="AK24" s="396">
        <f>'S&amp;TVA 2022'!K46</f>
        <v>13660.99</v>
      </c>
      <c r="AL24" s="396">
        <f>'S&amp;TVA 2022'!L46</f>
        <v>13683.79</v>
      </c>
      <c r="AM24" s="396">
        <f>'S&amp;TVA 2022'!M46</f>
        <v>31962.620000000003</v>
      </c>
      <c r="AN24" s="396">
        <f>SUM(AB24:AM24)</f>
        <v>171900.15</v>
      </c>
      <c r="AO24" s="396">
        <f>'S&amp;TVA 2023'!B47</f>
        <v>14930.08</v>
      </c>
      <c r="AP24" s="396">
        <f>'S&amp;TVA 2023'!C47</f>
        <v>12367.12</v>
      </c>
      <c r="AQ24" s="396">
        <f>'S&amp;TVA 2023'!D47</f>
        <v>13648.6</v>
      </c>
      <c r="AR24" s="396">
        <f>'S&amp;TVA 2023'!E47</f>
        <v>13648.6</v>
      </c>
      <c r="AS24" s="396">
        <f>'S&amp;TVA 2023'!F47</f>
        <v>13648.6</v>
      </c>
      <c r="AT24" s="396">
        <f>'S&amp;TVA 2023'!G47</f>
        <v>14930.08</v>
      </c>
      <c r="AU24" s="396">
        <f>'S&amp;TVA 2023'!H47</f>
        <v>13648.6</v>
      </c>
      <c r="AV24" s="396">
        <f>'S&amp;TVA 2023'!I47</f>
        <v>13648.6</v>
      </c>
      <c r="AW24" s="396">
        <f>'S&amp;TVA 2023'!J47</f>
        <v>13648.6</v>
      </c>
      <c r="AX24" s="396">
        <f>'S&amp;TVA 2023'!K47</f>
        <v>13648.6</v>
      </c>
      <c r="AY24" s="396">
        <f>'S&amp;TVA 2023'!L47</f>
        <v>13648.6</v>
      </c>
      <c r="AZ24" s="396">
        <f>'S&amp;TVA 2023'!M47</f>
        <v>13648.6</v>
      </c>
      <c r="BA24" s="396">
        <f>SUM(AO24:AZ24)</f>
        <v>165064.68000000002</v>
      </c>
      <c r="BB24" s="396">
        <f>'S&amp;TVA 2024'!B57</f>
        <v>13648.6</v>
      </c>
      <c r="BC24" s="396">
        <f>'S&amp;TVA 2024'!C57</f>
        <v>13648.6</v>
      </c>
      <c r="BD24" s="396">
        <f>'S&amp;TVA 2024'!D57</f>
        <v>13648.6</v>
      </c>
      <c r="BE24" s="396">
        <f>'S&amp;TVA 2024'!E57</f>
        <v>13648.6</v>
      </c>
      <c r="BF24" s="396">
        <f>'S&amp;TVA 2024'!F57</f>
        <v>13648.6</v>
      </c>
      <c r="BG24" s="396">
        <f>'S&amp;TVA 2024'!G57</f>
        <v>13648.6</v>
      </c>
      <c r="BH24" s="396">
        <f>'S&amp;TVA 2024'!H57</f>
        <v>13648.6</v>
      </c>
      <c r="BI24" s="396">
        <f>'S&amp;TVA 2024'!I57</f>
        <v>13648.6</v>
      </c>
      <c r="BJ24" s="396">
        <f>'S&amp;TVA 2024'!J57</f>
        <v>13648.6</v>
      </c>
      <c r="BK24" s="396">
        <f>'S&amp;TVA 2024'!K57</f>
        <v>13648.6</v>
      </c>
      <c r="BL24" s="396">
        <f>'S&amp;TVA 2024'!L57</f>
        <v>13648.6</v>
      </c>
      <c r="BM24" s="396">
        <f>'S&amp;TVA 2024'!M57</f>
        <v>13648.6</v>
      </c>
      <c r="BN24" s="396">
        <f>SUM(BB24:BM24)</f>
        <v>163783.20000000004</v>
      </c>
      <c r="BO24" s="396"/>
      <c r="BP24" s="411"/>
    </row>
    <row r="25" spans="1:68" x14ac:dyDescent="0.25">
      <c r="B25" s="396"/>
      <c r="C25" s="396"/>
      <c r="D25" s="396"/>
      <c r="E25" s="396"/>
      <c r="F25" s="396"/>
      <c r="G25" s="396"/>
      <c r="H25" s="396"/>
      <c r="I25" s="396"/>
      <c r="J25" s="396"/>
      <c r="K25" s="396"/>
      <c r="L25" s="396"/>
      <c r="M25" s="396"/>
      <c r="N25" s="396"/>
      <c r="O25" s="396"/>
      <c r="P25" s="396"/>
      <c r="Q25" s="396"/>
      <c r="R25" s="396"/>
      <c r="S25" s="396"/>
      <c r="T25" s="396"/>
      <c r="U25" s="396"/>
      <c r="V25" s="396"/>
      <c r="W25" s="396"/>
      <c r="X25" s="396"/>
      <c r="Y25" s="396"/>
      <c r="Z25" s="396"/>
      <c r="AA25" s="396"/>
      <c r="AB25" s="396"/>
      <c r="AC25" s="396"/>
      <c r="AD25" s="396"/>
      <c r="AE25" s="396"/>
      <c r="AF25" s="396"/>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6"/>
      <c r="BC25" s="396"/>
      <c r="BD25" s="396"/>
      <c r="BE25" s="396"/>
      <c r="BF25" s="396"/>
      <c r="BG25" s="396"/>
      <c r="BH25" s="396"/>
      <c r="BI25" s="396"/>
      <c r="BJ25" s="396"/>
      <c r="BK25" s="396"/>
      <c r="BL25" s="396"/>
      <c r="BM25" s="396"/>
      <c r="BN25" s="396"/>
      <c r="BO25" s="396"/>
    </row>
    <row r="26" spans="1:68" x14ac:dyDescent="0.25">
      <c r="A26" s="315" t="s">
        <v>417</v>
      </c>
      <c r="B26" s="396">
        <f>B23-B24</f>
        <v>20043.585488351684</v>
      </c>
      <c r="C26" s="396">
        <f t="shared" ref="C26:M26" si="37">C23-C24</f>
        <v>20043.585488351684</v>
      </c>
      <c r="D26" s="396">
        <f t="shared" si="37"/>
        <v>20043.585488351684</v>
      </c>
      <c r="E26" s="396">
        <f t="shared" si="37"/>
        <v>20043.585488351684</v>
      </c>
      <c r="F26" s="396">
        <f t="shared" si="37"/>
        <v>20043.585488351684</v>
      </c>
      <c r="G26" s="396">
        <f t="shared" si="37"/>
        <v>20043.585488351684</v>
      </c>
      <c r="H26" s="396">
        <f t="shared" si="37"/>
        <v>20043.585488351684</v>
      </c>
      <c r="I26" s="396">
        <f t="shared" si="37"/>
        <v>20043.585488351684</v>
      </c>
      <c r="J26" s="396">
        <f t="shared" si="37"/>
        <v>12355.845488351684</v>
      </c>
      <c r="K26" s="396">
        <f t="shared" si="37"/>
        <v>7681.4754883516853</v>
      </c>
      <c r="L26" s="396">
        <f t="shared" si="37"/>
        <v>7688.9954883516839</v>
      </c>
      <c r="M26" s="396">
        <f t="shared" si="37"/>
        <v>7676.4654883516832</v>
      </c>
      <c r="N26" s="396">
        <f>SUM(B26:M26)</f>
        <v>195751.4658602202</v>
      </c>
      <c r="O26" s="396">
        <f>O23-O24</f>
        <v>736.93578724152394</v>
      </c>
      <c r="P26" s="396">
        <f t="shared" ref="P26:Z26" si="38">P23-P24</f>
        <v>736.93578724152394</v>
      </c>
      <c r="Q26" s="396">
        <f t="shared" si="38"/>
        <v>736.93578724152394</v>
      </c>
      <c r="R26" s="396">
        <f t="shared" si="38"/>
        <v>736.93578724152394</v>
      </c>
      <c r="S26" s="396">
        <f t="shared" si="38"/>
        <v>736.93578724152394</v>
      </c>
      <c r="T26" s="396">
        <f t="shared" si="38"/>
        <v>736.93578724152394</v>
      </c>
      <c r="U26" s="396">
        <f t="shared" si="38"/>
        <v>736.93578724152394</v>
      </c>
      <c r="V26" s="396">
        <f t="shared" si="38"/>
        <v>736.93578724152394</v>
      </c>
      <c r="W26" s="396">
        <f t="shared" si="38"/>
        <v>736.93578724152394</v>
      </c>
      <c r="X26" s="396">
        <f t="shared" si="38"/>
        <v>736.93578724152394</v>
      </c>
      <c r="Y26" s="396">
        <f t="shared" si="38"/>
        <v>736.93578724152394</v>
      </c>
      <c r="Z26" s="396">
        <f t="shared" si="38"/>
        <v>736.93578724152394</v>
      </c>
      <c r="AA26" s="396">
        <f>SUM(O26:Z26)</f>
        <v>8843.2294468982873</v>
      </c>
      <c r="AB26" s="396">
        <f>AB23-AB24</f>
        <v>515.50618296186803</v>
      </c>
      <c r="AC26" s="396">
        <f t="shared" ref="AC26:AM26" si="39">AC23-AC24</f>
        <v>515.50618296186803</v>
      </c>
      <c r="AD26" s="396">
        <f t="shared" si="39"/>
        <v>515.50618296186803</v>
      </c>
      <c r="AE26" s="396">
        <f t="shared" si="39"/>
        <v>515.50618296186803</v>
      </c>
      <c r="AF26" s="396">
        <f t="shared" si="39"/>
        <v>515.50618296186803</v>
      </c>
      <c r="AG26" s="396">
        <f t="shared" si="39"/>
        <v>515.50618296186803</v>
      </c>
      <c r="AH26" s="396">
        <f t="shared" si="39"/>
        <v>515.50618296186803</v>
      </c>
      <c r="AI26" s="396">
        <f t="shared" si="39"/>
        <v>515.50618296186803</v>
      </c>
      <c r="AJ26" s="396">
        <f t="shared" si="39"/>
        <v>-773.16381703813204</v>
      </c>
      <c r="AK26" s="396">
        <f t="shared" si="39"/>
        <v>-778.36381703813095</v>
      </c>
      <c r="AL26" s="396">
        <f t="shared" si="39"/>
        <v>-801.16381703813204</v>
      </c>
      <c r="AM26" s="396">
        <f t="shared" si="39"/>
        <v>-19079.993817038136</v>
      </c>
      <c r="AN26" s="396">
        <f>SUM(AB26:AM26)</f>
        <v>-17308.635804457586</v>
      </c>
      <c r="AO26" s="396">
        <f>AO23-AO24</f>
        <v>-2268.883421317787</v>
      </c>
      <c r="AP26" s="396">
        <f t="shared" ref="AP26:AZ26" si="40">AP23-AP24</f>
        <v>294.07657868221213</v>
      </c>
      <c r="AQ26" s="396">
        <f t="shared" si="40"/>
        <v>-987.40342131778743</v>
      </c>
      <c r="AR26" s="396">
        <f t="shared" si="40"/>
        <v>-987.40342131778743</v>
      </c>
      <c r="AS26" s="396">
        <f t="shared" si="40"/>
        <v>-987.40342131778743</v>
      </c>
      <c r="AT26" s="396">
        <f t="shared" si="40"/>
        <v>-2268.883421317787</v>
      </c>
      <c r="AU26" s="396">
        <f t="shared" si="40"/>
        <v>-987.40342131778743</v>
      </c>
      <c r="AV26" s="396">
        <f t="shared" si="40"/>
        <v>-987.40342131778743</v>
      </c>
      <c r="AW26" s="396">
        <f t="shared" si="40"/>
        <v>-987.40342131778743</v>
      </c>
      <c r="AX26" s="396">
        <f t="shared" si="40"/>
        <v>-987.40342131778743</v>
      </c>
      <c r="AY26" s="396">
        <f t="shared" si="40"/>
        <v>-987.40342131778743</v>
      </c>
      <c r="AZ26" s="396">
        <f t="shared" si="40"/>
        <v>-987.40342131778743</v>
      </c>
      <c r="BA26" s="396">
        <f>SUM(AO26:AZ26)</f>
        <v>-13130.321055813449</v>
      </c>
      <c r="BB26" s="396">
        <f>BB23-BB24</f>
        <v>-1208.8330255974452</v>
      </c>
      <c r="BC26" s="396">
        <f t="shared" ref="BC26:BM26" si="41">BC23-BC24</f>
        <v>-1208.8330255974452</v>
      </c>
      <c r="BD26" s="396">
        <f t="shared" si="41"/>
        <v>-1208.8330255974452</v>
      </c>
      <c r="BE26" s="396">
        <f t="shared" si="41"/>
        <v>-1208.8330255974452</v>
      </c>
      <c r="BF26" s="396">
        <f t="shared" si="41"/>
        <v>-1208.8330255974452</v>
      </c>
      <c r="BG26" s="396">
        <f t="shared" si="41"/>
        <v>-1208.8330255974452</v>
      </c>
      <c r="BH26" s="396">
        <f t="shared" si="41"/>
        <v>-1208.8330255974452</v>
      </c>
      <c r="BI26" s="396">
        <f t="shared" si="41"/>
        <v>-1208.8330255974452</v>
      </c>
      <c r="BJ26" s="396">
        <f t="shared" si="41"/>
        <v>-1208.8330255974452</v>
      </c>
      <c r="BK26" s="396">
        <f t="shared" si="41"/>
        <v>-1208.8330255974452</v>
      </c>
      <c r="BL26" s="396">
        <f t="shared" si="41"/>
        <v>-1208.8330255974452</v>
      </c>
      <c r="BM26" s="396">
        <f t="shared" si="41"/>
        <v>-1208.8330255974452</v>
      </c>
      <c r="BN26" s="396">
        <f>SUM(BB26:BM26)</f>
        <v>-14505.996307169342</v>
      </c>
      <c r="BO26" s="396"/>
    </row>
    <row r="27" spans="1:68" x14ac:dyDescent="0.25">
      <c r="A27" s="392" t="s">
        <v>432</v>
      </c>
      <c r="B27" s="396">
        <f>B26</f>
        <v>20043.585488351684</v>
      </c>
      <c r="C27" s="396">
        <f>C26+B27</f>
        <v>40087.170976703368</v>
      </c>
      <c r="D27" s="396">
        <f t="shared" ref="D27:M27" si="42">D26+C27</f>
        <v>60130.756465055048</v>
      </c>
      <c r="E27" s="396">
        <f t="shared" si="42"/>
        <v>80174.341953406736</v>
      </c>
      <c r="F27" s="396">
        <f t="shared" si="42"/>
        <v>100217.92744175842</v>
      </c>
      <c r="G27" s="396">
        <f t="shared" si="42"/>
        <v>120261.51293011011</v>
      </c>
      <c r="H27" s="396">
        <f t="shared" si="42"/>
        <v>140305.0984184618</v>
      </c>
      <c r="I27" s="396">
        <f t="shared" si="42"/>
        <v>160348.68390681347</v>
      </c>
      <c r="J27" s="396">
        <f t="shared" si="42"/>
        <v>172704.52939516515</v>
      </c>
      <c r="K27" s="396">
        <f t="shared" si="42"/>
        <v>180386.00488351684</v>
      </c>
      <c r="L27" s="396">
        <f t="shared" si="42"/>
        <v>188075.00037186852</v>
      </c>
      <c r="M27" s="396">
        <f t="shared" si="42"/>
        <v>195751.4658602202</v>
      </c>
      <c r="N27" s="396">
        <f>M27</f>
        <v>195751.4658602202</v>
      </c>
      <c r="O27" s="396">
        <f t="shared" ref="O27:Z27" si="43">O26+N27</f>
        <v>196488.40164746172</v>
      </c>
      <c r="P27" s="396">
        <f t="shared" si="43"/>
        <v>197225.33743470325</v>
      </c>
      <c r="Q27" s="396">
        <f t="shared" si="43"/>
        <v>197962.27322194478</v>
      </c>
      <c r="R27" s="396">
        <f t="shared" si="43"/>
        <v>198699.20900918631</v>
      </c>
      <c r="S27" s="396">
        <f t="shared" si="43"/>
        <v>199436.14479642783</v>
      </c>
      <c r="T27" s="396">
        <f t="shared" si="43"/>
        <v>200173.08058366936</v>
      </c>
      <c r="U27" s="396">
        <f t="shared" si="43"/>
        <v>200910.01637091089</v>
      </c>
      <c r="V27" s="396">
        <f t="shared" si="43"/>
        <v>201646.95215815242</v>
      </c>
      <c r="W27" s="396">
        <f t="shared" si="43"/>
        <v>202383.88794539394</v>
      </c>
      <c r="X27" s="396">
        <f t="shared" si="43"/>
        <v>203120.82373263547</v>
      </c>
      <c r="Y27" s="396">
        <f t="shared" si="43"/>
        <v>203857.759519877</v>
      </c>
      <c r="Z27" s="396">
        <f t="shared" si="43"/>
        <v>204594.69530711853</v>
      </c>
      <c r="AA27" s="396">
        <f>Z27</f>
        <v>204594.69530711853</v>
      </c>
      <c r="AB27" s="396">
        <f t="shared" ref="AB27:AM27" si="44">AB26+AA27</f>
        <v>205110.20149008039</v>
      </c>
      <c r="AC27" s="396">
        <f t="shared" si="44"/>
        <v>205625.70767304226</v>
      </c>
      <c r="AD27" s="396">
        <f t="shared" si="44"/>
        <v>206141.21385600412</v>
      </c>
      <c r="AE27" s="396">
        <f t="shared" si="44"/>
        <v>206656.72003896598</v>
      </c>
      <c r="AF27" s="396">
        <f t="shared" si="44"/>
        <v>207172.22622192785</v>
      </c>
      <c r="AG27" s="396">
        <f t="shared" si="44"/>
        <v>207687.73240488971</v>
      </c>
      <c r="AH27" s="396">
        <f t="shared" si="44"/>
        <v>208203.23858785158</v>
      </c>
      <c r="AI27" s="396">
        <f t="shared" si="44"/>
        <v>208718.74477081344</v>
      </c>
      <c r="AJ27" s="396">
        <f t="shared" si="44"/>
        <v>207945.58095377532</v>
      </c>
      <c r="AK27" s="396">
        <f t="shared" si="44"/>
        <v>207167.21713673719</v>
      </c>
      <c r="AL27" s="396">
        <f t="shared" si="44"/>
        <v>206366.05331969907</v>
      </c>
      <c r="AM27" s="396">
        <f t="shared" si="44"/>
        <v>187286.05950266094</v>
      </c>
      <c r="AN27" s="396">
        <f>AM27</f>
        <v>187286.05950266094</v>
      </c>
      <c r="AO27" s="396">
        <f t="shared" ref="AO27:AZ27" si="45">AO26+AN27</f>
        <v>185017.17608134315</v>
      </c>
      <c r="AP27" s="396">
        <f t="shared" si="45"/>
        <v>185311.25266002535</v>
      </c>
      <c r="AQ27" s="396">
        <f t="shared" si="45"/>
        <v>184323.84923870757</v>
      </c>
      <c r="AR27" s="396">
        <f t="shared" si="45"/>
        <v>183336.44581738979</v>
      </c>
      <c r="AS27" s="396">
        <f t="shared" si="45"/>
        <v>182349.04239607201</v>
      </c>
      <c r="AT27" s="396">
        <f t="shared" si="45"/>
        <v>180080.15897475422</v>
      </c>
      <c r="AU27" s="396">
        <f t="shared" si="45"/>
        <v>179092.75555343644</v>
      </c>
      <c r="AV27" s="396">
        <f t="shared" si="45"/>
        <v>178105.35213211866</v>
      </c>
      <c r="AW27" s="396">
        <f t="shared" si="45"/>
        <v>177117.94871080088</v>
      </c>
      <c r="AX27" s="396">
        <f t="shared" si="45"/>
        <v>176130.5452894831</v>
      </c>
      <c r="AY27" s="396">
        <f t="shared" si="45"/>
        <v>175143.14186816532</v>
      </c>
      <c r="AZ27" s="396">
        <f t="shared" si="45"/>
        <v>174155.73844684754</v>
      </c>
      <c r="BA27" s="396">
        <f>AZ27</f>
        <v>174155.73844684754</v>
      </c>
      <c r="BB27" s="396">
        <f t="shared" ref="BB27:BM27" si="46">BB26+BA27</f>
        <v>172946.90542125009</v>
      </c>
      <c r="BC27" s="396">
        <f t="shared" si="46"/>
        <v>171738.07239565265</v>
      </c>
      <c r="BD27" s="396">
        <f t="shared" si="46"/>
        <v>170529.23937005521</v>
      </c>
      <c r="BE27" s="396">
        <f t="shared" si="46"/>
        <v>169320.40634445776</v>
      </c>
      <c r="BF27" s="396">
        <f t="shared" si="46"/>
        <v>168111.57331886032</v>
      </c>
      <c r="BG27" s="396">
        <f t="shared" si="46"/>
        <v>166902.74029326288</v>
      </c>
      <c r="BH27" s="396">
        <f t="shared" si="46"/>
        <v>165693.90726766543</v>
      </c>
      <c r="BI27" s="396">
        <f t="shared" si="46"/>
        <v>164485.07424206799</v>
      </c>
      <c r="BJ27" s="396">
        <f t="shared" si="46"/>
        <v>163276.24121647055</v>
      </c>
      <c r="BK27" s="396">
        <f t="shared" si="46"/>
        <v>162067.4081908731</v>
      </c>
      <c r="BL27" s="396">
        <f t="shared" si="46"/>
        <v>160858.57516527566</v>
      </c>
      <c r="BM27" s="396">
        <f t="shared" si="46"/>
        <v>159649.74213967822</v>
      </c>
      <c r="BN27" s="396">
        <f>BM27</f>
        <v>159649.74213967822</v>
      </c>
      <c r="BO27" s="396"/>
    </row>
    <row r="28" spans="1:68" x14ac:dyDescent="0.25">
      <c r="A28" s="392"/>
      <c r="B28" s="397"/>
      <c r="C28" s="397"/>
      <c r="D28" s="397"/>
      <c r="E28" s="397"/>
      <c r="F28" s="397"/>
      <c r="G28" s="397"/>
      <c r="H28" s="397"/>
      <c r="I28" s="397"/>
      <c r="J28" s="397"/>
      <c r="K28" s="397"/>
      <c r="L28" s="397"/>
      <c r="M28" s="397"/>
      <c r="N28" s="397"/>
      <c r="O28" s="397"/>
      <c r="P28" s="397"/>
      <c r="Q28" s="397"/>
      <c r="R28" s="397"/>
      <c r="S28" s="397"/>
      <c r="T28" s="397"/>
      <c r="U28" s="397"/>
      <c r="V28" s="397"/>
      <c r="W28" s="397"/>
      <c r="X28" s="397"/>
      <c r="Y28" s="397"/>
      <c r="Z28" s="397"/>
      <c r="AA28" s="397"/>
      <c r="AB28" s="397"/>
      <c r="AC28" s="397"/>
      <c r="AD28" s="397"/>
      <c r="AE28" s="397"/>
      <c r="AF28" s="397"/>
      <c r="AG28" s="397"/>
      <c r="AH28" s="397"/>
      <c r="AI28" s="397"/>
      <c r="AJ28" s="397"/>
      <c r="AK28" s="397"/>
      <c r="AL28" s="397"/>
      <c r="AM28" s="397"/>
      <c r="AN28" s="397"/>
      <c r="AO28" s="397"/>
      <c r="AP28" s="397"/>
      <c r="AQ28" s="397"/>
      <c r="AR28" s="397"/>
      <c r="AS28" s="397"/>
      <c r="AT28" s="397"/>
      <c r="AU28" s="397"/>
      <c r="AV28" s="397"/>
      <c r="AW28" s="397"/>
      <c r="AX28" s="397"/>
      <c r="AY28" s="397"/>
      <c r="AZ28" s="397"/>
      <c r="BA28" s="397"/>
      <c r="BB28" s="397"/>
      <c r="BC28" s="397"/>
      <c r="BD28" s="397"/>
      <c r="BE28" s="397"/>
      <c r="BF28" s="397"/>
      <c r="BG28" s="397"/>
      <c r="BH28" s="397"/>
      <c r="BI28" s="397"/>
      <c r="BJ28" s="397"/>
      <c r="BK28" s="397"/>
      <c r="BL28" s="397"/>
      <c r="BM28" s="397"/>
      <c r="BN28" s="397"/>
      <c r="BO28" s="397"/>
    </row>
    <row r="29" spans="1:68" x14ac:dyDescent="0.25">
      <c r="A29" s="392" t="s">
        <v>433</v>
      </c>
      <c r="B29" s="396">
        <v>0</v>
      </c>
      <c r="C29" s="396">
        <f>B27*C31/12</f>
        <v>62.135115013890214</v>
      </c>
      <c r="D29" s="396">
        <f t="shared" ref="D29:M29" si="47">C27*D31/12</f>
        <v>124.27023002778043</v>
      </c>
      <c r="E29" s="396">
        <f t="shared" si="47"/>
        <v>186.40534504167064</v>
      </c>
      <c r="F29" s="396">
        <f t="shared" si="47"/>
        <v>248.54046005556086</v>
      </c>
      <c r="G29" s="396">
        <f t="shared" si="47"/>
        <v>310.6755750694511</v>
      </c>
      <c r="H29" s="396">
        <f t="shared" si="47"/>
        <v>372.81069008334134</v>
      </c>
      <c r="I29" s="396">
        <f t="shared" si="47"/>
        <v>434.94580509723158</v>
      </c>
      <c r="J29" s="396">
        <f t="shared" si="47"/>
        <v>497.08092011112171</v>
      </c>
      <c r="K29" s="396">
        <f t="shared" si="47"/>
        <v>535.384041125012</v>
      </c>
      <c r="L29" s="396">
        <f t="shared" si="47"/>
        <v>559.19661513890219</v>
      </c>
      <c r="M29" s="396">
        <f t="shared" si="47"/>
        <v>583.03250115279241</v>
      </c>
      <c r="N29" s="396">
        <f>SUM(B29:M29)</f>
        <v>3914.4772979167551</v>
      </c>
      <c r="O29" s="396">
        <f>N27*O31/12</f>
        <v>606.82954416668258</v>
      </c>
      <c r="P29" s="396">
        <f t="shared" ref="P29:Z29" si="48">O27*P31/12</f>
        <v>609.11404510713135</v>
      </c>
      <c r="Q29" s="396">
        <f t="shared" si="48"/>
        <v>611.39854604758</v>
      </c>
      <c r="R29" s="396">
        <f t="shared" si="48"/>
        <v>613.68304698802876</v>
      </c>
      <c r="S29" s="396">
        <f t="shared" si="48"/>
        <v>615.96754792847753</v>
      </c>
      <c r="T29" s="396">
        <f t="shared" si="48"/>
        <v>618.25204886892618</v>
      </c>
      <c r="U29" s="396">
        <f t="shared" si="48"/>
        <v>620.53654980937495</v>
      </c>
      <c r="V29" s="396">
        <f t="shared" si="48"/>
        <v>622.82105074982371</v>
      </c>
      <c r="W29" s="396">
        <f t="shared" si="48"/>
        <v>625.10555169027248</v>
      </c>
      <c r="X29" s="396">
        <f t="shared" si="48"/>
        <v>627.39005263072124</v>
      </c>
      <c r="Y29" s="396">
        <f t="shared" si="48"/>
        <v>629.67455357116989</v>
      </c>
      <c r="Z29" s="396">
        <f t="shared" si="48"/>
        <v>631.95905451161866</v>
      </c>
      <c r="AA29" s="396">
        <f>SUM(O29:Z29)</f>
        <v>7432.7315920698074</v>
      </c>
      <c r="AB29" s="396">
        <f t="shared" ref="AB29:BM29" si="49">AA27*AB31/12</f>
        <v>634.24355545206743</v>
      </c>
      <c r="AC29" s="396">
        <f t="shared" si="49"/>
        <v>635.84162461924916</v>
      </c>
      <c r="AD29" s="396">
        <f t="shared" si="49"/>
        <v>637.43969378643089</v>
      </c>
      <c r="AE29" s="396">
        <f t="shared" si="49"/>
        <v>639.03776295361274</v>
      </c>
      <c r="AF29" s="396">
        <f t="shared" si="49"/>
        <v>640.63583212079448</v>
      </c>
      <c r="AG29" s="396">
        <f t="shared" si="49"/>
        <v>642.23390128797621</v>
      </c>
      <c r="AH29" s="396">
        <f t="shared" si="49"/>
        <v>643.83197045515806</v>
      </c>
      <c r="AI29" s="396">
        <f t="shared" si="49"/>
        <v>645.4300396223399</v>
      </c>
      <c r="AJ29" s="396">
        <f t="shared" si="49"/>
        <v>647.02810878952164</v>
      </c>
      <c r="AK29" s="396">
        <f t="shared" si="49"/>
        <v>644.63130095670351</v>
      </c>
      <c r="AL29" s="396">
        <f t="shared" si="49"/>
        <v>642.21837312388527</v>
      </c>
      <c r="AM29" s="396">
        <f t="shared" si="49"/>
        <v>639.73476529106711</v>
      </c>
      <c r="AN29" s="396">
        <f>SUM(AB29:AM29)</f>
        <v>7692.3069284588073</v>
      </c>
      <c r="AO29" s="396">
        <f t="shared" si="49"/>
        <v>580.58678445824887</v>
      </c>
      <c r="AP29" s="396">
        <f t="shared" si="49"/>
        <v>573.55324585216374</v>
      </c>
      <c r="AQ29" s="396">
        <f t="shared" si="49"/>
        <v>574.46488324607856</v>
      </c>
      <c r="AR29" s="396">
        <f t="shared" si="49"/>
        <v>571.4039326399934</v>
      </c>
      <c r="AS29" s="396">
        <f t="shared" si="49"/>
        <v>568.34298203390824</v>
      </c>
      <c r="AT29" s="396">
        <f t="shared" si="49"/>
        <v>565.2820314278232</v>
      </c>
      <c r="AU29" s="396">
        <f t="shared" si="49"/>
        <v>558.24849282173807</v>
      </c>
      <c r="AV29" s="396">
        <f t="shared" si="49"/>
        <v>555.18754221565291</v>
      </c>
      <c r="AW29" s="396">
        <f t="shared" si="49"/>
        <v>552.12659160956775</v>
      </c>
      <c r="AX29" s="396">
        <f t="shared" si="49"/>
        <v>549.06564100348271</v>
      </c>
      <c r="AY29" s="396">
        <f t="shared" si="49"/>
        <v>546.00469039739755</v>
      </c>
      <c r="AZ29" s="396">
        <f t="shared" si="49"/>
        <v>542.9437397913124</v>
      </c>
      <c r="BA29" s="396">
        <f>SUM(AO29:AZ29)</f>
        <v>6737.2105574973675</v>
      </c>
      <c r="BB29" s="396">
        <f t="shared" si="49"/>
        <v>539.88278918522735</v>
      </c>
      <c r="BC29" s="396">
        <f t="shared" si="49"/>
        <v>536.13540680587528</v>
      </c>
      <c r="BD29" s="396">
        <f t="shared" si="49"/>
        <v>532.3880244265232</v>
      </c>
      <c r="BE29" s="396">
        <f t="shared" si="49"/>
        <v>528.64064204717113</v>
      </c>
      <c r="BF29" s="396">
        <f t="shared" si="49"/>
        <v>524.89325966781905</v>
      </c>
      <c r="BG29" s="396">
        <f t="shared" si="49"/>
        <v>521.14587728846698</v>
      </c>
      <c r="BH29" s="396">
        <f t="shared" si="49"/>
        <v>517.3984949091149</v>
      </c>
      <c r="BI29" s="396">
        <f t="shared" si="49"/>
        <v>513.65111252976283</v>
      </c>
      <c r="BJ29" s="396">
        <f t="shared" si="49"/>
        <v>509.90373015041069</v>
      </c>
      <c r="BK29" s="396">
        <f t="shared" si="49"/>
        <v>506.15634777105862</v>
      </c>
      <c r="BL29" s="396">
        <f t="shared" si="49"/>
        <v>502.40896539170654</v>
      </c>
      <c r="BM29" s="396">
        <f t="shared" si="49"/>
        <v>498.66158301235447</v>
      </c>
      <c r="BN29" s="396">
        <f>SUM(BB29:BM29)</f>
        <v>6231.2662331854908</v>
      </c>
      <c r="BO29" s="396">
        <f>BN27*BO31</f>
        <v>5938.970407596029</v>
      </c>
    </row>
    <row r="30" spans="1:68" x14ac:dyDescent="0.25">
      <c r="A30" s="392" t="s">
        <v>437</v>
      </c>
      <c r="B30" s="396">
        <f>B29</f>
        <v>0</v>
      </c>
      <c r="C30" s="396">
        <f>C29+B30</f>
        <v>62.135115013890214</v>
      </c>
      <c r="D30" s="396">
        <f t="shared" ref="D30:M30" si="50">D29+C30</f>
        <v>186.40534504167064</v>
      </c>
      <c r="E30" s="396">
        <f t="shared" si="50"/>
        <v>372.81069008334129</v>
      </c>
      <c r="F30" s="396">
        <f t="shared" si="50"/>
        <v>621.35115013890209</v>
      </c>
      <c r="G30" s="396">
        <f t="shared" si="50"/>
        <v>932.02672520835313</v>
      </c>
      <c r="H30" s="396">
        <f t="shared" si="50"/>
        <v>1304.8374152916945</v>
      </c>
      <c r="I30" s="396">
        <f t="shared" si="50"/>
        <v>1739.7832203889261</v>
      </c>
      <c r="J30" s="396">
        <f t="shared" si="50"/>
        <v>2236.8641405000481</v>
      </c>
      <c r="K30" s="396">
        <f t="shared" si="50"/>
        <v>2772.2481816250602</v>
      </c>
      <c r="L30" s="396">
        <f t="shared" si="50"/>
        <v>3331.4447967639626</v>
      </c>
      <c r="M30" s="396">
        <f t="shared" si="50"/>
        <v>3914.4772979167551</v>
      </c>
      <c r="N30" s="396">
        <f>M30</f>
        <v>3914.4772979167551</v>
      </c>
      <c r="O30" s="396">
        <f t="shared" ref="O30:Z30" si="51">O29+N30</f>
        <v>4521.3068420834379</v>
      </c>
      <c r="P30" s="396">
        <f t="shared" si="51"/>
        <v>5130.4208871905694</v>
      </c>
      <c r="Q30" s="396">
        <f t="shared" si="51"/>
        <v>5741.819433238149</v>
      </c>
      <c r="R30" s="396">
        <f t="shared" si="51"/>
        <v>6355.5024802261778</v>
      </c>
      <c r="S30" s="396">
        <f t="shared" si="51"/>
        <v>6971.4700281546557</v>
      </c>
      <c r="T30" s="396">
        <f t="shared" si="51"/>
        <v>7589.7220770235817</v>
      </c>
      <c r="U30" s="396">
        <f t="shared" si="51"/>
        <v>8210.258626832956</v>
      </c>
      <c r="V30" s="396">
        <f t="shared" si="51"/>
        <v>8833.0796775827803</v>
      </c>
      <c r="W30" s="396">
        <f t="shared" si="51"/>
        <v>9458.1852292730528</v>
      </c>
      <c r="X30" s="396">
        <f t="shared" si="51"/>
        <v>10085.575281903773</v>
      </c>
      <c r="Y30" s="396">
        <f t="shared" si="51"/>
        <v>10715.249835474944</v>
      </c>
      <c r="Z30" s="396">
        <f t="shared" si="51"/>
        <v>11347.208889986563</v>
      </c>
      <c r="AA30" s="396">
        <f>Z30</f>
        <v>11347.208889986563</v>
      </c>
      <c r="AB30" s="396">
        <f t="shared" ref="AB30:AM30" si="52">AB29+AA30</f>
        <v>11981.45244543863</v>
      </c>
      <c r="AC30" s="396">
        <f t="shared" si="52"/>
        <v>12617.29407005788</v>
      </c>
      <c r="AD30" s="396">
        <f t="shared" si="52"/>
        <v>13254.733763844311</v>
      </c>
      <c r="AE30" s="396">
        <f t="shared" si="52"/>
        <v>13893.771526797924</v>
      </c>
      <c r="AF30" s="396">
        <f t="shared" si="52"/>
        <v>14534.407358918717</v>
      </c>
      <c r="AG30" s="396">
        <f t="shared" si="52"/>
        <v>15176.641260206694</v>
      </c>
      <c r="AH30" s="396">
        <f t="shared" si="52"/>
        <v>15820.473230661852</v>
      </c>
      <c r="AI30" s="396">
        <f t="shared" si="52"/>
        <v>16465.903270284191</v>
      </c>
      <c r="AJ30" s="396">
        <f t="shared" si="52"/>
        <v>17112.931379073711</v>
      </c>
      <c r="AK30" s="396">
        <f t="shared" si="52"/>
        <v>17757.562680030413</v>
      </c>
      <c r="AL30" s="396">
        <f t="shared" si="52"/>
        <v>18399.781053154296</v>
      </c>
      <c r="AM30" s="396">
        <f t="shared" si="52"/>
        <v>19039.515818445365</v>
      </c>
      <c r="AN30" s="396">
        <f>AM30</f>
        <v>19039.515818445365</v>
      </c>
      <c r="AO30" s="396">
        <f t="shared" ref="AO30:AZ30" si="53">AO29+AN30</f>
        <v>19620.102602903615</v>
      </c>
      <c r="AP30" s="396">
        <f t="shared" si="53"/>
        <v>20193.655848755778</v>
      </c>
      <c r="AQ30" s="396">
        <f t="shared" si="53"/>
        <v>20768.120732001855</v>
      </c>
      <c r="AR30" s="396">
        <f t="shared" si="53"/>
        <v>21339.524664641849</v>
      </c>
      <c r="AS30" s="396">
        <f t="shared" si="53"/>
        <v>21907.867646675757</v>
      </c>
      <c r="AT30" s="396">
        <f t="shared" si="53"/>
        <v>22473.149678103578</v>
      </c>
      <c r="AU30" s="396">
        <f t="shared" si="53"/>
        <v>23031.398170925317</v>
      </c>
      <c r="AV30" s="396">
        <f t="shared" si="53"/>
        <v>23586.585713140968</v>
      </c>
      <c r="AW30" s="396">
        <f t="shared" si="53"/>
        <v>24138.712304750537</v>
      </c>
      <c r="AX30" s="396">
        <f t="shared" si="53"/>
        <v>24687.77794575402</v>
      </c>
      <c r="AY30" s="396">
        <f t="shared" si="53"/>
        <v>25233.782636151416</v>
      </c>
      <c r="AZ30" s="396">
        <f t="shared" si="53"/>
        <v>25776.72637594273</v>
      </c>
      <c r="BA30" s="396">
        <f>AZ30</f>
        <v>25776.72637594273</v>
      </c>
      <c r="BB30" s="396">
        <f t="shared" ref="BB30:BM30" si="54">BB29+BA30</f>
        <v>26316.609165127957</v>
      </c>
      <c r="BC30" s="396">
        <f t="shared" si="54"/>
        <v>26852.744571933832</v>
      </c>
      <c r="BD30" s="396">
        <f t="shared" si="54"/>
        <v>27385.132596360356</v>
      </c>
      <c r="BE30" s="396">
        <f t="shared" si="54"/>
        <v>27913.773238407528</v>
      </c>
      <c r="BF30" s="396">
        <f t="shared" si="54"/>
        <v>28438.666498075348</v>
      </c>
      <c r="BG30" s="396">
        <f t="shared" si="54"/>
        <v>28959.812375363814</v>
      </c>
      <c r="BH30" s="396">
        <f t="shared" si="54"/>
        <v>29477.210870272927</v>
      </c>
      <c r="BI30" s="396">
        <f t="shared" si="54"/>
        <v>29990.861982802689</v>
      </c>
      <c r="BJ30" s="396">
        <f t="shared" si="54"/>
        <v>30500.7657129531</v>
      </c>
      <c r="BK30" s="396">
        <f t="shared" si="54"/>
        <v>31006.922060724159</v>
      </c>
      <c r="BL30" s="396">
        <f t="shared" si="54"/>
        <v>31509.331026115866</v>
      </c>
      <c r="BM30" s="396">
        <f t="shared" si="54"/>
        <v>32007.992609128221</v>
      </c>
      <c r="BN30" s="396">
        <f>BM30</f>
        <v>32007.992609128221</v>
      </c>
      <c r="BO30" s="396"/>
    </row>
    <row r="31" spans="1:68" x14ac:dyDescent="0.25">
      <c r="A31" s="392" t="s">
        <v>434</v>
      </c>
      <c r="B31" s="447">
        <f>Staff16_Summary!D4</f>
        <v>3.7199999999999997E-2</v>
      </c>
      <c r="C31" s="398">
        <f>B31</f>
        <v>3.7199999999999997E-2</v>
      </c>
      <c r="D31" s="398">
        <f>C31</f>
        <v>3.7199999999999997E-2</v>
      </c>
      <c r="E31" s="447">
        <f>Staff16_Summary!E4</f>
        <v>3.7199999999999997E-2</v>
      </c>
      <c r="F31" s="398">
        <f>E31</f>
        <v>3.7199999999999997E-2</v>
      </c>
      <c r="G31" s="398">
        <f>F31</f>
        <v>3.7199999999999997E-2</v>
      </c>
      <c r="H31" s="447">
        <f>Staff16_Summary!F4</f>
        <v>3.7199999999999997E-2</v>
      </c>
      <c r="I31" s="398">
        <f>H31</f>
        <v>3.7199999999999997E-2</v>
      </c>
      <c r="J31" s="398">
        <f>I31</f>
        <v>3.7199999999999997E-2</v>
      </c>
      <c r="K31" s="447">
        <f>Staff16_Summary!G4</f>
        <v>3.7199999999999997E-2</v>
      </c>
      <c r="L31" s="398">
        <f>K31</f>
        <v>3.7199999999999997E-2</v>
      </c>
      <c r="M31" s="398">
        <f>L31</f>
        <v>3.7199999999999997E-2</v>
      </c>
      <c r="N31" s="397"/>
      <c r="O31" s="447">
        <f>Staff16_Summary!H4</f>
        <v>3.7199999999999997E-2</v>
      </c>
      <c r="P31" s="398">
        <f>O31</f>
        <v>3.7199999999999997E-2</v>
      </c>
      <c r="Q31" s="398">
        <f>P31</f>
        <v>3.7199999999999997E-2</v>
      </c>
      <c r="R31" s="447">
        <f>Staff16_Summary!I4</f>
        <v>3.7199999999999997E-2</v>
      </c>
      <c r="S31" s="398">
        <f>R31</f>
        <v>3.7199999999999997E-2</v>
      </c>
      <c r="T31" s="398">
        <f>S31</f>
        <v>3.7199999999999997E-2</v>
      </c>
      <c r="U31" s="447">
        <f>Staff16_Summary!J4</f>
        <v>3.7199999999999997E-2</v>
      </c>
      <c r="V31" s="398">
        <f>U31</f>
        <v>3.7199999999999997E-2</v>
      </c>
      <c r="W31" s="398">
        <f>V31</f>
        <v>3.7199999999999997E-2</v>
      </c>
      <c r="X31" s="447">
        <f>Staff16_Summary!K4</f>
        <v>3.7199999999999997E-2</v>
      </c>
      <c r="Y31" s="398">
        <f>X31</f>
        <v>3.7199999999999997E-2</v>
      </c>
      <c r="Z31" s="398">
        <f>Y31</f>
        <v>3.7199999999999997E-2</v>
      </c>
      <c r="AA31" s="397"/>
      <c r="AB31" s="447">
        <f>Staff16_Summary!L4</f>
        <v>3.7199999999999997E-2</v>
      </c>
      <c r="AC31" s="398">
        <f>AB31</f>
        <v>3.7199999999999997E-2</v>
      </c>
      <c r="AD31" s="398">
        <f>AC31</f>
        <v>3.7199999999999997E-2</v>
      </c>
      <c r="AE31" s="447">
        <f>Staff16_Summary!M4</f>
        <v>3.7199999999999997E-2</v>
      </c>
      <c r="AF31" s="398">
        <f>AE31</f>
        <v>3.7199999999999997E-2</v>
      </c>
      <c r="AG31" s="398">
        <f>AF31</f>
        <v>3.7199999999999997E-2</v>
      </c>
      <c r="AH31" s="447">
        <f>Staff16_Summary!N4</f>
        <v>3.7199999999999997E-2</v>
      </c>
      <c r="AI31" s="398">
        <f>AH31</f>
        <v>3.7199999999999997E-2</v>
      </c>
      <c r="AJ31" s="398">
        <f>AI31</f>
        <v>3.7199999999999997E-2</v>
      </c>
      <c r="AK31" s="447">
        <f>Staff16_Summary!O4</f>
        <v>3.7199999999999997E-2</v>
      </c>
      <c r="AL31" s="398">
        <f>AK31</f>
        <v>3.7199999999999997E-2</v>
      </c>
      <c r="AM31" s="398">
        <f>AL31</f>
        <v>3.7199999999999997E-2</v>
      </c>
      <c r="AN31" s="397"/>
      <c r="AO31" s="447">
        <f>Staff16_Summary!P4</f>
        <v>3.7199999999999997E-2</v>
      </c>
      <c r="AP31" s="398">
        <f>AO31</f>
        <v>3.7199999999999997E-2</v>
      </c>
      <c r="AQ31" s="398">
        <f>AP31</f>
        <v>3.7199999999999997E-2</v>
      </c>
      <c r="AR31" s="447">
        <f>Staff16_Summary!Q4</f>
        <v>3.7199999999999997E-2</v>
      </c>
      <c r="AS31" s="398">
        <f>AR31</f>
        <v>3.7199999999999997E-2</v>
      </c>
      <c r="AT31" s="398">
        <f>AS31</f>
        <v>3.7199999999999997E-2</v>
      </c>
      <c r="AU31" s="447">
        <f>Staff16_Summary!R4</f>
        <v>3.7199999999999997E-2</v>
      </c>
      <c r="AV31" s="398">
        <f>AU31</f>
        <v>3.7199999999999997E-2</v>
      </c>
      <c r="AW31" s="398">
        <f>AV31</f>
        <v>3.7199999999999997E-2</v>
      </c>
      <c r="AX31" s="447">
        <f>Staff16_Summary!S4</f>
        <v>3.7199999999999997E-2</v>
      </c>
      <c r="AY31" s="398">
        <f>AX31</f>
        <v>3.7199999999999997E-2</v>
      </c>
      <c r="AZ31" s="398">
        <f>AY31</f>
        <v>3.7199999999999997E-2</v>
      </c>
      <c r="BA31" s="397"/>
      <c r="BB31" s="447">
        <f>Staff16_Summary!T4</f>
        <v>3.7199999999999997E-2</v>
      </c>
      <c r="BC31" s="398">
        <f>BB31</f>
        <v>3.7199999999999997E-2</v>
      </c>
      <c r="BD31" s="398">
        <f>BC31</f>
        <v>3.7199999999999997E-2</v>
      </c>
      <c r="BE31" s="447">
        <f>Staff16_Summary!U4</f>
        <v>3.7199999999999997E-2</v>
      </c>
      <c r="BF31" s="398">
        <f>BE31</f>
        <v>3.7199999999999997E-2</v>
      </c>
      <c r="BG31" s="398">
        <f>BF31</f>
        <v>3.7199999999999997E-2</v>
      </c>
      <c r="BH31" s="447">
        <f>Staff16_Summary!V4</f>
        <v>3.7199999999999997E-2</v>
      </c>
      <c r="BI31" s="398">
        <f>BH31</f>
        <v>3.7199999999999997E-2</v>
      </c>
      <c r="BJ31" s="398">
        <f>BI31</f>
        <v>3.7199999999999997E-2</v>
      </c>
      <c r="BK31" s="447">
        <f>Staff16_Summary!W4</f>
        <v>3.7199999999999997E-2</v>
      </c>
      <c r="BL31" s="398">
        <f>BK31</f>
        <v>3.7199999999999997E-2</v>
      </c>
      <c r="BM31" s="398">
        <f>BL31</f>
        <v>3.7199999999999997E-2</v>
      </c>
      <c r="BN31" s="397"/>
      <c r="BO31" s="398">
        <f>(Staff16_Summary!X4+Staff16_Summary!Y4+Staff16_Summary!Z4+Staff16_Summary!AA4)/4</f>
        <v>3.7199999999999997E-2</v>
      </c>
    </row>
    <row r="32" spans="1:68" x14ac:dyDescent="0.25">
      <c r="A32" s="392"/>
      <c r="B32" s="397"/>
      <c r="C32" s="397"/>
      <c r="D32" s="397"/>
      <c r="E32" s="397"/>
      <c r="F32" s="397"/>
      <c r="G32" s="397"/>
      <c r="H32" s="397"/>
      <c r="I32" s="397"/>
      <c r="J32" s="397"/>
      <c r="K32" s="397"/>
      <c r="L32" s="397"/>
      <c r="M32" s="397"/>
      <c r="N32" s="397"/>
      <c r="O32" s="397"/>
      <c r="P32" s="397"/>
      <c r="Q32" s="397"/>
      <c r="R32" s="397"/>
      <c r="S32" s="397"/>
      <c r="T32" s="397"/>
      <c r="U32" s="397"/>
      <c r="V32" s="397"/>
      <c r="W32" s="397"/>
      <c r="X32" s="397"/>
      <c r="Y32" s="397"/>
      <c r="Z32" s="397"/>
      <c r="AA32" s="397"/>
      <c r="AB32" s="397"/>
      <c r="AC32" s="397"/>
      <c r="AD32" s="397"/>
      <c r="AE32" s="397"/>
      <c r="AF32" s="397"/>
      <c r="AG32" s="397"/>
      <c r="AH32" s="397"/>
      <c r="AI32" s="397"/>
      <c r="AJ32" s="397"/>
      <c r="AK32" s="397"/>
      <c r="AL32" s="397"/>
      <c r="AM32" s="397"/>
      <c r="AN32" s="397"/>
      <c r="AO32" s="397"/>
      <c r="AP32" s="397"/>
      <c r="AQ32" s="397"/>
      <c r="AR32" s="397"/>
      <c r="AS32" s="397"/>
      <c r="AT32" s="397"/>
      <c r="AU32" s="397"/>
      <c r="AV32" s="397"/>
      <c r="AW32" s="397"/>
      <c r="AX32" s="397"/>
      <c r="AY32" s="397"/>
      <c r="AZ32" s="397"/>
      <c r="BA32" s="397"/>
      <c r="BB32" s="397"/>
      <c r="BC32" s="397"/>
      <c r="BD32" s="397"/>
      <c r="BE32" s="397"/>
      <c r="BF32" s="397"/>
      <c r="BG32" s="397"/>
      <c r="BH32" s="397"/>
      <c r="BI32" s="397"/>
      <c r="BJ32" s="397"/>
      <c r="BK32" s="397"/>
      <c r="BL32" s="397"/>
      <c r="BM32" s="397"/>
      <c r="BN32" s="397"/>
      <c r="BO32" s="397"/>
    </row>
    <row r="33" spans="1:68" s="315" customFormat="1" x14ac:dyDescent="0.25">
      <c r="A33" s="392" t="s">
        <v>449</v>
      </c>
      <c r="B33" s="400">
        <f>B26+B29</f>
        <v>20043.585488351684</v>
      </c>
      <c r="C33" s="400">
        <f t="shared" ref="C33:N33" si="55">C26+C29</f>
        <v>20105.720603365575</v>
      </c>
      <c r="D33" s="400">
        <f t="shared" si="55"/>
        <v>20167.855718379466</v>
      </c>
      <c r="E33" s="400">
        <f t="shared" si="55"/>
        <v>20229.990833393356</v>
      </c>
      <c r="F33" s="400">
        <f t="shared" si="55"/>
        <v>20292.125948407243</v>
      </c>
      <c r="G33" s="400">
        <f t="shared" si="55"/>
        <v>20354.261063421134</v>
      </c>
      <c r="H33" s="400">
        <f t="shared" si="55"/>
        <v>20416.396178435025</v>
      </c>
      <c r="I33" s="400">
        <f t="shared" si="55"/>
        <v>20478.531293448916</v>
      </c>
      <c r="J33" s="400">
        <f t="shared" si="55"/>
        <v>12852.926408462807</v>
      </c>
      <c r="K33" s="400">
        <f t="shared" si="55"/>
        <v>8216.8595294766965</v>
      </c>
      <c r="L33" s="400">
        <f t="shared" si="55"/>
        <v>8248.1921034905863</v>
      </c>
      <c r="M33" s="400">
        <f t="shared" si="55"/>
        <v>8259.4979895044762</v>
      </c>
      <c r="N33" s="400">
        <f t="shared" si="55"/>
        <v>199665.94315813694</v>
      </c>
      <c r="O33" s="400">
        <f>O26+O29</f>
        <v>1343.7653314082065</v>
      </c>
      <c r="P33" s="400">
        <f t="shared" ref="P33:AA33" si="56">P26+P29</f>
        <v>1346.0498323486554</v>
      </c>
      <c r="Q33" s="400">
        <f t="shared" si="56"/>
        <v>1348.3343332891041</v>
      </c>
      <c r="R33" s="400">
        <f t="shared" si="56"/>
        <v>1350.6188342295527</v>
      </c>
      <c r="S33" s="400">
        <f t="shared" si="56"/>
        <v>1352.9033351700014</v>
      </c>
      <c r="T33" s="400">
        <f t="shared" si="56"/>
        <v>1355.18783611045</v>
      </c>
      <c r="U33" s="400">
        <f t="shared" si="56"/>
        <v>1357.4723370508989</v>
      </c>
      <c r="V33" s="400">
        <f t="shared" si="56"/>
        <v>1359.7568379913478</v>
      </c>
      <c r="W33" s="400">
        <f t="shared" si="56"/>
        <v>1362.0413389317964</v>
      </c>
      <c r="X33" s="400">
        <f t="shared" si="56"/>
        <v>1364.3258398722451</v>
      </c>
      <c r="Y33" s="400">
        <f t="shared" si="56"/>
        <v>1366.6103408126937</v>
      </c>
      <c r="Z33" s="400">
        <f t="shared" si="56"/>
        <v>1368.8948417531426</v>
      </c>
      <c r="AA33" s="400">
        <f t="shared" si="56"/>
        <v>16275.961038968095</v>
      </c>
      <c r="AB33" s="400">
        <f>AB26+AB29</f>
        <v>1149.7497384139356</v>
      </c>
      <c r="AC33" s="400">
        <f t="shared" ref="AC33:AN33" si="57">AC26+AC29</f>
        <v>1151.3478075811172</v>
      </c>
      <c r="AD33" s="400">
        <f t="shared" si="57"/>
        <v>1152.9458767482988</v>
      </c>
      <c r="AE33" s="400">
        <f t="shared" si="57"/>
        <v>1154.5439459154809</v>
      </c>
      <c r="AF33" s="400">
        <f t="shared" si="57"/>
        <v>1156.1420150826625</v>
      </c>
      <c r="AG33" s="400">
        <f t="shared" si="57"/>
        <v>1157.7400842498441</v>
      </c>
      <c r="AH33" s="400">
        <f t="shared" si="57"/>
        <v>1159.3381534170262</v>
      </c>
      <c r="AI33" s="400">
        <f t="shared" si="57"/>
        <v>1160.9362225842078</v>
      </c>
      <c r="AJ33" s="400">
        <f t="shared" si="57"/>
        <v>-126.1357082486104</v>
      </c>
      <c r="AK33" s="400">
        <f t="shared" si="57"/>
        <v>-133.73251608142743</v>
      </c>
      <c r="AL33" s="400">
        <f t="shared" si="57"/>
        <v>-158.94544391424677</v>
      </c>
      <c r="AM33" s="400">
        <f t="shared" si="57"/>
        <v>-18440.259051747067</v>
      </c>
      <c r="AN33" s="400">
        <f t="shared" si="57"/>
        <v>-9616.328875998779</v>
      </c>
      <c r="AO33" s="400">
        <f>AO26+AO29</f>
        <v>-1688.296636859538</v>
      </c>
      <c r="AP33" s="400">
        <f t="shared" ref="AP33:BA33" si="58">AP26+AP29</f>
        <v>867.62982453437587</v>
      </c>
      <c r="AQ33" s="400">
        <f t="shared" si="58"/>
        <v>-412.93853807170888</v>
      </c>
      <c r="AR33" s="400">
        <f t="shared" si="58"/>
        <v>-415.99948867779403</v>
      </c>
      <c r="AS33" s="400">
        <f t="shared" si="58"/>
        <v>-419.06043928387919</v>
      </c>
      <c r="AT33" s="400">
        <f t="shared" si="58"/>
        <v>-1703.6013898899637</v>
      </c>
      <c r="AU33" s="400">
        <f t="shared" si="58"/>
        <v>-429.15492849604937</v>
      </c>
      <c r="AV33" s="400">
        <f t="shared" si="58"/>
        <v>-432.21587910213452</v>
      </c>
      <c r="AW33" s="400">
        <f t="shared" si="58"/>
        <v>-435.27682970821968</v>
      </c>
      <c r="AX33" s="400">
        <f t="shared" si="58"/>
        <v>-438.33778031430472</v>
      </c>
      <c r="AY33" s="400">
        <f t="shared" si="58"/>
        <v>-441.39873092038988</v>
      </c>
      <c r="AZ33" s="400">
        <f t="shared" si="58"/>
        <v>-444.45968152647504</v>
      </c>
      <c r="BA33" s="400">
        <f t="shared" si="58"/>
        <v>-6393.1104983160812</v>
      </c>
      <c r="BB33" s="400">
        <f>BB26+BB29</f>
        <v>-668.95023641221781</v>
      </c>
      <c r="BC33" s="400">
        <f t="shared" ref="BC33:BO33" si="59">BC26+BC29</f>
        <v>-672.69761879156988</v>
      </c>
      <c r="BD33" s="400">
        <f t="shared" si="59"/>
        <v>-676.44500117092196</v>
      </c>
      <c r="BE33" s="400">
        <f t="shared" si="59"/>
        <v>-680.19238355027403</v>
      </c>
      <c r="BF33" s="400">
        <f t="shared" si="59"/>
        <v>-683.93976592962611</v>
      </c>
      <c r="BG33" s="400">
        <f t="shared" si="59"/>
        <v>-687.68714830897818</v>
      </c>
      <c r="BH33" s="400">
        <f t="shared" si="59"/>
        <v>-691.43453068833026</v>
      </c>
      <c r="BI33" s="400">
        <f t="shared" si="59"/>
        <v>-695.18191306768233</v>
      </c>
      <c r="BJ33" s="400">
        <f t="shared" si="59"/>
        <v>-698.92929544703452</v>
      </c>
      <c r="BK33" s="400">
        <f t="shared" si="59"/>
        <v>-702.67667782638659</v>
      </c>
      <c r="BL33" s="400">
        <f t="shared" si="59"/>
        <v>-706.42406020573867</v>
      </c>
      <c r="BM33" s="400">
        <f t="shared" si="59"/>
        <v>-710.17144258509074</v>
      </c>
      <c r="BN33" s="400">
        <f t="shared" si="59"/>
        <v>-8274.7300739838502</v>
      </c>
      <c r="BO33" s="400">
        <f t="shared" si="59"/>
        <v>5938.970407596029</v>
      </c>
    </row>
    <row r="34" spans="1:68" s="315" customFormat="1" x14ac:dyDescent="0.25">
      <c r="A34" s="394" t="s">
        <v>450</v>
      </c>
      <c r="B34" s="409">
        <f>B33</f>
        <v>20043.585488351684</v>
      </c>
      <c r="C34" s="409">
        <f>C33+B34</f>
        <v>40149.306091717255</v>
      </c>
      <c r="D34" s="409">
        <f t="shared" ref="D34:M34" si="60">D33+C34</f>
        <v>60317.161810096717</v>
      </c>
      <c r="E34" s="409">
        <f t="shared" si="60"/>
        <v>80547.152643490073</v>
      </c>
      <c r="F34" s="409">
        <f t="shared" si="60"/>
        <v>100839.27859189731</v>
      </c>
      <c r="G34" s="409">
        <f t="shared" si="60"/>
        <v>121193.53965531844</v>
      </c>
      <c r="H34" s="409">
        <f t="shared" si="60"/>
        <v>141609.93583375346</v>
      </c>
      <c r="I34" s="409">
        <f t="shared" si="60"/>
        <v>162088.46712720237</v>
      </c>
      <c r="J34" s="409">
        <f t="shared" si="60"/>
        <v>174941.39353566518</v>
      </c>
      <c r="K34" s="409">
        <f t="shared" si="60"/>
        <v>183158.25306514188</v>
      </c>
      <c r="L34" s="409">
        <f t="shared" si="60"/>
        <v>191406.44516863246</v>
      </c>
      <c r="M34" s="409">
        <f t="shared" si="60"/>
        <v>199665.94315813694</v>
      </c>
      <c r="N34" s="410">
        <f>M34</f>
        <v>199665.94315813694</v>
      </c>
      <c r="O34" s="409">
        <f t="shared" ref="O34:Z34" si="61">O33+N34</f>
        <v>201009.70848954516</v>
      </c>
      <c r="P34" s="409">
        <f t="shared" si="61"/>
        <v>202355.75832189381</v>
      </c>
      <c r="Q34" s="409">
        <f t="shared" si="61"/>
        <v>203704.0926551829</v>
      </c>
      <c r="R34" s="409">
        <f t="shared" si="61"/>
        <v>205054.71148941247</v>
      </c>
      <c r="S34" s="409">
        <f t="shared" si="61"/>
        <v>206407.61482458247</v>
      </c>
      <c r="T34" s="409">
        <f t="shared" si="61"/>
        <v>207762.80266069292</v>
      </c>
      <c r="U34" s="409">
        <f t="shared" si="61"/>
        <v>209120.27499774381</v>
      </c>
      <c r="V34" s="409">
        <f t="shared" si="61"/>
        <v>210480.03183573516</v>
      </c>
      <c r="W34" s="409">
        <f t="shared" si="61"/>
        <v>211842.07317466696</v>
      </c>
      <c r="X34" s="409">
        <f t="shared" si="61"/>
        <v>213206.3990145392</v>
      </c>
      <c r="Y34" s="409">
        <f t="shared" si="61"/>
        <v>214573.00935535188</v>
      </c>
      <c r="Z34" s="409">
        <f t="shared" si="61"/>
        <v>215941.90419710503</v>
      </c>
      <c r="AA34" s="410">
        <f>Z34</f>
        <v>215941.90419710503</v>
      </c>
      <c r="AB34" s="409">
        <f t="shared" ref="AB34:AM34" si="62">AB33+AA34</f>
        <v>217091.65393551896</v>
      </c>
      <c r="AC34" s="409">
        <f t="shared" si="62"/>
        <v>218243.00174310009</v>
      </c>
      <c r="AD34" s="409">
        <f t="shared" si="62"/>
        <v>219395.94761984839</v>
      </c>
      <c r="AE34" s="409">
        <f t="shared" si="62"/>
        <v>220550.49156576386</v>
      </c>
      <c r="AF34" s="409">
        <f t="shared" si="62"/>
        <v>221706.63358084654</v>
      </c>
      <c r="AG34" s="409">
        <f t="shared" si="62"/>
        <v>222864.37366509638</v>
      </c>
      <c r="AH34" s="409">
        <f t="shared" si="62"/>
        <v>224023.7118185134</v>
      </c>
      <c r="AI34" s="409">
        <f t="shared" si="62"/>
        <v>225184.64804109762</v>
      </c>
      <c r="AJ34" s="409">
        <f t="shared" si="62"/>
        <v>225058.512332849</v>
      </c>
      <c r="AK34" s="409">
        <f t="shared" si="62"/>
        <v>224924.77981676758</v>
      </c>
      <c r="AL34" s="409">
        <f t="shared" si="62"/>
        <v>224765.83437285334</v>
      </c>
      <c r="AM34" s="409">
        <f t="shared" si="62"/>
        <v>206325.57532110627</v>
      </c>
      <c r="AN34" s="410">
        <f>AM34</f>
        <v>206325.57532110627</v>
      </c>
      <c r="AO34" s="409">
        <f t="shared" ref="AO34:AZ34" si="63">AO33+AN34</f>
        <v>204637.27868424673</v>
      </c>
      <c r="AP34" s="409">
        <f t="shared" si="63"/>
        <v>205504.90850878111</v>
      </c>
      <c r="AQ34" s="409">
        <f t="shared" si="63"/>
        <v>205091.96997070941</v>
      </c>
      <c r="AR34" s="409">
        <f t="shared" si="63"/>
        <v>204675.97048203161</v>
      </c>
      <c r="AS34" s="409">
        <f t="shared" si="63"/>
        <v>204256.91004274774</v>
      </c>
      <c r="AT34" s="409">
        <f t="shared" si="63"/>
        <v>202553.30865285778</v>
      </c>
      <c r="AU34" s="409">
        <f t="shared" si="63"/>
        <v>202124.15372436173</v>
      </c>
      <c r="AV34" s="409">
        <f t="shared" si="63"/>
        <v>201691.93784525961</v>
      </c>
      <c r="AW34" s="409">
        <f t="shared" si="63"/>
        <v>201256.66101555139</v>
      </c>
      <c r="AX34" s="409">
        <f t="shared" si="63"/>
        <v>200818.3232352371</v>
      </c>
      <c r="AY34" s="409">
        <f t="shared" si="63"/>
        <v>200376.9245043167</v>
      </c>
      <c r="AZ34" s="409">
        <f t="shared" si="63"/>
        <v>199932.46482279024</v>
      </c>
      <c r="BA34" s="410">
        <f>AZ34</f>
        <v>199932.46482279024</v>
      </c>
      <c r="BB34" s="409">
        <f t="shared" ref="BB34:BM34" si="64">BB33+BA34</f>
        <v>199263.51458637801</v>
      </c>
      <c r="BC34" s="409">
        <f t="shared" si="64"/>
        <v>198590.81696758643</v>
      </c>
      <c r="BD34" s="409">
        <f t="shared" si="64"/>
        <v>197914.37196641552</v>
      </c>
      <c r="BE34" s="409">
        <f t="shared" si="64"/>
        <v>197234.17958286524</v>
      </c>
      <c r="BF34" s="409">
        <f t="shared" si="64"/>
        <v>196550.23981693562</v>
      </c>
      <c r="BG34" s="409">
        <f t="shared" si="64"/>
        <v>195862.55266862662</v>
      </c>
      <c r="BH34" s="409">
        <f t="shared" si="64"/>
        <v>195171.11813793829</v>
      </c>
      <c r="BI34" s="409">
        <f t="shared" si="64"/>
        <v>194475.93622487062</v>
      </c>
      <c r="BJ34" s="409">
        <f t="shared" si="64"/>
        <v>193777.00692942357</v>
      </c>
      <c r="BK34" s="409">
        <f t="shared" si="64"/>
        <v>193074.33025159719</v>
      </c>
      <c r="BL34" s="409">
        <f t="shared" si="64"/>
        <v>192367.90619139146</v>
      </c>
      <c r="BM34" s="409">
        <f t="shared" si="64"/>
        <v>191657.73474880637</v>
      </c>
      <c r="BN34" s="410">
        <f>BM34</f>
        <v>191657.73474880637</v>
      </c>
      <c r="BO34" s="410">
        <f>BN34+BO33</f>
        <v>197596.7051564024</v>
      </c>
    </row>
    <row r="35" spans="1:68" x14ac:dyDescent="0.25">
      <c r="A35" s="401" t="s">
        <v>451</v>
      </c>
      <c r="B35" s="396"/>
      <c r="C35" s="396"/>
      <c r="D35" s="396"/>
      <c r="E35" s="396"/>
      <c r="F35" s="396"/>
      <c r="G35" s="396"/>
      <c r="H35" s="396"/>
      <c r="I35" s="396"/>
      <c r="J35" s="396"/>
      <c r="K35" s="396"/>
      <c r="L35" s="396"/>
      <c r="M35" s="396"/>
      <c r="N35" s="396"/>
      <c r="O35" s="396"/>
      <c r="P35" s="396"/>
      <c r="Q35" s="396"/>
      <c r="R35" s="396"/>
      <c r="S35" s="396"/>
      <c r="T35" s="396"/>
      <c r="U35" s="396"/>
      <c r="V35" s="396"/>
      <c r="W35" s="396"/>
      <c r="X35" s="396"/>
      <c r="Y35" s="396"/>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c r="AY35" s="396"/>
      <c r="AZ35" s="396"/>
      <c r="BA35" s="396"/>
      <c r="BB35" s="396"/>
      <c r="BC35" s="396"/>
      <c r="BD35" s="396"/>
      <c r="BE35" s="396"/>
      <c r="BF35" s="396"/>
      <c r="BG35" s="396"/>
      <c r="BH35" s="396"/>
      <c r="BI35" s="396"/>
      <c r="BJ35" s="396"/>
      <c r="BK35" s="396"/>
      <c r="BL35" s="396"/>
      <c r="BM35" s="396"/>
      <c r="BN35" s="396"/>
      <c r="BO35" s="396"/>
    </row>
    <row r="36" spans="1:68" x14ac:dyDescent="0.25">
      <c r="A36" s="315" t="s">
        <v>398</v>
      </c>
      <c r="B36" s="396">
        <f t="shared" ref="B36:M36" si="65">B9+B23</f>
        <v>20043.585488351684</v>
      </c>
      <c r="C36" s="396">
        <f t="shared" si="65"/>
        <v>20043.585488351684</v>
      </c>
      <c r="D36" s="396">
        <f t="shared" si="65"/>
        <v>20043.585488351684</v>
      </c>
      <c r="E36" s="396">
        <f t="shared" si="65"/>
        <v>20043.585488351684</v>
      </c>
      <c r="F36" s="396">
        <f t="shared" si="65"/>
        <v>20043.585488351684</v>
      </c>
      <c r="G36" s="396">
        <f t="shared" si="65"/>
        <v>20043.585488351684</v>
      </c>
      <c r="H36" s="396">
        <f t="shared" si="65"/>
        <v>20043.585488351684</v>
      </c>
      <c r="I36" s="396">
        <f t="shared" si="65"/>
        <v>28768.402142691069</v>
      </c>
      <c r="J36" s="396">
        <f t="shared" si="65"/>
        <v>29635.885044910283</v>
      </c>
      <c r="K36" s="396">
        <f t="shared" si="65"/>
        <v>30556.15631289822</v>
      </c>
      <c r="L36" s="396">
        <f t="shared" si="65"/>
        <v>34198.762088359348</v>
      </c>
      <c r="M36" s="396">
        <f t="shared" si="65"/>
        <v>40246.641706420894</v>
      </c>
      <c r="N36" s="396">
        <f>SUM(B36:M36)</f>
        <v>303710.94571374159</v>
      </c>
      <c r="O36" s="396">
        <f t="shared" ref="O36:Z36" si="66">O9+O23</f>
        <v>33709.799148794657</v>
      </c>
      <c r="P36" s="396">
        <f t="shared" si="66"/>
        <v>33467.616386521062</v>
      </c>
      <c r="Q36" s="396">
        <f t="shared" si="66"/>
        <v>33624.286043471162</v>
      </c>
      <c r="R36" s="396">
        <f t="shared" si="66"/>
        <v>33590.414998591856</v>
      </c>
      <c r="S36" s="396">
        <f t="shared" si="66"/>
        <v>33343.981837608771</v>
      </c>
      <c r="T36" s="396">
        <f t="shared" si="66"/>
        <v>32590.844391940955</v>
      </c>
      <c r="U36" s="396">
        <f t="shared" si="66"/>
        <v>32774.499889810926</v>
      </c>
      <c r="V36" s="396">
        <f t="shared" si="66"/>
        <v>32648.230960046189</v>
      </c>
      <c r="W36" s="396">
        <f t="shared" si="66"/>
        <v>32324.56876010196</v>
      </c>
      <c r="X36" s="396">
        <f t="shared" si="66"/>
        <v>33236.104094525617</v>
      </c>
      <c r="Y36" s="396">
        <f t="shared" si="66"/>
        <v>33313.789052607339</v>
      </c>
      <c r="Z36" s="396">
        <f t="shared" si="66"/>
        <v>34333.624106037001</v>
      </c>
      <c r="AA36" s="396">
        <f>SUM(O36:Z36)</f>
        <v>398957.75967005751</v>
      </c>
      <c r="AB36" s="396">
        <f t="shared" ref="AB36:AM36" si="67">AB9+AB23</f>
        <v>35579.90891225871</v>
      </c>
      <c r="AC36" s="396">
        <f t="shared" si="67"/>
        <v>35023.116083149791</v>
      </c>
      <c r="AD36" s="396">
        <f t="shared" si="67"/>
        <v>35247.494388526909</v>
      </c>
      <c r="AE36" s="396">
        <f t="shared" si="67"/>
        <v>35068.36206802183</v>
      </c>
      <c r="AF36" s="396">
        <f t="shared" si="67"/>
        <v>35024.453556823995</v>
      </c>
      <c r="AG36" s="396">
        <f t="shared" si="67"/>
        <v>34263.310199252774</v>
      </c>
      <c r="AH36" s="396">
        <f t="shared" si="67"/>
        <v>34277.877274558829</v>
      </c>
      <c r="AI36" s="396">
        <f t="shared" si="67"/>
        <v>34252.099818366303</v>
      </c>
      <c r="AJ36" s="396">
        <f t="shared" si="67"/>
        <v>34027.593600894972</v>
      </c>
      <c r="AK36" s="396">
        <f t="shared" si="67"/>
        <v>34296.103065979805</v>
      </c>
      <c r="AL36" s="396">
        <f t="shared" si="67"/>
        <v>34410.028619071636</v>
      </c>
      <c r="AM36" s="396">
        <f t="shared" si="67"/>
        <v>34613.97658199232</v>
      </c>
      <c r="AN36" s="396">
        <f>SUM(AB36:AM36)</f>
        <v>416084.32416889782</v>
      </c>
      <c r="AO36" s="396">
        <f t="shared" ref="AO36:AZ36" si="68">AO9+AO23</f>
        <v>38375.827370068655</v>
      </c>
      <c r="AP36" s="396">
        <f t="shared" si="68"/>
        <v>34747.010598986162</v>
      </c>
      <c r="AQ36" s="396">
        <f t="shared" si="68"/>
        <v>35105.910890026789</v>
      </c>
      <c r="AR36" s="396">
        <f t="shared" si="68"/>
        <v>35131.220808236423</v>
      </c>
      <c r="AS36" s="396">
        <f t="shared" si="68"/>
        <v>34780.91836595699</v>
      </c>
      <c r="AT36" s="396">
        <f t="shared" si="68"/>
        <v>34571.873716678005</v>
      </c>
      <c r="AU36" s="396">
        <f t="shared" si="68"/>
        <v>34872.267101069112</v>
      </c>
      <c r="AV36" s="396">
        <f t="shared" si="68"/>
        <v>34792.753406033145</v>
      </c>
      <c r="AW36" s="396">
        <f t="shared" si="68"/>
        <v>34695.824464710611</v>
      </c>
      <c r="AX36" s="396">
        <f t="shared" si="68"/>
        <v>34789.778653683941</v>
      </c>
      <c r="AY36" s="396">
        <f t="shared" si="68"/>
        <v>34422.728180171951</v>
      </c>
      <c r="AZ36" s="396">
        <f t="shared" si="68"/>
        <v>34894.602387697538</v>
      </c>
      <c r="BA36" s="396">
        <f>SUM(AO36:AZ36)</f>
        <v>421180.71594331937</v>
      </c>
      <c r="BB36" s="396">
        <f t="shared" ref="BB36:BM36" si="69">BB9+BB23</f>
        <v>34927.067786744461</v>
      </c>
      <c r="BC36" s="396">
        <f t="shared" si="69"/>
        <v>34265.976580930961</v>
      </c>
      <c r="BD36" s="396">
        <f t="shared" si="69"/>
        <v>34421.463006366779</v>
      </c>
      <c r="BE36" s="396">
        <f t="shared" si="69"/>
        <v>43516.075674212538</v>
      </c>
      <c r="BF36" s="396">
        <f t="shared" si="69"/>
        <v>35534.416062810429</v>
      </c>
      <c r="BG36" s="396">
        <f t="shared" si="69"/>
        <v>34749.158681911693</v>
      </c>
      <c r="BH36" s="396">
        <f t="shared" si="69"/>
        <v>35037.830408925234</v>
      </c>
      <c r="BI36" s="396">
        <f t="shared" si="69"/>
        <v>35139.208782852584</v>
      </c>
      <c r="BJ36" s="396">
        <f t="shared" si="69"/>
        <v>35041.230962934729</v>
      </c>
      <c r="BK36" s="396">
        <f t="shared" si="69"/>
        <v>34770.537889091909</v>
      </c>
      <c r="BL36" s="396">
        <f t="shared" si="69"/>
        <v>34823.962796483771</v>
      </c>
      <c r="BM36" s="396">
        <f t="shared" si="69"/>
        <v>35122.13637348637</v>
      </c>
      <c r="BN36" s="396">
        <f>SUM(BB36:BM36)</f>
        <v>427349.06500675145</v>
      </c>
      <c r="BO36" s="396"/>
    </row>
    <row r="37" spans="1:68" x14ac:dyDescent="0.25">
      <c r="A37" s="315" t="s">
        <v>419</v>
      </c>
      <c r="B37" s="396">
        <f t="shared" ref="B37:M37" si="70">B11+B24</f>
        <v>0</v>
      </c>
      <c r="C37" s="396">
        <f t="shared" si="70"/>
        <v>0</v>
      </c>
      <c r="D37" s="396">
        <f t="shared" si="70"/>
        <v>0</v>
      </c>
      <c r="E37" s="396">
        <f t="shared" si="70"/>
        <v>0</v>
      </c>
      <c r="F37" s="396">
        <f t="shared" si="70"/>
        <v>0</v>
      </c>
      <c r="G37" s="396">
        <f t="shared" si="70"/>
        <v>0</v>
      </c>
      <c r="H37" s="396">
        <f t="shared" si="70"/>
        <v>0</v>
      </c>
      <c r="I37" s="396">
        <f t="shared" si="70"/>
        <v>0</v>
      </c>
      <c r="J37" s="396">
        <f t="shared" si="70"/>
        <v>17564.949999999997</v>
      </c>
      <c r="K37" s="396">
        <f t="shared" si="70"/>
        <v>28244.93</v>
      </c>
      <c r="L37" s="396">
        <f t="shared" si="70"/>
        <v>28227.75</v>
      </c>
      <c r="M37" s="396">
        <f t="shared" si="70"/>
        <v>28256.38</v>
      </c>
      <c r="N37" s="396">
        <f t="shared" ref="N37:N38" si="71">SUM(B37:M37)</f>
        <v>102294.01000000001</v>
      </c>
      <c r="O37" s="396">
        <f t="shared" ref="O37:Z37" si="72">O11+O24</f>
        <v>28256.38</v>
      </c>
      <c r="P37" s="396">
        <f t="shared" si="72"/>
        <v>28256.38</v>
      </c>
      <c r="Q37" s="396">
        <f t="shared" si="72"/>
        <v>28256.38</v>
      </c>
      <c r="R37" s="396">
        <f t="shared" si="72"/>
        <v>28256.38</v>
      </c>
      <c r="S37" s="396">
        <f t="shared" si="72"/>
        <v>28256.38</v>
      </c>
      <c r="T37" s="396">
        <f t="shared" si="72"/>
        <v>28256.38</v>
      </c>
      <c r="U37" s="396">
        <f t="shared" si="72"/>
        <v>28256.38</v>
      </c>
      <c r="V37" s="396">
        <f t="shared" si="72"/>
        <v>28256.38</v>
      </c>
      <c r="W37" s="396">
        <f t="shared" si="72"/>
        <v>28256.38</v>
      </c>
      <c r="X37" s="396">
        <f t="shared" si="72"/>
        <v>28256.38</v>
      </c>
      <c r="Y37" s="396">
        <f t="shared" si="72"/>
        <v>28256.38</v>
      </c>
      <c r="Z37" s="396">
        <f t="shared" si="72"/>
        <v>28256.38</v>
      </c>
      <c r="AA37" s="396">
        <f>SUM(O37:Z37)</f>
        <v>339076.56</v>
      </c>
      <c r="AB37" s="396">
        <f t="shared" ref="AB37:AM37" si="73">AB11+AB24</f>
        <v>28256.38</v>
      </c>
      <c r="AC37" s="396">
        <f t="shared" si="73"/>
        <v>28256.38</v>
      </c>
      <c r="AD37" s="396">
        <f t="shared" si="73"/>
        <v>28256.38</v>
      </c>
      <c r="AE37" s="396">
        <f t="shared" si="73"/>
        <v>28256.38</v>
      </c>
      <c r="AF37" s="396">
        <f t="shared" si="73"/>
        <v>28256.38</v>
      </c>
      <c r="AG37" s="396">
        <f t="shared" si="73"/>
        <v>28256.38</v>
      </c>
      <c r="AH37" s="396">
        <f t="shared" si="73"/>
        <v>28256.38</v>
      </c>
      <c r="AI37" s="396">
        <f t="shared" si="73"/>
        <v>28256.38</v>
      </c>
      <c r="AJ37" s="396">
        <f t="shared" si="73"/>
        <v>31191.49</v>
      </c>
      <c r="AK37" s="396">
        <f t="shared" si="73"/>
        <v>31196.690000000002</v>
      </c>
      <c r="AL37" s="396">
        <f t="shared" si="73"/>
        <v>31219.49</v>
      </c>
      <c r="AM37" s="396">
        <f t="shared" si="73"/>
        <v>72932.08</v>
      </c>
      <c r="AN37" s="396">
        <f>SUM(AB37:AM37)</f>
        <v>392590.79</v>
      </c>
      <c r="AO37" s="396">
        <f t="shared" ref="AO37:AZ37" si="74">AO11+AO24</f>
        <v>34112.22</v>
      </c>
      <c r="AP37" s="396">
        <f t="shared" si="74"/>
        <v>28256.38</v>
      </c>
      <c r="AQ37" s="396">
        <f t="shared" si="74"/>
        <v>31184.300000000003</v>
      </c>
      <c r="AR37" s="396">
        <f t="shared" si="74"/>
        <v>31184.300000000003</v>
      </c>
      <c r="AS37" s="396">
        <f t="shared" si="74"/>
        <v>31193.279999999999</v>
      </c>
      <c r="AT37" s="396">
        <f t="shared" si="74"/>
        <v>34120.54</v>
      </c>
      <c r="AU37" s="396">
        <f t="shared" si="74"/>
        <v>31184.959999999999</v>
      </c>
      <c r="AV37" s="396">
        <f t="shared" si="74"/>
        <v>31184.299999999996</v>
      </c>
      <c r="AW37" s="396">
        <f t="shared" si="74"/>
        <v>31184.299999999996</v>
      </c>
      <c r="AX37" s="396">
        <f t="shared" si="74"/>
        <v>31184.299999999996</v>
      </c>
      <c r="AY37" s="396">
        <f t="shared" si="74"/>
        <v>31184.299999999996</v>
      </c>
      <c r="AZ37" s="396">
        <f t="shared" si="74"/>
        <v>31184.299999999996</v>
      </c>
      <c r="BA37" s="396">
        <f>SUM(AO37:AZ37)</f>
        <v>377157.48</v>
      </c>
      <c r="BB37" s="396">
        <f t="shared" ref="BB37:BM37" si="75">BB11+BB24</f>
        <v>31184.299999999996</v>
      </c>
      <c r="BC37" s="396">
        <f t="shared" si="75"/>
        <v>31184.299999999996</v>
      </c>
      <c r="BD37" s="396">
        <f t="shared" si="75"/>
        <v>31184.299999999996</v>
      </c>
      <c r="BE37" s="396">
        <f t="shared" si="75"/>
        <v>31184.299999999996</v>
      </c>
      <c r="BF37" s="396">
        <f t="shared" si="75"/>
        <v>31184.299999999996</v>
      </c>
      <c r="BG37" s="396">
        <f t="shared" si="75"/>
        <v>31184.299999999996</v>
      </c>
      <c r="BH37" s="396">
        <f t="shared" si="75"/>
        <v>31184.299999999996</v>
      </c>
      <c r="BI37" s="396">
        <f t="shared" si="75"/>
        <v>31184.299999999996</v>
      </c>
      <c r="BJ37" s="396">
        <f t="shared" si="75"/>
        <v>31184.299999999996</v>
      </c>
      <c r="BK37" s="396">
        <f t="shared" si="75"/>
        <v>31184.299999999996</v>
      </c>
      <c r="BL37" s="396">
        <f t="shared" si="75"/>
        <v>31184.299999999996</v>
      </c>
      <c r="BM37" s="396">
        <f t="shared" si="75"/>
        <v>31184.299999999996</v>
      </c>
      <c r="BN37" s="396">
        <f>SUM(BB37:BM37)</f>
        <v>374211.59999999992</v>
      </c>
      <c r="BO37" s="396"/>
    </row>
    <row r="38" spans="1:68" x14ac:dyDescent="0.25">
      <c r="A38" s="315" t="s">
        <v>417</v>
      </c>
      <c r="B38" s="396">
        <f>B36-B37</f>
        <v>20043.585488351684</v>
      </c>
      <c r="C38" s="396">
        <f t="shared" ref="C38:M38" si="76">C36-C37</f>
        <v>20043.585488351684</v>
      </c>
      <c r="D38" s="396">
        <f t="shared" si="76"/>
        <v>20043.585488351684</v>
      </c>
      <c r="E38" s="396">
        <f t="shared" si="76"/>
        <v>20043.585488351684</v>
      </c>
      <c r="F38" s="396">
        <f t="shared" si="76"/>
        <v>20043.585488351684</v>
      </c>
      <c r="G38" s="396">
        <f t="shared" si="76"/>
        <v>20043.585488351684</v>
      </c>
      <c r="H38" s="396">
        <f t="shared" si="76"/>
        <v>20043.585488351684</v>
      </c>
      <c r="I38" s="396">
        <f t="shared" si="76"/>
        <v>28768.402142691069</v>
      </c>
      <c r="J38" s="396">
        <f t="shared" si="76"/>
        <v>12070.935044910286</v>
      </c>
      <c r="K38" s="396">
        <f t="shared" si="76"/>
        <v>2311.2263128982195</v>
      </c>
      <c r="L38" s="396">
        <f t="shared" si="76"/>
        <v>5971.0120883593481</v>
      </c>
      <c r="M38" s="396">
        <f t="shared" si="76"/>
        <v>11990.261706420893</v>
      </c>
      <c r="N38" s="396">
        <f t="shared" si="71"/>
        <v>201416.93571374161</v>
      </c>
      <c r="O38" s="396">
        <f>O36-O37</f>
        <v>5453.4191487946555</v>
      </c>
      <c r="P38" s="396">
        <f t="shared" ref="P38:Z38" si="77">P36-P37</f>
        <v>5211.2363865210609</v>
      </c>
      <c r="Q38" s="396">
        <f t="shared" si="77"/>
        <v>5367.906043471161</v>
      </c>
      <c r="R38" s="396">
        <f t="shared" si="77"/>
        <v>5334.0349985918547</v>
      </c>
      <c r="S38" s="396">
        <f t="shared" si="77"/>
        <v>5087.6018376087704</v>
      </c>
      <c r="T38" s="396">
        <f t="shared" si="77"/>
        <v>4334.4643919409536</v>
      </c>
      <c r="U38" s="396">
        <f t="shared" si="77"/>
        <v>4518.1198898109251</v>
      </c>
      <c r="V38" s="396">
        <f t="shared" si="77"/>
        <v>4391.8509600461875</v>
      </c>
      <c r="W38" s="396">
        <f t="shared" si="77"/>
        <v>4068.1887601019589</v>
      </c>
      <c r="X38" s="396">
        <f t="shared" si="77"/>
        <v>4979.7240945256162</v>
      </c>
      <c r="Y38" s="396">
        <f t="shared" si="77"/>
        <v>5057.4090526073378</v>
      </c>
      <c r="Z38" s="396">
        <f t="shared" si="77"/>
        <v>6077.2441060370002</v>
      </c>
      <c r="AA38" s="396">
        <f>SUM(O38:Z38)</f>
        <v>59881.199670057482</v>
      </c>
      <c r="AB38" s="396">
        <f>AB36-AB37</f>
        <v>7323.5289122587092</v>
      </c>
      <c r="AC38" s="396">
        <f t="shared" ref="AC38:AM38" si="78">AC36-AC37</f>
        <v>6766.7360831497899</v>
      </c>
      <c r="AD38" s="396">
        <f t="shared" si="78"/>
        <v>6991.1143885269084</v>
      </c>
      <c r="AE38" s="396">
        <f t="shared" si="78"/>
        <v>6811.982068021829</v>
      </c>
      <c r="AF38" s="396">
        <f t="shared" si="78"/>
        <v>6768.0735568239943</v>
      </c>
      <c r="AG38" s="396">
        <f t="shared" si="78"/>
        <v>6006.9301992527726</v>
      </c>
      <c r="AH38" s="396">
        <f t="shared" si="78"/>
        <v>6021.4972745588275</v>
      </c>
      <c r="AI38" s="396">
        <f t="shared" si="78"/>
        <v>5995.7198183663022</v>
      </c>
      <c r="AJ38" s="396">
        <f t="shared" si="78"/>
        <v>2836.1036008949704</v>
      </c>
      <c r="AK38" s="396">
        <f t="shared" si="78"/>
        <v>3099.4130659798029</v>
      </c>
      <c r="AL38" s="396">
        <f t="shared" si="78"/>
        <v>3190.5386190716345</v>
      </c>
      <c r="AM38" s="396">
        <f t="shared" si="78"/>
        <v>-38318.103418007682</v>
      </c>
      <c r="AN38" s="396">
        <f>SUM(AB38:AM38)</f>
        <v>23493.534168897866</v>
      </c>
      <c r="AO38" s="396">
        <f>AO36-AO37</f>
        <v>4263.6073700686538</v>
      </c>
      <c r="AP38" s="396">
        <f t="shared" ref="AP38:AZ38" si="79">AP36-AP37</f>
        <v>6490.6305989861612</v>
      </c>
      <c r="AQ38" s="396">
        <f t="shared" si="79"/>
        <v>3921.6108900267864</v>
      </c>
      <c r="AR38" s="396">
        <f t="shared" si="79"/>
        <v>3946.9208082364203</v>
      </c>
      <c r="AS38" s="396">
        <f t="shared" si="79"/>
        <v>3587.638365956991</v>
      </c>
      <c r="AT38" s="396">
        <f t="shared" si="79"/>
        <v>451.33371667800384</v>
      </c>
      <c r="AU38" s="396">
        <f t="shared" si="79"/>
        <v>3687.3071010691128</v>
      </c>
      <c r="AV38" s="396">
        <f t="shared" si="79"/>
        <v>3608.4534060331498</v>
      </c>
      <c r="AW38" s="396">
        <f t="shared" si="79"/>
        <v>3511.5244647106156</v>
      </c>
      <c r="AX38" s="396">
        <f t="shared" si="79"/>
        <v>3605.4786536839456</v>
      </c>
      <c r="AY38" s="396">
        <f t="shared" si="79"/>
        <v>3238.4281801719553</v>
      </c>
      <c r="AZ38" s="396">
        <f t="shared" si="79"/>
        <v>3710.3023876975421</v>
      </c>
      <c r="BA38" s="396">
        <f>SUM(AO38:AZ38)</f>
        <v>44023.235943319341</v>
      </c>
      <c r="BB38" s="396">
        <f>BB36-BB37</f>
        <v>3742.7677867444654</v>
      </c>
      <c r="BC38" s="396">
        <f t="shared" ref="BC38:BM38" si="80">BC36-BC37</f>
        <v>3081.6765809309654</v>
      </c>
      <c r="BD38" s="396">
        <f t="shared" si="80"/>
        <v>3237.1630063667835</v>
      </c>
      <c r="BE38" s="396">
        <f t="shared" si="80"/>
        <v>12331.775674212542</v>
      </c>
      <c r="BF38" s="396">
        <f t="shared" si="80"/>
        <v>4350.1160628104335</v>
      </c>
      <c r="BG38" s="396">
        <f t="shared" si="80"/>
        <v>3564.8586819116972</v>
      </c>
      <c r="BH38" s="396">
        <f t="shared" si="80"/>
        <v>3853.5304089252386</v>
      </c>
      <c r="BI38" s="396">
        <f t="shared" si="80"/>
        <v>3954.908782852588</v>
      </c>
      <c r="BJ38" s="396">
        <f t="shared" si="80"/>
        <v>3856.9309629347335</v>
      </c>
      <c r="BK38" s="396">
        <f t="shared" si="80"/>
        <v>3586.2378890919135</v>
      </c>
      <c r="BL38" s="396">
        <f t="shared" si="80"/>
        <v>3639.6627964837753</v>
      </c>
      <c r="BM38" s="396">
        <f t="shared" si="80"/>
        <v>3937.8363734863742</v>
      </c>
      <c r="BN38" s="396">
        <f>SUM(BB38:BM38)</f>
        <v>53137.46500675151</v>
      </c>
      <c r="BO38" s="396"/>
    </row>
    <row r="39" spans="1:68" x14ac:dyDescent="0.25">
      <c r="B39" s="396"/>
      <c r="C39" s="396"/>
      <c r="D39" s="396"/>
      <c r="E39" s="396"/>
      <c r="F39" s="396"/>
      <c r="G39" s="396"/>
      <c r="H39" s="396"/>
      <c r="I39" s="396"/>
      <c r="J39" s="396"/>
      <c r="K39" s="396"/>
      <c r="L39" s="396"/>
      <c r="M39" s="396"/>
      <c r="N39" s="396"/>
      <c r="O39" s="396"/>
      <c r="P39" s="396"/>
      <c r="Q39" s="396"/>
      <c r="R39" s="396"/>
      <c r="S39" s="396"/>
      <c r="T39" s="396"/>
      <c r="U39" s="396"/>
      <c r="V39" s="396"/>
      <c r="W39" s="396"/>
      <c r="X39" s="396"/>
      <c r="Y39" s="396"/>
      <c r="Z39" s="396"/>
      <c r="AA39" s="396"/>
      <c r="AB39" s="396"/>
      <c r="AC39" s="396"/>
      <c r="AD39" s="396"/>
      <c r="AE39" s="396"/>
      <c r="AF39" s="396"/>
      <c r="AG39" s="396"/>
      <c r="AH39" s="396"/>
      <c r="AI39" s="396"/>
      <c r="AJ39" s="396"/>
      <c r="AK39" s="396"/>
      <c r="AL39" s="396"/>
      <c r="AM39" s="396"/>
      <c r="AN39" s="396"/>
      <c r="AO39" s="396"/>
      <c r="AP39" s="396"/>
      <c r="AQ39" s="396"/>
      <c r="AR39" s="396"/>
      <c r="AS39" s="396"/>
      <c r="AT39" s="396"/>
      <c r="AU39" s="396"/>
      <c r="AV39" s="396"/>
      <c r="AW39" s="396"/>
      <c r="AX39" s="396"/>
      <c r="AY39" s="396"/>
      <c r="AZ39" s="396"/>
      <c r="BA39" s="396"/>
      <c r="BB39" s="396"/>
      <c r="BC39" s="396"/>
      <c r="BD39" s="396"/>
      <c r="BE39" s="396"/>
      <c r="BF39" s="396"/>
      <c r="BG39" s="396"/>
      <c r="BH39" s="396"/>
      <c r="BI39" s="396"/>
      <c r="BJ39" s="396"/>
      <c r="BK39" s="396"/>
      <c r="BL39" s="396"/>
      <c r="BM39" s="396"/>
      <c r="BN39" s="396"/>
      <c r="BO39" s="396"/>
    </row>
    <row r="40" spans="1:68" x14ac:dyDescent="0.25">
      <c r="A40" s="315" t="s">
        <v>433</v>
      </c>
      <c r="B40" s="396">
        <f t="shared" ref="B40:M40" si="81">B16+B29</f>
        <v>0</v>
      </c>
      <c r="C40" s="396">
        <f t="shared" si="81"/>
        <v>62.135115013890214</v>
      </c>
      <c r="D40" s="396">
        <f t="shared" si="81"/>
        <v>124.27023002778043</v>
      </c>
      <c r="E40" s="396">
        <f t="shared" si="81"/>
        <v>186.40534504167064</v>
      </c>
      <c r="F40" s="396">
        <f t="shared" si="81"/>
        <v>248.54046005556086</v>
      </c>
      <c r="G40" s="396">
        <f t="shared" si="81"/>
        <v>310.6755750694511</v>
      </c>
      <c r="H40" s="396">
        <f t="shared" si="81"/>
        <v>372.81069008334134</v>
      </c>
      <c r="I40" s="396">
        <f t="shared" si="81"/>
        <v>434.94580509723158</v>
      </c>
      <c r="J40" s="396">
        <f t="shared" si="81"/>
        <v>501.24702006356875</v>
      </c>
      <c r="K40" s="396">
        <f t="shared" si="81"/>
        <v>539.39299657518859</v>
      </c>
      <c r="L40" s="396">
        <f t="shared" si="81"/>
        <v>560.65470223073828</v>
      </c>
      <c r="M40" s="396">
        <f t="shared" si="81"/>
        <v>583.67454612963218</v>
      </c>
      <c r="N40" s="396">
        <f>SUM(B40:M40)</f>
        <v>3924.7524853880541</v>
      </c>
      <c r="O40" s="396">
        <f t="shared" ref="O40:BO40" si="82">O16+O29</f>
        <v>609.52064234710519</v>
      </c>
      <c r="P40" s="396">
        <f t="shared" si="82"/>
        <v>614.04547288429171</v>
      </c>
      <c r="Q40" s="396">
        <f t="shared" si="82"/>
        <v>618.45526660939822</v>
      </c>
      <c r="R40" s="396">
        <f t="shared" si="82"/>
        <v>622.93947842155603</v>
      </c>
      <c r="S40" s="396">
        <f t="shared" si="82"/>
        <v>627.40760148739616</v>
      </c>
      <c r="T40" s="396">
        <f t="shared" si="82"/>
        <v>631.75866880176932</v>
      </c>
      <c r="U40" s="396">
        <f t="shared" si="82"/>
        <v>635.75199582945027</v>
      </c>
      <c r="V40" s="396">
        <f t="shared" si="82"/>
        <v>639.83255921861951</v>
      </c>
      <c r="W40" s="396">
        <f t="shared" si="82"/>
        <v>643.8531448661505</v>
      </c>
      <c r="X40" s="396">
        <f t="shared" si="82"/>
        <v>647.71999096870798</v>
      </c>
      <c r="Y40" s="396">
        <f t="shared" si="82"/>
        <v>652.01981635511652</v>
      </c>
      <c r="Z40" s="396">
        <f t="shared" si="82"/>
        <v>656.35654209661413</v>
      </c>
      <c r="AA40" s="396">
        <f t="shared" si="82"/>
        <v>7599.6611798861759</v>
      </c>
      <c r="AB40" s="396">
        <f t="shared" si="82"/>
        <v>661.17768948849073</v>
      </c>
      <c r="AC40" s="396">
        <f t="shared" si="82"/>
        <v>666.00956945208839</v>
      </c>
      <c r="AD40" s="396">
        <f t="shared" si="82"/>
        <v>670.57697282185939</v>
      </c>
      <c r="AE40" s="396">
        <f t="shared" si="82"/>
        <v>703.84031872858361</v>
      </c>
      <c r="AF40" s="396">
        <f t="shared" si="82"/>
        <v>710.79039239806627</v>
      </c>
      <c r="AG40" s="396">
        <f t="shared" si="82"/>
        <v>717.70314383303082</v>
      </c>
      <c r="AH40" s="396">
        <f t="shared" si="82"/>
        <v>816.67637879788765</v>
      </c>
      <c r="AI40" s="396">
        <f t="shared" si="82"/>
        <v>828.36876496633056</v>
      </c>
      <c r="AJ40" s="396">
        <f t="shared" si="82"/>
        <v>840.01389246508711</v>
      </c>
      <c r="AK40" s="396">
        <f t="shared" si="82"/>
        <v>995.7507260270097</v>
      </c>
      <c r="AL40" s="396">
        <f t="shared" si="82"/>
        <v>1005.8436286419242</v>
      </c>
      <c r="AM40" s="396">
        <f t="shared" si="82"/>
        <v>1016.2332611655602</v>
      </c>
      <c r="AN40" s="396">
        <f t="shared" si="82"/>
        <v>9632.984738785919</v>
      </c>
      <c r="AO40" s="396">
        <f t="shared" si="82"/>
        <v>964.92139740547418</v>
      </c>
      <c r="AP40" s="396">
        <f t="shared" si="82"/>
        <v>983.63676000210398</v>
      </c>
      <c r="AQ40" s="396">
        <f t="shared" si="82"/>
        <v>1008.9731478260502</v>
      </c>
      <c r="AR40" s="396">
        <f t="shared" si="82"/>
        <v>1049.250159708238</v>
      </c>
      <c r="AS40" s="396">
        <f t="shared" si="82"/>
        <v>1066.6666546548029</v>
      </c>
      <c r="AT40" s="396">
        <f t="shared" si="82"/>
        <v>1082.5921274659081</v>
      </c>
      <c r="AU40" s="396">
        <f t="shared" si="82"/>
        <v>1086.8474899825055</v>
      </c>
      <c r="AV40" s="396">
        <f t="shared" si="82"/>
        <v>1103.1865880443261</v>
      </c>
      <c r="AW40" s="396">
        <f t="shared" si="82"/>
        <v>1119.1984432717472</v>
      </c>
      <c r="AX40" s="396">
        <f t="shared" si="82"/>
        <v>1194.7937111072365</v>
      </c>
      <c r="AY40" s="396">
        <f t="shared" si="82"/>
        <v>1212.7451959942841</v>
      </c>
      <c r="AZ40" s="396">
        <f t="shared" si="82"/>
        <v>1229.0174249650145</v>
      </c>
      <c r="BA40" s="396">
        <f t="shared" si="82"/>
        <v>13101.829100427691</v>
      </c>
      <c r="BB40" s="396">
        <f t="shared" si="82"/>
        <v>1247.4484784351746</v>
      </c>
      <c r="BC40" s="396">
        <f t="shared" si="82"/>
        <v>1266.3546697722868</v>
      </c>
      <c r="BD40" s="396">
        <f t="shared" si="82"/>
        <v>1282.2363688428022</v>
      </c>
      <c r="BE40" s="396">
        <f t="shared" si="82"/>
        <v>1298.8294183096864</v>
      </c>
      <c r="BF40" s="396">
        <f t="shared" si="82"/>
        <v>1357.030320731965</v>
      </c>
      <c r="BG40" s="396">
        <f t="shared" si="82"/>
        <v>1378.7151304320791</v>
      </c>
      <c r="BH40" s="396">
        <f t="shared" si="82"/>
        <v>1350.35409455728</v>
      </c>
      <c r="BI40" s="396">
        <f t="shared" si="82"/>
        <v>1368.5436203941927</v>
      </c>
      <c r="BJ40" s="396">
        <f t="shared" si="82"/>
        <v>1387.1724525181239</v>
      </c>
      <c r="BK40" s="396">
        <f t="shared" si="82"/>
        <v>1267.7268272450117</v>
      </c>
      <c r="BL40" s="396">
        <f t="shared" si="82"/>
        <v>1281.5773551225698</v>
      </c>
      <c r="BM40" s="396">
        <f t="shared" si="82"/>
        <v>1295.6239524102557</v>
      </c>
      <c r="BN40" s="396">
        <f t="shared" si="82"/>
        <v>15781.612688771427</v>
      </c>
      <c r="BO40" s="396">
        <f t="shared" si="82"/>
        <v>12955.397115306045</v>
      </c>
    </row>
    <row r="41" spans="1:68" x14ac:dyDescent="0.25">
      <c r="B41" s="396"/>
      <c r="C41" s="396"/>
      <c r="D41" s="396"/>
      <c r="E41" s="396"/>
      <c r="F41" s="396"/>
      <c r="G41" s="396"/>
      <c r="H41" s="396"/>
      <c r="I41" s="396"/>
      <c r="J41" s="396"/>
      <c r="K41" s="396"/>
      <c r="L41" s="396"/>
      <c r="M41" s="396"/>
      <c r="N41" s="396"/>
      <c r="O41" s="396"/>
      <c r="P41" s="396"/>
      <c r="Q41" s="396"/>
      <c r="R41" s="396"/>
      <c r="S41" s="396"/>
      <c r="T41" s="396"/>
      <c r="U41" s="396"/>
      <c r="V41" s="396"/>
      <c r="W41" s="396"/>
      <c r="X41" s="396"/>
      <c r="Y41" s="396"/>
      <c r="Z41" s="396"/>
      <c r="AA41" s="396"/>
      <c r="AB41" s="396"/>
      <c r="AC41" s="396"/>
      <c r="AD41" s="396"/>
      <c r="AE41" s="396"/>
      <c r="AF41" s="396"/>
      <c r="AG41" s="396"/>
      <c r="AH41" s="396"/>
      <c r="AI41" s="396"/>
      <c r="AJ41" s="396"/>
      <c r="AK41" s="396"/>
      <c r="AL41" s="396"/>
      <c r="AM41" s="396"/>
      <c r="AN41" s="396"/>
      <c r="AO41" s="396"/>
      <c r="AP41" s="396"/>
      <c r="AQ41" s="396"/>
      <c r="AR41" s="396"/>
      <c r="AS41" s="396"/>
      <c r="AT41" s="396"/>
      <c r="AU41" s="396"/>
      <c r="AV41" s="396"/>
      <c r="AW41" s="396"/>
      <c r="AX41" s="396"/>
      <c r="AY41" s="396"/>
      <c r="AZ41" s="396"/>
      <c r="BA41" s="396"/>
      <c r="BB41" s="396"/>
      <c r="BC41" s="396"/>
      <c r="BD41" s="396"/>
      <c r="BE41" s="396"/>
      <c r="BF41" s="396"/>
      <c r="BG41" s="396"/>
      <c r="BH41" s="396"/>
      <c r="BI41" s="396"/>
      <c r="BJ41" s="396"/>
      <c r="BK41" s="396"/>
      <c r="BL41" s="396"/>
      <c r="BM41" s="396"/>
      <c r="BN41" s="396"/>
      <c r="BO41" s="396"/>
    </row>
    <row r="42" spans="1:68" s="315" customFormat="1" x14ac:dyDescent="0.25">
      <c r="A42" s="315" t="s">
        <v>435</v>
      </c>
      <c r="B42" s="400">
        <f>B38+B40</f>
        <v>20043.585488351684</v>
      </c>
      <c r="C42" s="400">
        <f t="shared" ref="C42:M42" si="83">C38+C40</f>
        <v>20105.720603365575</v>
      </c>
      <c r="D42" s="400">
        <f t="shared" si="83"/>
        <v>20167.855718379466</v>
      </c>
      <c r="E42" s="400">
        <f t="shared" si="83"/>
        <v>20229.990833393356</v>
      </c>
      <c r="F42" s="400">
        <f t="shared" si="83"/>
        <v>20292.125948407243</v>
      </c>
      <c r="G42" s="400">
        <f t="shared" si="83"/>
        <v>20354.261063421134</v>
      </c>
      <c r="H42" s="400">
        <f t="shared" si="83"/>
        <v>20416.396178435025</v>
      </c>
      <c r="I42" s="400">
        <f t="shared" si="83"/>
        <v>29203.347947788301</v>
      </c>
      <c r="J42" s="400">
        <f t="shared" si="83"/>
        <v>12572.182064973855</v>
      </c>
      <c r="K42" s="400">
        <f t="shared" si="83"/>
        <v>2850.6193094734081</v>
      </c>
      <c r="L42" s="400">
        <f t="shared" si="83"/>
        <v>6531.6667905900867</v>
      </c>
      <c r="M42" s="400">
        <f t="shared" si="83"/>
        <v>12573.936252550526</v>
      </c>
      <c r="N42" s="400">
        <f>SUM(B42:M42)</f>
        <v>205341.68819912965</v>
      </c>
      <c r="O42" s="400">
        <f>O38+O40</f>
        <v>6062.9397911417609</v>
      </c>
      <c r="P42" s="400">
        <f t="shared" ref="P42:AA42" si="84">P38+P40</f>
        <v>5825.2818594053524</v>
      </c>
      <c r="Q42" s="400">
        <f t="shared" si="84"/>
        <v>5986.3613100805596</v>
      </c>
      <c r="R42" s="400">
        <f t="shared" si="84"/>
        <v>5956.9744770134112</v>
      </c>
      <c r="S42" s="400">
        <f t="shared" si="84"/>
        <v>5715.0094390961667</v>
      </c>
      <c r="T42" s="400">
        <f t="shared" si="84"/>
        <v>4966.2230607427227</v>
      </c>
      <c r="U42" s="400">
        <f t="shared" si="84"/>
        <v>5153.8718856403757</v>
      </c>
      <c r="V42" s="400">
        <f t="shared" si="84"/>
        <v>5031.6835192648068</v>
      </c>
      <c r="W42" s="400">
        <f t="shared" si="84"/>
        <v>4712.0419049681095</v>
      </c>
      <c r="X42" s="400">
        <f t="shared" si="84"/>
        <v>5627.4440854943241</v>
      </c>
      <c r="Y42" s="400">
        <f t="shared" si="84"/>
        <v>5709.4288689624545</v>
      </c>
      <c r="Z42" s="400">
        <f t="shared" si="84"/>
        <v>6733.6006481336144</v>
      </c>
      <c r="AA42" s="400">
        <f t="shared" si="84"/>
        <v>67480.860849943652</v>
      </c>
      <c r="AB42" s="400">
        <f>AB38+AB40</f>
        <v>7984.7066017471998</v>
      </c>
      <c r="AC42" s="400">
        <f t="shared" ref="AC42:AN42" si="85">AC38+AC40</f>
        <v>7432.7456526018786</v>
      </c>
      <c r="AD42" s="400">
        <f t="shared" si="85"/>
        <v>7661.6913613487677</v>
      </c>
      <c r="AE42" s="400">
        <f t="shared" si="85"/>
        <v>7515.822386750413</v>
      </c>
      <c r="AF42" s="400">
        <f t="shared" si="85"/>
        <v>7478.8639492220609</v>
      </c>
      <c r="AG42" s="400">
        <f t="shared" si="85"/>
        <v>6724.6333430858031</v>
      </c>
      <c r="AH42" s="400">
        <f t="shared" si="85"/>
        <v>6838.1736533567155</v>
      </c>
      <c r="AI42" s="400">
        <f t="shared" si="85"/>
        <v>6824.0885833326329</v>
      </c>
      <c r="AJ42" s="400">
        <f t="shared" si="85"/>
        <v>3676.1174933600578</v>
      </c>
      <c r="AK42" s="400">
        <f t="shared" si="85"/>
        <v>4095.1637920068124</v>
      </c>
      <c r="AL42" s="400">
        <f t="shared" si="85"/>
        <v>4196.3822477135582</v>
      </c>
      <c r="AM42" s="400">
        <f t="shared" si="85"/>
        <v>-37301.870156842124</v>
      </c>
      <c r="AN42" s="400">
        <f t="shared" si="85"/>
        <v>33126.518907683785</v>
      </c>
      <c r="AO42" s="400">
        <f>AO38+AO40</f>
        <v>5228.5287674741285</v>
      </c>
      <c r="AP42" s="400">
        <f t="shared" ref="AP42:BA42" si="86">AP38+AP40</f>
        <v>7474.2673589882652</v>
      </c>
      <c r="AQ42" s="400">
        <f t="shared" si="86"/>
        <v>4930.5840378528364</v>
      </c>
      <c r="AR42" s="400">
        <f t="shared" si="86"/>
        <v>4996.1709679446585</v>
      </c>
      <c r="AS42" s="400">
        <f t="shared" si="86"/>
        <v>4654.3050206117941</v>
      </c>
      <c r="AT42" s="400">
        <f t="shared" si="86"/>
        <v>1533.9258441439119</v>
      </c>
      <c r="AU42" s="400">
        <f t="shared" si="86"/>
        <v>4774.1545910516179</v>
      </c>
      <c r="AV42" s="400">
        <f t="shared" si="86"/>
        <v>4711.6399940774754</v>
      </c>
      <c r="AW42" s="400">
        <f t="shared" si="86"/>
        <v>4630.7229079823628</v>
      </c>
      <c r="AX42" s="400">
        <f t="shared" si="86"/>
        <v>4800.2723647911826</v>
      </c>
      <c r="AY42" s="400">
        <f t="shared" si="86"/>
        <v>4451.1733761662399</v>
      </c>
      <c r="AZ42" s="400">
        <f t="shared" si="86"/>
        <v>4939.3198126625566</v>
      </c>
      <c r="BA42" s="400">
        <f t="shared" si="86"/>
        <v>57125.065043747032</v>
      </c>
      <c r="BB42" s="400">
        <f>BB38+BB40</f>
        <v>4990.2162651796398</v>
      </c>
      <c r="BC42" s="400">
        <f t="shared" ref="BC42:BO42" si="87">BC38+BC40</f>
        <v>4348.0312507032522</v>
      </c>
      <c r="BD42" s="400">
        <f t="shared" si="87"/>
        <v>4519.3993752095857</v>
      </c>
      <c r="BE42" s="400">
        <f t="shared" si="87"/>
        <v>13630.605092522228</v>
      </c>
      <c r="BF42" s="400">
        <f t="shared" si="87"/>
        <v>5707.1463835423983</v>
      </c>
      <c r="BG42" s="400">
        <f t="shared" si="87"/>
        <v>4943.5738123437768</v>
      </c>
      <c r="BH42" s="400">
        <f t="shared" si="87"/>
        <v>5203.884503482519</v>
      </c>
      <c r="BI42" s="400">
        <f t="shared" si="87"/>
        <v>5323.4524032467807</v>
      </c>
      <c r="BJ42" s="400">
        <f t="shared" si="87"/>
        <v>5244.103415452857</v>
      </c>
      <c r="BK42" s="400">
        <f t="shared" si="87"/>
        <v>4853.9647163369254</v>
      </c>
      <c r="BL42" s="400">
        <f t="shared" si="87"/>
        <v>4921.2401516063455</v>
      </c>
      <c r="BM42" s="400">
        <f t="shared" si="87"/>
        <v>5233.4603258966299</v>
      </c>
      <c r="BN42" s="400">
        <f t="shared" si="87"/>
        <v>68919.077695522938</v>
      </c>
      <c r="BO42" s="400">
        <f t="shared" si="87"/>
        <v>12955.397115306045</v>
      </c>
    </row>
    <row r="43" spans="1:68" s="315" customFormat="1" x14ac:dyDescent="0.25">
      <c r="A43" s="394" t="s">
        <v>452</v>
      </c>
      <c r="B43" s="409">
        <f>B42</f>
        <v>20043.585488351684</v>
      </c>
      <c r="C43" s="409">
        <f>C42+B43</f>
        <v>40149.306091717255</v>
      </c>
      <c r="D43" s="409">
        <f t="shared" ref="D43:M43" si="88">D42+C43</f>
        <v>60317.161810096717</v>
      </c>
      <c r="E43" s="409">
        <f t="shared" si="88"/>
        <v>80547.152643490073</v>
      </c>
      <c r="F43" s="409">
        <f t="shared" si="88"/>
        <v>100839.27859189731</v>
      </c>
      <c r="G43" s="409">
        <f t="shared" si="88"/>
        <v>121193.53965531844</v>
      </c>
      <c r="H43" s="409">
        <f t="shared" si="88"/>
        <v>141609.93583375346</v>
      </c>
      <c r="I43" s="409">
        <f t="shared" si="88"/>
        <v>170813.28378154177</v>
      </c>
      <c r="J43" s="409">
        <f t="shared" si="88"/>
        <v>183385.46584651564</v>
      </c>
      <c r="K43" s="409">
        <f t="shared" si="88"/>
        <v>186236.08515598904</v>
      </c>
      <c r="L43" s="409">
        <f t="shared" si="88"/>
        <v>192767.75194657914</v>
      </c>
      <c r="M43" s="409">
        <f t="shared" si="88"/>
        <v>205341.68819912965</v>
      </c>
      <c r="N43" s="410">
        <f>M43</f>
        <v>205341.68819912965</v>
      </c>
      <c r="O43" s="409">
        <f>O42+N43</f>
        <v>211404.6279902714</v>
      </c>
      <c r="P43" s="409">
        <f t="shared" ref="P43:Z43" si="89">P42+O43</f>
        <v>217229.90984967674</v>
      </c>
      <c r="Q43" s="409">
        <f t="shared" si="89"/>
        <v>223216.27115975731</v>
      </c>
      <c r="R43" s="409">
        <f t="shared" si="89"/>
        <v>229173.24563677071</v>
      </c>
      <c r="S43" s="409">
        <f t="shared" si="89"/>
        <v>234888.25507586688</v>
      </c>
      <c r="T43" s="409">
        <f t="shared" si="89"/>
        <v>239854.4781366096</v>
      </c>
      <c r="U43" s="409">
        <f t="shared" si="89"/>
        <v>245008.35002224997</v>
      </c>
      <c r="V43" s="409">
        <f t="shared" si="89"/>
        <v>250040.03354151477</v>
      </c>
      <c r="W43" s="409">
        <f t="shared" si="89"/>
        <v>254752.07544648289</v>
      </c>
      <c r="X43" s="409">
        <f t="shared" si="89"/>
        <v>260379.51953197722</v>
      </c>
      <c r="Y43" s="409">
        <f t="shared" si="89"/>
        <v>266088.9484009397</v>
      </c>
      <c r="Z43" s="409">
        <f t="shared" si="89"/>
        <v>272822.54904907331</v>
      </c>
      <c r="AA43" s="410">
        <f>Z43</f>
        <v>272822.54904907331</v>
      </c>
      <c r="AB43" s="409">
        <f>AB42+AA43</f>
        <v>280807.2556508205</v>
      </c>
      <c r="AC43" s="409">
        <f t="shared" ref="AC43:AM43" si="90">AC42+AB43</f>
        <v>288240.00130342238</v>
      </c>
      <c r="AD43" s="409">
        <f t="shared" si="90"/>
        <v>295901.69266477117</v>
      </c>
      <c r="AE43" s="409">
        <f t="shared" si="90"/>
        <v>303417.51505152159</v>
      </c>
      <c r="AF43" s="409">
        <f t="shared" si="90"/>
        <v>310896.37900074368</v>
      </c>
      <c r="AG43" s="409">
        <f t="shared" si="90"/>
        <v>317621.0123438295</v>
      </c>
      <c r="AH43" s="409">
        <f t="shared" si="90"/>
        <v>324459.18599718623</v>
      </c>
      <c r="AI43" s="409">
        <f t="shared" si="90"/>
        <v>331283.27458051889</v>
      </c>
      <c r="AJ43" s="409">
        <f t="shared" si="90"/>
        <v>334959.39207387896</v>
      </c>
      <c r="AK43" s="409">
        <f t="shared" si="90"/>
        <v>339054.55586588575</v>
      </c>
      <c r="AL43" s="409">
        <f t="shared" si="90"/>
        <v>343250.93811359932</v>
      </c>
      <c r="AM43" s="409">
        <f t="shared" si="90"/>
        <v>305949.06795675721</v>
      </c>
      <c r="AN43" s="410">
        <f>AM43</f>
        <v>305949.06795675721</v>
      </c>
      <c r="AO43" s="409">
        <f>AO42+AN43</f>
        <v>311177.59672423132</v>
      </c>
      <c r="AP43" s="409">
        <f t="shared" ref="AP43:AZ43" si="91">AP42+AO43</f>
        <v>318651.86408321961</v>
      </c>
      <c r="AQ43" s="409">
        <f t="shared" si="91"/>
        <v>323582.44812107243</v>
      </c>
      <c r="AR43" s="409">
        <f t="shared" si="91"/>
        <v>328578.6190890171</v>
      </c>
      <c r="AS43" s="409">
        <f t="shared" si="91"/>
        <v>333232.92410962889</v>
      </c>
      <c r="AT43" s="409">
        <f t="shared" si="91"/>
        <v>334766.84995377279</v>
      </c>
      <c r="AU43" s="409">
        <f t="shared" si="91"/>
        <v>339541.00454482442</v>
      </c>
      <c r="AV43" s="409">
        <f t="shared" si="91"/>
        <v>344252.64453890192</v>
      </c>
      <c r="AW43" s="409">
        <f t="shared" si="91"/>
        <v>348883.36744688428</v>
      </c>
      <c r="AX43" s="409">
        <f t="shared" si="91"/>
        <v>353683.63981167547</v>
      </c>
      <c r="AY43" s="409">
        <f t="shared" si="91"/>
        <v>358134.81318784173</v>
      </c>
      <c r="AZ43" s="409">
        <f t="shared" si="91"/>
        <v>363074.13300050428</v>
      </c>
      <c r="BA43" s="410">
        <f>AZ43</f>
        <v>363074.13300050428</v>
      </c>
      <c r="BB43" s="409">
        <f>BB42+BA43</f>
        <v>368064.34926568391</v>
      </c>
      <c r="BC43" s="409">
        <f t="shared" ref="BC43:BM43" si="92">BC42+BB43</f>
        <v>372412.38051638717</v>
      </c>
      <c r="BD43" s="409">
        <f t="shared" si="92"/>
        <v>376931.77989159676</v>
      </c>
      <c r="BE43" s="409">
        <f t="shared" si="92"/>
        <v>390562.38498411898</v>
      </c>
      <c r="BF43" s="409">
        <f t="shared" si="92"/>
        <v>396269.53136766137</v>
      </c>
      <c r="BG43" s="409">
        <f t="shared" si="92"/>
        <v>401213.10518000514</v>
      </c>
      <c r="BH43" s="409">
        <f t="shared" si="92"/>
        <v>406416.98968348763</v>
      </c>
      <c r="BI43" s="409">
        <f t="shared" si="92"/>
        <v>411740.4420867344</v>
      </c>
      <c r="BJ43" s="409">
        <f t="shared" si="92"/>
        <v>416984.54550218728</v>
      </c>
      <c r="BK43" s="409">
        <f t="shared" si="92"/>
        <v>421838.5102185242</v>
      </c>
      <c r="BL43" s="409">
        <f t="shared" si="92"/>
        <v>426759.75037013052</v>
      </c>
      <c r="BM43" s="409">
        <f t="shared" si="92"/>
        <v>431993.21069602715</v>
      </c>
      <c r="BN43" s="410">
        <f>BM43</f>
        <v>431993.21069602715</v>
      </c>
      <c r="BO43" s="409">
        <f t="shared" ref="BO43" si="93">BO42+BN43</f>
        <v>444948.6078113332</v>
      </c>
      <c r="BP43" s="411"/>
    </row>
    <row r="46" spans="1:68" x14ac:dyDescent="0.25">
      <c r="N46" s="393"/>
      <c r="AA46" s="393"/>
      <c r="AN46" s="393"/>
      <c r="BA46" s="393"/>
      <c r="BN46" s="393"/>
      <c r="BO46" s="393"/>
    </row>
    <row r="47" spans="1:68" x14ac:dyDescent="0.25">
      <c r="BN47" s="393"/>
    </row>
  </sheetData>
  <mergeCells count="1">
    <mergeCell ref="A1:A2"/>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CCC74-BB16-48F1-BD2A-CF4859A38397}">
  <sheetPr>
    <tabColor rgb="FF00B0F0"/>
  </sheetPr>
  <dimension ref="A1:BP46"/>
  <sheetViews>
    <sheetView showGridLines="0" zoomScale="80" zoomScaleNormal="80" workbookViewId="0">
      <pane xSplit="1" ySplit="2" topLeftCell="B3" activePane="bottomRight" state="frozen"/>
      <selection activeCell="CB42" sqref="CB42"/>
      <selection pane="topRight" activeCell="CB42" sqref="CB42"/>
      <selection pane="bottomLeft" activeCell="CB42" sqref="CB42"/>
      <selection pane="bottomRight" activeCell="BV22" sqref="BV22"/>
    </sheetView>
  </sheetViews>
  <sheetFormatPr defaultRowHeight="15" outlineLevelCol="1" x14ac:dyDescent="0.25"/>
  <cols>
    <col min="1" max="1" width="26.7109375" style="315" customWidth="1"/>
    <col min="2" max="2" width="8.85546875" style="391" hidden="1" customWidth="1" outlineLevel="1"/>
    <col min="3" max="3" width="9.140625" style="391" hidden="1" customWidth="1" outlineLevel="1"/>
    <col min="4" max="9" width="10" style="391" hidden="1" customWidth="1" outlineLevel="1"/>
    <col min="10" max="10" width="10.85546875" style="391" hidden="1" customWidth="1" outlineLevel="1"/>
    <col min="11" max="11" width="10" style="391" hidden="1" customWidth="1" outlineLevel="1"/>
    <col min="12" max="12" width="10.5703125" style="391" hidden="1" customWidth="1" outlineLevel="1"/>
    <col min="13" max="13" width="10.28515625" style="391" hidden="1" customWidth="1" outlineLevel="1"/>
    <col min="14" max="14" width="10.7109375" style="391" bestFit="1" customWidth="1" collapsed="1"/>
    <col min="15" max="18" width="10" style="391" hidden="1" customWidth="1" outlineLevel="1"/>
    <col min="19" max="26" width="11.5703125" style="391" hidden="1" customWidth="1" outlineLevel="1"/>
    <col min="27" max="27" width="12.28515625" style="391" bestFit="1" customWidth="1" collapsed="1"/>
    <col min="28" max="39" width="11.5703125" style="391" hidden="1" customWidth="1" outlineLevel="1"/>
    <col min="40" max="40" width="12.28515625" style="391" bestFit="1" customWidth="1" collapsed="1"/>
    <col min="41" max="52" width="11.5703125" style="391" hidden="1" customWidth="1" outlineLevel="1"/>
    <col min="53" max="53" width="12.28515625" style="391" bestFit="1" customWidth="1" collapsed="1"/>
    <col min="54" max="65" width="11.5703125" style="391" hidden="1" customWidth="1" outlineLevel="1"/>
    <col min="66" max="66" width="12.28515625" style="391" bestFit="1" customWidth="1" collapsed="1"/>
    <col min="67" max="67" width="12.28515625" style="391" bestFit="1" customWidth="1"/>
    <col min="72" max="72" width="8" bestFit="1" customWidth="1"/>
  </cols>
  <sheetData>
    <row r="1" spans="1:67" s="315" customFormat="1" ht="21" customHeight="1" x14ac:dyDescent="0.25">
      <c r="A1" s="508" t="s">
        <v>351</v>
      </c>
      <c r="B1" s="395">
        <v>2020</v>
      </c>
      <c r="C1" s="395">
        <v>2020</v>
      </c>
      <c r="D1" s="395">
        <v>2020</v>
      </c>
      <c r="E1" s="395">
        <v>2020</v>
      </c>
      <c r="F1" s="395">
        <v>2020</v>
      </c>
      <c r="G1" s="395">
        <v>2020</v>
      </c>
      <c r="H1" s="395">
        <v>2020</v>
      </c>
      <c r="I1" s="395">
        <v>2020</v>
      </c>
      <c r="J1" s="395">
        <v>2020</v>
      </c>
      <c r="K1" s="395">
        <v>2020</v>
      </c>
      <c r="L1" s="395">
        <v>2020</v>
      </c>
      <c r="M1" s="395">
        <v>2020</v>
      </c>
      <c r="N1" s="395">
        <v>2020</v>
      </c>
      <c r="O1" s="395">
        <v>2021</v>
      </c>
      <c r="P1" s="395">
        <v>2021</v>
      </c>
      <c r="Q1" s="395">
        <v>2021</v>
      </c>
      <c r="R1" s="395">
        <v>2021</v>
      </c>
      <c r="S1" s="395">
        <v>2021</v>
      </c>
      <c r="T1" s="395">
        <v>2021</v>
      </c>
      <c r="U1" s="395">
        <v>2021</v>
      </c>
      <c r="V1" s="395">
        <v>2021</v>
      </c>
      <c r="W1" s="395">
        <v>2021</v>
      </c>
      <c r="X1" s="395">
        <v>2021</v>
      </c>
      <c r="Y1" s="395">
        <v>2021</v>
      </c>
      <c r="Z1" s="395">
        <v>2021</v>
      </c>
      <c r="AA1" s="395">
        <v>2021</v>
      </c>
      <c r="AB1" s="395">
        <v>2022</v>
      </c>
      <c r="AC1" s="395">
        <v>2022</v>
      </c>
      <c r="AD1" s="395">
        <v>2022</v>
      </c>
      <c r="AE1" s="395">
        <v>2022</v>
      </c>
      <c r="AF1" s="395">
        <v>2022</v>
      </c>
      <c r="AG1" s="395">
        <v>2022</v>
      </c>
      <c r="AH1" s="395">
        <v>2022</v>
      </c>
      <c r="AI1" s="395">
        <v>2022</v>
      </c>
      <c r="AJ1" s="395">
        <v>2022</v>
      </c>
      <c r="AK1" s="395">
        <v>2022</v>
      </c>
      <c r="AL1" s="395">
        <v>2022</v>
      </c>
      <c r="AM1" s="395">
        <v>2022</v>
      </c>
      <c r="AN1" s="395">
        <v>2022</v>
      </c>
      <c r="AO1" s="395">
        <v>2023</v>
      </c>
      <c r="AP1" s="395">
        <v>2023</v>
      </c>
      <c r="AQ1" s="395">
        <v>2023</v>
      </c>
      <c r="AR1" s="395">
        <v>2023</v>
      </c>
      <c r="AS1" s="395">
        <v>2023</v>
      </c>
      <c r="AT1" s="395">
        <v>2023</v>
      </c>
      <c r="AU1" s="395">
        <v>2023</v>
      </c>
      <c r="AV1" s="395">
        <v>2023</v>
      </c>
      <c r="AW1" s="395">
        <v>2023</v>
      </c>
      <c r="AX1" s="395">
        <v>2023</v>
      </c>
      <c r="AY1" s="395">
        <v>2023</v>
      </c>
      <c r="AZ1" s="395">
        <v>2023</v>
      </c>
      <c r="BA1" s="395">
        <v>2023</v>
      </c>
      <c r="BB1" s="395">
        <v>2024</v>
      </c>
      <c r="BC1" s="395">
        <v>2024</v>
      </c>
      <c r="BD1" s="395">
        <v>2024</v>
      </c>
      <c r="BE1" s="395">
        <v>2024</v>
      </c>
      <c r="BF1" s="395">
        <v>2024</v>
      </c>
      <c r="BG1" s="395">
        <v>2024</v>
      </c>
      <c r="BH1" s="395">
        <v>2024</v>
      </c>
      <c r="BI1" s="395">
        <v>2024</v>
      </c>
      <c r="BJ1" s="395">
        <v>2024</v>
      </c>
      <c r="BK1" s="395">
        <v>2024</v>
      </c>
      <c r="BL1" s="395">
        <v>2024</v>
      </c>
      <c r="BM1" s="395">
        <v>2024</v>
      </c>
      <c r="BN1" s="395">
        <v>2024</v>
      </c>
      <c r="BO1" s="395">
        <v>2025</v>
      </c>
    </row>
    <row r="2" spans="1:67" s="315" customFormat="1" x14ac:dyDescent="0.25">
      <c r="A2" s="509"/>
      <c r="B2" s="399" t="s">
        <v>420</v>
      </c>
      <c r="C2" s="399" t="s">
        <v>421</v>
      </c>
      <c r="D2" s="399" t="s">
        <v>422</v>
      </c>
      <c r="E2" s="399" t="s">
        <v>423</v>
      </c>
      <c r="F2" s="399" t="s">
        <v>424</v>
      </c>
      <c r="G2" s="399" t="s">
        <v>425</v>
      </c>
      <c r="H2" s="399" t="s">
        <v>426</v>
      </c>
      <c r="I2" s="399" t="s">
        <v>427</v>
      </c>
      <c r="J2" s="399" t="s">
        <v>428</v>
      </c>
      <c r="K2" s="399" t="s">
        <v>429</v>
      </c>
      <c r="L2" s="399" t="s">
        <v>430</v>
      </c>
      <c r="M2" s="399" t="s">
        <v>431</v>
      </c>
      <c r="N2" s="399" t="s">
        <v>343</v>
      </c>
      <c r="O2" s="399" t="s">
        <v>420</v>
      </c>
      <c r="P2" s="399" t="s">
        <v>421</v>
      </c>
      <c r="Q2" s="399" t="s">
        <v>422</v>
      </c>
      <c r="R2" s="399" t="s">
        <v>423</v>
      </c>
      <c r="S2" s="399" t="s">
        <v>424</v>
      </c>
      <c r="T2" s="399" t="s">
        <v>425</v>
      </c>
      <c r="U2" s="399" t="s">
        <v>426</v>
      </c>
      <c r="V2" s="399" t="s">
        <v>427</v>
      </c>
      <c r="W2" s="399" t="s">
        <v>428</v>
      </c>
      <c r="X2" s="399" t="s">
        <v>429</v>
      </c>
      <c r="Y2" s="399" t="s">
        <v>430</v>
      </c>
      <c r="Z2" s="399" t="s">
        <v>431</v>
      </c>
      <c r="AA2" s="399" t="s">
        <v>343</v>
      </c>
      <c r="AB2" s="399" t="s">
        <v>420</v>
      </c>
      <c r="AC2" s="399" t="s">
        <v>421</v>
      </c>
      <c r="AD2" s="399" t="s">
        <v>422</v>
      </c>
      <c r="AE2" s="399" t="s">
        <v>423</v>
      </c>
      <c r="AF2" s="399" t="s">
        <v>424</v>
      </c>
      <c r="AG2" s="399" t="s">
        <v>425</v>
      </c>
      <c r="AH2" s="399" t="s">
        <v>426</v>
      </c>
      <c r="AI2" s="399" t="s">
        <v>427</v>
      </c>
      <c r="AJ2" s="399" t="s">
        <v>428</v>
      </c>
      <c r="AK2" s="399" t="s">
        <v>429</v>
      </c>
      <c r="AL2" s="399" t="s">
        <v>430</v>
      </c>
      <c r="AM2" s="399" t="s">
        <v>431</v>
      </c>
      <c r="AN2" s="399" t="s">
        <v>343</v>
      </c>
      <c r="AO2" s="399" t="s">
        <v>420</v>
      </c>
      <c r="AP2" s="399" t="s">
        <v>421</v>
      </c>
      <c r="AQ2" s="399" t="s">
        <v>422</v>
      </c>
      <c r="AR2" s="399" t="s">
        <v>423</v>
      </c>
      <c r="AS2" s="399" t="s">
        <v>424</v>
      </c>
      <c r="AT2" s="399" t="s">
        <v>425</v>
      </c>
      <c r="AU2" s="399" t="s">
        <v>426</v>
      </c>
      <c r="AV2" s="399" t="s">
        <v>427</v>
      </c>
      <c r="AW2" s="399" t="s">
        <v>428</v>
      </c>
      <c r="AX2" s="399" t="s">
        <v>429</v>
      </c>
      <c r="AY2" s="399" t="s">
        <v>430</v>
      </c>
      <c r="AZ2" s="399" t="s">
        <v>431</v>
      </c>
      <c r="BA2" s="399" t="s">
        <v>343</v>
      </c>
      <c r="BB2" s="399" t="s">
        <v>420</v>
      </c>
      <c r="BC2" s="399" t="s">
        <v>421</v>
      </c>
      <c r="BD2" s="399" t="s">
        <v>422</v>
      </c>
      <c r="BE2" s="399" t="s">
        <v>423</v>
      </c>
      <c r="BF2" s="399" t="s">
        <v>424</v>
      </c>
      <c r="BG2" s="399" t="s">
        <v>425</v>
      </c>
      <c r="BH2" s="399" t="s">
        <v>426</v>
      </c>
      <c r="BI2" s="399" t="s">
        <v>427</v>
      </c>
      <c r="BJ2" s="399" t="s">
        <v>428</v>
      </c>
      <c r="BK2" s="399" t="s">
        <v>429</v>
      </c>
      <c r="BL2" s="399" t="s">
        <v>430</v>
      </c>
      <c r="BM2" s="399" t="s">
        <v>431</v>
      </c>
      <c r="BN2" s="399" t="s">
        <v>343</v>
      </c>
      <c r="BO2" s="399" t="s">
        <v>343</v>
      </c>
    </row>
    <row r="3" spans="1:67" x14ac:dyDescent="0.25">
      <c r="A3" s="401" t="s">
        <v>438</v>
      </c>
      <c r="B3" s="396"/>
      <c r="C3" s="396"/>
      <c r="D3" s="396"/>
      <c r="E3" s="396"/>
      <c r="F3" s="396"/>
      <c r="G3" s="396"/>
      <c r="H3" s="396"/>
      <c r="I3" s="396"/>
      <c r="J3" s="396"/>
      <c r="K3" s="396"/>
      <c r="L3" s="396"/>
      <c r="M3" s="396"/>
      <c r="N3" s="396"/>
      <c r="O3" s="396"/>
      <c r="P3" s="396"/>
      <c r="Q3" s="396"/>
      <c r="R3" s="396"/>
      <c r="S3" s="396"/>
      <c r="T3" s="396"/>
      <c r="U3" s="396"/>
      <c r="V3" s="396"/>
      <c r="W3" s="396"/>
      <c r="X3" s="396"/>
      <c r="Y3" s="396"/>
      <c r="Z3" s="396"/>
      <c r="AA3" s="396"/>
      <c r="AB3" s="396"/>
      <c r="AC3" s="396"/>
      <c r="AD3" s="396"/>
      <c r="AE3" s="396"/>
      <c r="AF3" s="396"/>
      <c r="AG3" s="396"/>
      <c r="AH3" s="396"/>
      <c r="AI3" s="396"/>
      <c r="AJ3" s="396"/>
      <c r="AK3" s="396"/>
      <c r="AL3" s="396"/>
      <c r="AM3" s="396"/>
      <c r="AN3" s="396"/>
      <c r="AO3" s="396"/>
      <c r="AP3" s="396"/>
      <c r="AQ3" s="396"/>
      <c r="AR3" s="396"/>
      <c r="AS3" s="396"/>
      <c r="AT3" s="396"/>
      <c r="AU3" s="396"/>
      <c r="AV3" s="396"/>
      <c r="AW3" s="396"/>
      <c r="AX3" s="396"/>
      <c r="AY3" s="396"/>
      <c r="AZ3" s="396"/>
      <c r="BA3" s="396"/>
      <c r="BB3" s="396"/>
      <c r="BC3" s="396"/>
      <c r="BD3" s="396"/>
      <c r="BE3" s="396"/>
      <c r="BF3" s="396"/>
      <c r="BG3" s="396"/>
      <c r="BH3" s="396"/>
      <c r="BI3" s="396"/>
      <c r="BJ3" s="396"/>
      <c r="BK3" s="396"/>
      <c r="BL3" s="396"/>
      <c r="BM3" s="396"/>
      <c r="BN3" s="396"/>
      <c r="BO3" s="396"/>
    </row>
    <row r="4" spans="1:67" x14ac:dyDescent="0.25">
      <c r="A4" s="392" t="s">
        <v>137</v>
      </c>
      <c r="B4" s="396">
        <f>SUM('S&amp;TVA Q4 2020'!B$18:B$20)</f>
        <v>0</v>
      </c>
      <c r="C4" s="396">
        <f>SUM('S&amp;TVA Q4 2020'!C$18:C$20)</f>
        <v>0</v>
      </c>
      <c r="D4" s="396">
        <f>SUM('S&amp;TVA Q4 2020'!D$18:D$20)</f>
        <v>0</v>
      </c>
      <c r="E4" s="396">
        <f>SUM('S&amp;TVA Q4 2020'!E$18:E$20)</f>
        <v>0</v>
      </c>
      <c r="F4" s="396">
        <f>SUM('S&amp;TVA Q4 2020'!F$18:F$20)</f>
        <v>3613.29</v>
      </c>
      <c r="G4" s="396">
        <f>SUM('S&amp;TVA Q4 2020'!G$18:G$20)</f>
        <v>7218.33</v>
      </c>
      <c r="H4" s="396">
        <f>SUM('S&amp;TVA Q4 2020'!H$18:H$20)</f>
        <v>7222.83</v>
      </c>
      <c r="I4" s="396">
        <f>SUM('S&amp;TVA Q4 2020'!I$18:I$20)</f>
        <v>7588.08</v>
      </c>
      <c r="J4" s="396">
        <f>SUM('S&amp;TVA Q4 2020'!J$18:J$20)</f>
        <v>7173.33</v>
      </c>
      <c r="K4" s="396">
        <f>SUM('S&amp;TVA Q4 2020'!K$18:K$20)</f>
        <v>7083.33</v>
      </c>
      <c r="L4" s="396">
        <f>SUM('S&amp;TVA Q4 2020'!L$18:L$20)</f>
        <v>7094.53</v>
      </c>
      <c r="M4" s="396">
        <f>SUM('S&amp;TVA Q4 2020'!M$18:M$20)</f>
        <v>7083.33</v>
      </c>
      <c r="N4" s="396">
        <f>SUM(B4:M4)</f>
        <v>54077.05</v>
      </c>
      <c r="O4" s="396">
        <f>SUM('S&amp;TVA 2021'!B18:B21)</f>
        <v>7089.22</v>
      </c>
      <c r="P4" s="396">
        <f>SUM('S&amp;TVA 2021'!C18:C21)</f>
        <v>7207.8099999999995</v>
      </c>
      <c r="Q4" s="396">
        <f>SUM('S&amp;TVA 2021'!D18:D21)</f>
        <v>7122.92</v>
      </c>
      <c r="R4" s="396">
        <f>SUM('S&amp;TVA 2021'!E18:E21)</f>
        <v>7083.33</v>
      </c>
      <c r="S4" s="396">
        <f>SUM('S&amp;TVA 2021'!F18:F21)</f>
        <v>7164.24</v>
      </c>
      <c r="T4" s="396">
        <f>SUM('S&amp;TVA 2021'!G18:G21)</f>
        <v>7169.55</v>
      </c>
      <c r="U4" s="396">
        <f>SUM('S&amp;TVA 2021'!H18:H21)</f>
        <v>7083.33</v>
      </c>
      <c r="V4" s="396">
        <f>SUM('S&amp;TVA 2021'!I18:I21)</f>
        <v>7086.34</v>
      </c>
      <c r="W4" s="396">
        <f>SUM('S&amp;TVA 2021'!J18:J21)</f>
        <v>7101.33</v>
      </c>
      <c r="X4" s="396">
        <f>SUM('S&amp;TVA 2021'!K18:K21)</f>
        <v>7083.33</v>
      </c>
      <c r="Y4" s="396">
        <f>SUM('S&amp;TVA 2021'!L18:L21)</f>
        <v>7135.53</v>
      </c>
      <c r="Z4" s="396">
        <f>SUM('S&amp;TVA 2021'!M18:M21)</f>
        <v>7168.98</v>
      </c>
      <c r="AA4" s="396">
        <f>SUM(O4:Z4)</f>
        <v>85495.91</v>
      </c>
      <c r="AB4" s="396">
        <f>SUM('S&amp;TVA 2022'!B18:B21)</f>
        <v>7226.73</v>
      </c>
      <c r="AC4" s="396">
        <f>SUM('S&amp;TVA 2022'!C18:C21)</f>
        <v>7201.23</v>
      </c>
      <c r="AD4" s="396">
        <f>SUM('S&amp;TVA 2022'!D18:D21)</f>
        <v>7182.03</v>
      </c>
      <c r="AE4" s="396">
        <f>SUM('S&amp;TVA 2022'!E18:E21)</f>
        <v>7200.7</v>
      </c>
      <c r="AF4" s="396">
        <f>SUM('S&amp;TVA 2022'!F18:F21)</f>
        <v>7308.44</v>
      </c>
      <c r="AG4" s="396">
        <f>SUM('S&amp;TVA 2022'!G18:G21)</f>
        <v>7200.15</v>
      </c>
      <c r="AH4" s="396">
        <f>SUM('S&amp;TVA 2022'!H18:H21)</f>
        <v>7166.84</v>
      </c>
      <c r="AI4" s="396">
        <f>SUM('S&amp;TVA 2022'!I18:I21)</f>
        <v>7165.35</v>
      </c>
      <c r="AJ4" s="396">
        <f>SUM('S&amp;TVA 2022'!J18:J21)</f>
        <v>7163.39</v>
      </c>
      <c r="AK4" s="396">
        <f>SUM('S&amp;TVA 2022'!K18:K21)</f>
        <v>7083.33</v>
      </c>
      <c r="AL4" s="396">
        <f>SUM('S&amp;TVA 2022'!L18:L21)</f>
        <v>7123.54</v>
      </c>
      <c r="AM4" s="396">
        <f>SUM('S&amp;TVA 2022'!M18:M21)</f>
        <v>7202.09</v>
      </c>
      <c r="AN4" s="396">
        <f>SUM(AB4:AM4)</f>
        <v>86223.819999999978</v>
      </c>
      <c r="AO4" s="396">
        <f>SUM('S&amp;TVA 2023'!B18:B21)</f>
        <v>7190.2699999999995</v>
      </c>
      <c r="AP4" s="396">
        <f>SUM('S&amp;TVA 2023'!C18:C21)</f>
        <v>7223.48</v>
      </c>
      <c r="AQ4" s="396">
        <f>SUM('S&amp;TVA 2023'!D18:D21)</f>
        <v>7193.88</v>
      </c>
      <c r="AR4" s="396">
        <f>SUM('S&amp;TVA 2023'!E18:E21)</f>
        <v>7143.41</v>
      </c>
      <c r="AS4" s="396">
        <f>SUM('S&amp;TVA 2023'!F18:F21)</f>
        <v>7192.08</v>
      </c>
      <c r="AT4" s="396">
        <f>SUM('S&amp;TVA 2023'!G18:G21)</f>
        <v>7191.89</v>
      </c>
      <c r="AU4" s="396">
        <f>SUM('S&amp;TVA 2023'!H18:H21)</f>
        <v>7158.08</v>
      </c>
      <c r="AV4" s="396">
        <f>SUM('S&amp;TVA 2023'!I18:I21)</f>
        <v>7176.33</v>
      </c>
      <c r="AW4" s="396">
        <f>SUM('S&amp;TVA 2023'!J18:J21)</f>
        <v>7157.9</v>
      </c>
      <c r="AX4" s="396">
        <f>SUM('S&amp;TVA 2023'!K18:K21)</f>
        <v>7098.68</v>
      </c>
      <c r="AY4" s="396">
        <f>SUM('S&amp;TVA 2023'!L18:L21)</f>
        <v>7161.82</v>
      </c>
      <c r="AZ4" s="396">
        <f>SUM('S&amp;TVA 2023'!M18:M21)</f>
        <v>7126.9</v>
      </c>
      <c r="BA4" s="396">
        <f>SUM(AO4:AZ4)</f>
        <v>86014.720000000001</v>
      </c>
      <c r="BB4" s="396">
        <f>SUM('S&amp;TVA 2024'!B27:B30)</f>
        <v>7177.07</v>
      </c>
      <c r="BC4" s="396">
        <f>SUM('S&amp;TVA 2024'!C27:C30)</f>
        <v>7183.8799999999992</v>
      </c>
      <c r="BD4" s="396">
        <f>SUM('S&amp;TVA 2024'!D27:D30)</f>
        <v>7186.96</v>
      </c>
      <c r="BE4" s="396">
        <f>SUM('S&amp;TVA 2024'!E27:E30)</f>
        <v>7184.94</v>
      </c>
      <c r="BF4" s="396">
        <f>SUM('S&amp;TVA 2024'!F27:F30)</f>
        <v>7211.49</v>
      </c>
      <c r="BG4" s="396">
        <f>SUM('S&amp;TVA 2024'!G27:G30)</f>
        <v>7136.97</v>
      </c>
      <c r="BH4" s="396">
        <f>SUM('S&amp;TVA 2024'!H27:H30)</f>
        <v>7123.09</v>
      </c>
      <c r="BI4" s="396">
        <f>SUM('S&amp;TVA 2024'!I27:I30)</f>
        <v>7155.92</v>
      </c>
      <c r="BJ4" s="396">
        <f>SUM('S&amp;TVA 2024'!J27:J30)</f>
        <v>7155.51</v>
      </c>
      <c r="BK4" s="396">
        <f>SUM('S&amp;TVA 2024'!K27:K30)</f>
        <v>7083.33</v>
      </c>
      <c r="BL4" s="396">
        <f>SUM('S&amp;TVA 2024'!L27:L30)</f>
        <v>7112.13</v>
      </c>
      <c r="BM4" s="396">
        <f>SUM('S&amp;TVA 2024'!M27:M30)</f>
        <v>7197.33</v>
      </c>
      <c r="BN4" s="396">
        <f>SUM(BB4:BM4)</f>
        <v>85908.62</v>
      </c>
      <c r="BO4" s="396"/>
    </row>
    <row r="5" spans="1:67" x14ac:dyDescent="0.25">
      <c r="A5" s="392" t="s">
        <v>349</v>
      </c>
      <c r="B5" s="396">
        <f>Allocation!C3</f>
        <v>0</v>
      </c>
      <c r="C5" s="396">
        <f>Allocation!D3</f>
        <v>0</v>
      </c>
      <c r="D5" s="396">
        <f>Allocation!E3</f>
        <v>0</v>
      </c>
      <c r="E5" s="396">
        <f>Allocation!F3</f>
        <v>0</v>
      </c>
      <c r="F5" s="396">
        <f>Allocation!G3-F4</f>
        <v>-3.9999999999054126E-3</v>
      </c>
      <c r="G5" s="396">
        <f>Allocation!H3-G4</f>
        <v>14998.788999999999</v>
      </c>
      <c r="H5" s="396">
        <f>Allocation!I3-H4</f>
        <v>16665.32</v>
      </c>
      <c r="I5" s="396">
        <f>Allocation!J3-I4</f>
        <v>9393.948781150184</v>
      </c>
      <c r="J5" s="396">
        <f>Allocation!K3-J4</f>
        <v>9022.762512541849</v>
      </c>
      <c r="K5" s="396">
        <f>Allocation!L3-K4</f>
        <v>9022.762512541849</v>
      </c>
      <c r="L5" s="396">
        <f>Allocation!M3-L4</f>
        <v>15208.699513615076</v>
      </c>
      <c r="M5" s="396">
        <f>Allocation!N3-M4</f>
        <v>24159.741434640004</v>
      </c>
      <c r="N5" s="396">
        <f t="shared" ref="N5:N8" si="0">SUM(B5:M5)</f>
        <v>98472.019754488967</v>
      </c>
      <c r="O5" s="396">
        <f>Allocation!P3-O4</f>
        <v>24596.102879082999</v>
      </c>
      <c r="P5" s="396">
        <f>Allocation!Q3-P4+'S&amp;TVA 2021'!C32</f>
        <v>24800.777948699171</v>
      </c>
      <c r="Q5" s="396">
        <f>Allocation!R3-Q4</f>
        <v>24738.479702547927</v>
      </c>
      <c r="R5" s="396">
        <f>Allocation!S3-R4</f>
        <v>24553.024394159998</v>
      </c>
      <c r="S5" s="396">
        <f>Allocation!T3-S4</f>
        <v>24553.024394159998</v>
      </c>
      <c r="T5" s="396">
        <f>Allocation!U3-T4</f>
        <v>24553.024394159998</v>
      </c>
      <c r="U5" s="396">
        <f>Allocation!V3-U4</f>
        <v>24553.024394159998</v>
      </c>
      <c r="V5" s="396">
        <f>Allocation!W3-V4</f>
        <v>24574.566717535727</v>
      </c>
      <c r="W5" s="396">
        <f>Allocation!X3-W4</f>
        <v>24620.097008930461</v>
      </c>
      <c r="X5" s="396">
        <f>Allocation!Y3-X4</f>
        <v>24749.882683889991</v>
      </c>
      <c r="Y5" s="396">
        <f>Allocation!Z3-Y4</f>
        <v>24988.580518794945</v>
      </c>
      <c r="Z5" s="396">
        <f>Allocation!AA3-Z4</f>
        <v>24257.53183153972</v>
      </c>
      <c r="AA5" s="396">
        <f t="shared" ref="AA5:AA8" si="1">SUM(O5:Z5)</f>
        <v>295538.11686766089</v>
      </c>
      <c r="AB5" s="396">
        <f>Allocation!AC3-AB4</f>
        <v>23854.988090006653</v>
      </c>
      <c r="AC5" s="396">
        <f>Allocation!AD3-AC4</f>
        <v>23830.679484668399</v>
      </c>
      <c r="AD5" s="396">
        <f>Allocation!AE3-AD4</f>
        <v>23765.372037409099</v>
      </c>
      <c r="AE5" s="396">
        <f>Allocation!AF3-AE4</f>
        <v>23679.6149636798</v>
      </c>
      <c r="AF5" s="396">
        <f>Allocation!AG3-AF4</f>
        <v>23538.290678528301</v>
      </c>
      <c r="AG5" s="396">
        <f>Allocation!AH3-AG4</f>
        <v>23422.849040278699</v>
      </c>
      <c r="AH5" s="396">
        <f>Allocation!AI3-AH4</f>
        <v>23401.203294892643</v>
      </c>
      <c r="AI5" s="396">
        <f>Allocation!AJ3-AI4</f>
        <v>23532.603661638765</v>
      </c>
      <c r="AJ5" s="396">
        <f>Allocation!AK3-AJ4</f>
        <v>23518.974737254095</v>
      </c>
      <c r="AK5" s="396">
        <f>Allocation!AL3-AK4</f>
        <v>24064.172116982067</v>
      </c>
      <c r="AL5" s="396">
        <f>Allocation!AM3-AL4</f>
        <v>24224.45348054303</v>
      </c>
      <c r="AM5" s="396">
        <f>Allocation!AN3-AM4</f>
        <v>24238.519900163152</v>
      </c>
      <c r="AN5" s="396">
        <f t="shared" ref="AN5:AN8" si="2">SUM(AB5:AM5)</f>
        <v>285071.72148604476</v>
      </c>
      <c r="AO5" s="396">
        <f>Allocation!AP3-AO4</f>
        <v>35198.122566040765</v>
      </c>
      <c r="AP5" s="396">
        <f>Allocation!AQ3-AP4</f>
        <v>25158.183579510456</v>
      </c>
      <c r="AQ5" s="396">
        <f>Allocation!AR3-AQ4</f>
        <v>25099.731541461821</v>
      </c>
      <c r="AR5" s="396">
        <f>Allocation!AS3-AR4</f>
        <v>24747.680323923389</v>
      </c>
      <c r="AS5" s="396">
        <f>Allocation!AT3-AS4</f>
        <v>24614.510617895627</v>
      </c>
      <c r="AT5" s="396">
        <f>Allocation!AU3-AT4</f>
        <v>24384.064064138613</v>
      </c>
      <c r="AU5" s="396">
        <f>Allocation!AV3-AU4</f>
        <v>24321.059207381106</v>
      </c>
      <c r="AV5" s="396">
        <f>Allocation!AW3-AV4</f>
        <v>24523.858953466668</v>
      </c>
      <c r="AW5" s="396">
        <f>Allocation!AX3-AW4</f>
        <v>24445.483475210807</v>
      </c>
      <c r="AX5" s="396">
        <f>Allocation!AY3-AX4</f>
        <v>24873.229704317473</v>
      </c>
      <c r="AY5" s="396">
        <f>Allocation!AZ3-AY4</f>
        <v>25758.15387057187</v>
      </c>
      <c r="AZ5" s="396">
        <f>Allocation!BA3-AZ4</f>
        <v>25369.713670943078</v>
      </c>
      <c r="BA5" s="396">
        <f t="shared" ref="BA5:BA8" si="3">SUM(AO5:AZ5)</f>
        <v>308493.79157486162</v>
      </c>
      <c r="BB5" s="396">
        <f>Allocation!BC3-BB4</f>
        <v>25381.135802214903</v>
      </c>
      <c r="BC5" s="396">
        <f>Allocation!BD3-BC4</f>
        <v>25361.394895995603</v>
      </c>
      <c r="BD5" s="396">
        <f>Allocation!BE3-BD4</f>
        <v>30372.700063215598</v>
      </c>
      <c r="BE5" s="396">
        <f>Allocation!BF3-BE4+'S&amp;TVA 2024'!E40*Allocation!BB14</f>
        <v>39962.646098203622</v>
      </c>
      <c r="BF5" s="396">
        <f>Allocation!BG3-BF4</f>
        <v>25196.032318655329</v>
      </c>
      <c r="BG5" s="396">
        <f>Allocation!BH3-BG4</f>
        <v>25057.427655228465</v>
      </c>
      <c r="BH5" s="396">
        <f>Allocation!BI3-BH4</f>
        <v>25176.834213617312</v>
      </c>
      <c r="BI5" s="396">
        <f>Allocation!BJ3-BI4</f>
        <v>25139.521332909171</v>
      </c>
      <c r="BJ5" s="396">
        <f>Allocation!BK3-BJ4</f>
        <v>25150.176407315019</v>
      </c>
      <c r="BK5" s="396">
        <f>Allocation!BL3-BK4</f>
        <v>26058.568804305833</v>
      </c>
      <c r="BL5" s="396">
        <f>Allocation!BM3-BL4</f>
        <v>25943.481657333181</v>
      </c>
      <c r="BM5" s="396">
        <f>Allocation!BN3-BM4</f>
        <v>26185.937798967374</v>
      </c>
      <c r="BN5" s="396">
        <f t="shared" ref="BN5:BN8" si="4">SUM(BB5:BM5)</f>
        <v>324985.85704796144</v>
      </c>
      <c r="BO5" s="396"/>
    </row>
    <row r="6" spans="1:67" x14ac:dyDescent="0.25">
      <c r="A6" s="392" t="s">
        <v>473</v>
      </c>
      <c r="B6" s="396">
        <f>Allocation!C8</f>
        <v>0</v>
      </c>
      <c r="C6" s="396">
        <f>Allocation!D8</f>
        <v>0</v>
      </c>
      <c r="D6" s="396">
        <f>Allocation!E8</f>
        <v>0</v>
      </c>
      <c r="E6" s="396">
        <f>Allocation!F8</f>
        <v>0</v>
      </c>
      <c r="F6" s="396">
        <f>Allocation!G8</f>
        <v>0</v>
      </c>
      <c r="G6" s="396">
        <f>Allocation!H8</f>
        <v>0</v>
      </c>
      <c r="H6" s="396">
        <f>Allocation!I8</f>
        <v>0</v>
      </c>
      <c r="I6" s="396">
        <f>Allocation!J8</f>
        <v>3313.0285645104318</v>
      </c>
      <c r="J6" s="396">
        <f>Allocation!K8</f>
        <v>3060.2099308995516</v>
      </c>
      <c r="K6" s="396">
        <f>Allocation!L8</f>
        <v>3148.6046629116158</v>
      </c>
      <c r="L6" s="396">
        <f>Allocation!M8</f>
        <v>3142.8748863772607</v>
      </c>
      <c r="M6" s="396">
        <f>Allocation!N8</f>
        <v>3075.8053472907895</v>
      </c>
      <c r="N6" s="396">
        <f t="shared" si="0"/>
        <v>15740.523391989649</v>
      </c>
      <c r="O6" s="396">
        <f>Allocation!P8</f>
        <v>3132.6637593642749</v>
      </c>
      <c r="P6" s="396">
        <f>Allocation!Q8</f>
        <v>3235.8174520212997</v>
      </c>
      <c r="Q6" s="396">
        <f>Allocation!R8</f>
        <v>3209.2180412224388</v>
      </c>
      <c r="R6" s="396">
        <f>Allocation!S8</f>
        <v>3150.4363944896709</v>
      </c>
      <c r="S6" s="396">
        <f>Allocation!T8</f>
        <v>3116.6895554727516</v>
      </c>
      <c r="T6" s="396">
        <f>Allocation!U8</f>
        <v>3057.4640011405659</v>
      </c>
      <c r="U6" s="396">
        <f>Allocation!V8</f>
        <v>3077.1415032705945</v>
      </c>
      <c r="V6" s="396">
        <f>Allocation!W8</f>
        <v>3096.3331096596125</v>
      </c>
      <c r="W6" s="396">
        <f>Allocation!X8</f>
        <v>3133.3880182091038</v>
      </c>
      <c r="X6" s="396">
        <f>Allocation!Y8</f>
        <v>3308.6490088259134</v>
      </c>
      <c r="Y6" s="396">
        <f>Allocation!Z8</f>
        <v>3723.2602158392456</v>
      </c>
      <c r="Z6" s="396">
        <f>Allocation!AA8</f>
        <v>3800.4888496648064</v>
      </c>
      <c r="AA6" s="396">
        <f t="shared" si="1"/>
        <v>39041.549909180278</v>
      </c>
      <c r="AB6" s="396">
        <f>Allocation!AC8</f>
        <v>4210.4621806965024</v>
      </c>
      <c r="AC6" s="396">
        <f>Allocation!AD8</f>
        <v>4025.9626151436601</v>
      </c>
      <c r="AD6" s="396">
        <f>Allocation!AE8</f>
        <v>3917.6847570258587</v>
      </c>
      <c r="AE6" s="396">
        <f>Allocation!AF8</f>
        <v>3592.0901512602427</v>
      </c>
      <c r="AF6" s="396">
        <f>Allocation!AG8</f>
        <v>3248.0489476095995</v>
      </c>
      <c r="AG6" s="396">
        <f>Allocation!AH8</f>
        <v>3159.3599434304001</v>
      </c>
      <c r="AH6" s="396">
        <f>Allocation!AI8</f>
        <v>3201.5546135103996</v>
      </c>
      <c r="AI6" s="396">
        <f>Allocation!AJ8</f>
        <v>3310.4977029567999</v>
      </c>
      <c r="AJ6" s="396">
        <f>Allocation!AK8</f>
        <v>3336.1828448128003</v>
      </c>
      <c r="AK6" s="396">
        <f>Allocation!AL8</f>
        <v>4261.71</v>
      </c>
      <c r="AL6" s="396">
        <f>Allocation!AM8</f>
        <v>4560.8230833472007</v>
      </c>
      <c r="AM6" s="396">
        <f>Allocation!AN8</f>
        <v>4754.9627008063999</v>
      </c>
      <c r="AN6" s="396">
        <f t="shared" si="2"/>
        <v>45579.339540599874</v>
      </c>
      <c r="AO6" s="396">
        <f>Allocation!AP8</f>
        <v>4824.8486425728006</v>
      </c>
      <c r="AP6" s="396">
        <f>Allocation!AQ8</f>
        <v>4799.6544001855991</v>
      </c>
      <c r="AQ6" s="396">
        <f>Allocation!AR8</f>
        <v>4751.0761471936003</v>
      </c>
      <c r="AR6" s="396">
        <f>Allocation!AS8</f>
        <v>4017.3714465224002</v>
      </c>
      <c r="AS6" s="396">
        <f>Allocation!AT8</f>
        <v>3705.6735948295996</v>
      </c>
      <c r="AT6" s="396">
        <f>Allocation!AU8</f>
        <v>3364.9727978655997</v>
      </c>
      <c r="AU6" s="396">
        <f>Allocation!AV8</f>
        <v>3355.5202702319998</v>
      </c>
      <c r="AV6" s="396">
        <f>Allocation!AW8</f>
        <v>3729.6482191823993</v>
      </c>
      <c r="AW6" s="396">
        <f>Allocation!AX8</f>
        <v>3598.6806387607994</v>
      </c>
      <c r="AX6" s="396">
        <f>Allocation!AY8</f>
        <v>4427.8562206808001</v>
      </c>
      <c r="AY6" s="396">
        <f>Allocation!AZ8</f>
        <v>6998.1685279384001</v>
      </c>
      <c r="AZ6" s="396">
        <f>Allocation!BA8</f>
        <v>5714.9905200415997</v>
      </c>
      <c r="BA6" s="396">
        <f t="shared" si="3"/>
        <v>53288.461426005597</v>
      </c>
      <c r="BB6" s="396">
        <f>Allocation!BC8</f>
        <v>5927.4113854431998</v>
      </c>
      <c r="BC6" s="396">
        <f>Allocation!BD8</f>
        <v>5485.949497476</v>
      </c>
      <c r="BD6" s="396">
        <f>Allocation!BE8</f>
        <v>5216.9199048201863</v>
      </c>
      <c r="BE6" s="396">
        <f>Allocation!BF8</f>
        <v>4471.4782019863997</v>
      </c>
      <c r="BF6" s="396">
        <f>Allocation!BG8</f>
        <v>3830.4385929367991</v>
      </c>
      <c r="BG6" s="396">
        <f>Allocation!BH8</f>
        <v>3622.6326372623998</v>
      </c>
      <c r="BH6" s="396">
        <f>Allocation!BI8</f>
        <v>3698.6183518600001</v>
      </c>
      <c r="BI6" s="396">
        <f>Allocation!BJ8</f>
        <v>3775.5308586407996</v>
      </c>
      <c r="BJ6" s="396">
        <f>Allocation!BK8</f>
        <v>3798.8676041527997</v>
      </c>
      <c r="BK6" s="396">
        <f>Allocation!BL8</f>
        <v>5603.2282810048</v>
      </c>
      <c r="BL6" s="396">
        <f>Allocation!BM8</f>
        <v>5335.6665205855998</v>
      </c>
      <c r="BM6" s="396">
        <f>Allocation!BN8</f>
        <v>6189.4968019488006</v>
      </c>
      <c r="BN6" s="396">
        <f t="shared" si="4"/>
        <v>56956.238638117786</v>
      </c>
      <c r="BO6" s="396"/>
    </row>
    <row r="7" spans="1:67" x14ac:dyDescent="0.25">
      <c r="A7" s="392" t="s">
        <v>350</v>
      </c>
      <c r="B7" s="396">
        <f>'S&amp;TVA Q4 2020'!B36</f>
        <v>9898.75</v>
      </c>
      <c r="C7" s="396">
        <f>'S&amp;TVA Q4 2020'!C36</f>
        <v>9898.75</v>
      </c>
      <c r="D7" s="396">
        <f>'S&amp;TVA Q4 2020'!D36</f>
        <v>9898.75</v>
      </c>
      <c r="E7" s="396">
        <f>'S&amp;TVA Q4 2020'!E36</f>
        <v>9898.75</v>
      </c>
      <c r="F7" s="396">
        <f>'S&amp;TVA Q4 2020'!F36</f>
        <v>9898.75</v>
      </c>
      <c r="G7" s="396">
        <f>'S&amp;TVA Q4 2020'!G36</f>
        <v>9898.75</v>
      </c>
      <c r="H7" s="396">
        <f>'S&amp;TVA Q4 2020'!H36</f>
        <v>9898.75</v>
      </c>
      <c r="I7" s="396">
        <f>'S&amp;TVA Q4 2020'!I36</f>
        <v>9898.75</v>
      </c>
      <c r="J7" s="396">
        <f>'S&amp;TVA Q4 2020'!J36</f>
        <v>9898.75</v>
      </c>
      <c r="K7" s="396">
        <f>'S&amp;TVA Q4 2020'!K36</f>
        <v>9898.75</v>
      </c>
      <c r="L7" s="396">
        <f>'S&amp;TVA Q4 2020'!L36</f>
        <v>9898.75</v>
      </c>
      <c r="M7" s="396">
        <f>'S&amp;TVA Q4 2020'!M36</f>
        <v>9898.75</v>
      </c>
      <c r="N7" s="396">
        <f t="shared" si="0"/>
        <v>118785</v>
      </c>
      <c r="O7" s="396">
        <f>'S&amp;TVA 2021'!B38</f>
        <v>18210.583333333332</v>
      </c>
      <c r="P7" s="396">
        <f>'S&amp;TVA 2021'!C38</f>
        <v>18210.583333333332</v>
      </c>
      <c r="Q7" s="396">
        <f>'S&amp;TVA 2021'!D38</f>
        <v>18210.583333333332</v>
      </c>
      <c r="R7" s="396">
        <f>'S&amp;TVA 2021'!E38</f>
        <v>18210.583333333332</v>
      </c>
      <c r="S7" s="396">
        <f>'S&amp;TVA 2021'!F38</f>
        <v>18210.583333333332</v>
      </c>
      <c r="T7" s="396">
        <f>'S&amp;TVA 2021'!G38</f>
        <v>18210.583333333332</v>
      </c>
      <c r="U7" s="396">
        <f>'S&amp;TVA 2021'!H38</f>
        <v>18210.583333333332</v>
      </c>
      <c r="V7" s="396">
        <f>'S&amp;TVA 2021'!I38</f>
        <v>18210.583333333332</v>
      </c>
      <c r="W7" s="396">
        <f>'S&amp;TVA 2021'!J38</f>
        <v>18210.583333333332</v>
      </c>
      <c r="X7" s="396">
        <f>'S&amp;TVA 2021'!K38</f>
        <v>18210.583333333332</v>
      </c>
      <c r="Y7" s="396">
        <f>'S&amp;TVA 2021'!L38</f>
        <v>18210.583333333332</v>
      </c>
      <c r="Z7" s="396">
        <f>'S&amp;TVA 2021'!M38</f>
        <v>-841.41666666668607</v>
      </c>
      <c r="AA7" s="396">
        <f t="shared" si="1"/>
        <v>199475</v>
      </c>
      <c r="AB7" s="396">
        <f>'S&amp;TVA 2022'!B38</f>
        <v>16622.916666666668</v>
      </c>
      <c r="AC7" s="396">
        <f>'S&amp;TVA 2022'!C38</f>
        <v>16622.916666666668</v>
      </c>
      <c r="AD7" s="396">
        <f>'S&amp;TVA 2022'!D38</f>
        <v>16622.916666666668</v>
      </c>
      <c r="AE7" s="396">
        <f>'S&amp;TVA 2022'!E38</f>
        <v>16622.916666666668</v>
      </c>
      <c r="AF7" s="396">
        <f>'S&amp;TVA 2022'!F38</f>
        <v>16622.916666666668</v>
      </c>
      <c r="AG7" s="396">
        <f>'S&amp;TVA 2022'!G38</f>
        <v>16622.916666666668</v>
      </c>
      <c r="AH7" s="396">
        <f>'S&amp;TVA 2022'!H38</f>
        <v>16622.916666666668</v>
      </c>
      <c r="AI7" s="396">
        <f>'S&amp;TVA 2022'!I38</f>
        <v>16622.916666666668</v>
      </c>
      <c r="AJ7" s="396">
        <f>'S&amp;TVA 2022'!J38</f>
        <v>16622.916666666668</v>
      </c>
      <c r="AK7" s="396">
        <f>'S&amp;TVA 2022'!K38</f>
        <v>35332.25</v>
      </c>
      <c r="AL7" s="396">
        <f>'S&amp;TVA 2022'!L38</f>
        <v>35332.25</v>
      </c>
      <c r="AM7" s="396">
        <f>'S&amp;TVA 2022'!M38</f>
        <v>35332.25</v>
      </c>
      <c r="AN7" s="396">
        <f t="shared" si="2"/>
        <v>255603</v>
      </c>
      <c r="AO7" s="396">
        <f>'S&amp;TVA 2023'!B39</f>
        <v>20849.916666666668</v>
      </c>
      <c r="AP7" s="396">
        <f>'S&amp;TVA 2023'!C39</f>
        <v>20849.916666666668</v>
      </c>
      <c r="AQ7" s="396">
        <f>'S&amp;TVA 2023'!D39</f>
        <v>20849.916666666668</v>
      </c>
      <c r="AR7" s="396">
        <f>'S&amp;TVA 2023'!E39</f>
        <v>20849.916666666668</v>
      </c>
      <c r="AS7" s="396">
        <f>'S&amp;TVA 2023'!F39</f>
        <v>20849.916666666668</v>
      </c>
      <c r="AT7" s="396">
        <f>'S&amp;TVA 2023'!G39</f>
        <v>20849.916666666668</v>
      </c>
      <c r="AU7" s="396">
        <f>'S&amp;TVA 2023'!H39</f>
        <v>20849.916666666668</v>
      </c>
      <c r="AV7" s="396">
        <f>'S&amp;TVA 2023'!I39</f>
        <v>20849.916666666668</v>
      </c>
      <c r="AW7" s="396">
        <f>'S&amp;TVA 2023'!J39</f>
        <v>20849.916666666668</v>
      </c>
      <c r="AX7" s="396">
        <f>'S&amp;TVA 2023'!K39</f>
        <v>21431.158333333333</v>
      </c>
      <c r="AY7" s="396">
        <f>'S&amp;TVA 2023'!L39</f>
        <v>21431.158333333333</v>
      </c>
      <c r="AZ7" s="396">
        <f>'S&amp;TVA 2023'!M39</f>
        <v>21431.158333333333</v>
      </c>
      <c r="BA7" s="396">
        <f t="shared" si="3"/>
        <v>251942.72499999998</v>
      </c>
      <c r="BB7" s="396">
        <f>'S&amp;TVA 2024'!B49</f>
        <v>15750.25</v>
      </c>
      <c r="BC7" s="396">
        <f>'S&amp;TVA 2024'!C49</f>
        <v>15750.25</v>
      </c>
      <c r="BD7" s="396">
        <f>'S&amp;TVA 2024'!D49</f>
        <v>15750.25</v>
      </c>
      <c r="BE7" s="396">
        <f>'S&amp;TVA 2024'!E49</f>
        <v>15750.25</v>
      </c>
      <c r="BF7" s="396">
        <f>'S&amp;TVA 2024'!F49</f>
        <v>15750.25</v>
      </c>
      <c r="BG7" s="396">
        <f>'S&amp;TVA 2024'!G49</f>
        <v>15750.25</v>
      </c>
      <c r="BH7" s="396">
        <f>'S&amp;TVA 2024'!H49</f>
        <v>15750.25</v>
      </c>
      <c r="BI7" s="396">
        <f>'S&amp;TVA 2024'!I49</f>
        <v>15750.25</v>
      </c>
      <c r="BJ7" s="396">
        <f>'S&amp;TVA 2024'!J49</f>
        <v>15750.25</v>
      </c>
      <c r="BK7" s="396">
        <f>'S&amp;TVA 2024'!K49</f>
        <v>15750.25</v>
      </c>
      <c r="BL7" s="396">
        <f>'S&amp;TVA 2024'!L49</f>
        <v>15750.25</v>
      </c>
      <c r="BM7" s="396">
        <f>'S&amp;TVA 2024'!M49</f>
        <v>15750.25</v>
      </c>
      <c r="BN7" s="396">
        <f t="shared" si="4"/>
        <v>189003</v>
      </c>
      <c r="BO7" s="396"/>
    </row>
    <row r="8" spans="1:67" x14ac:dyDescent="0.25">
      <c r="A8" s="392" t="s">
        <v>352</v>
      </c>
      <c r="B8" s="396">
        <v>0</v>
      </c>
      <c r="C8" s="396">
        <v>0</v>
      </c>
      <c r="D8" s="396">
        <v>0</v>
      </c>
      <c r="E8" s="396">
        <v>0</v>
      </c>
      <c r="F8" s="396">
        <v>0</v>
      </c>
      <c r="G8" s="396">
        <v>0</v>
      </c>
      <c r="H8" s="396">
        <v>0</v>
      </c>
      <c r="I8" s="396">
        <v>0</v>
      </c>
      <c r="J8" s="396">
        <v>0</v>
      </c>
      <c r="K8" s="396">
        <v>0</v>
      </c>
      <c r="L8" s="396">
        <v>0</v>
      </c>
      <c r="M8" s="396">
        <v>0</v>
      </c>
      <c r="N8" s="396">
        <f t="shared" si="0"/>
        <v>0</v>
      </c>
      <c r="O8" s="396">
        <v>0</v>
      </c>
      <c r="P8" s="396">
        <v>0</v>
      </c>
      <c r="Q8" s="396">
        <v>0</v>
      </c>
      <c r="R8" s="396">
        <v>0</v>
      </c>
      <c r="S8" s="396">
        <v>0</v>
      </c>
      <c r="T8" s="396">
        <v>0</v>
      </c>
      <c r="U8" s="396">
        <v>0</v>
      </c>
      <c r="V8" s="396">
        <v>0</v>
      </c>
      <c r="W8" s="396">
        <v>0</v>
      </c>
      <c r="X8" s="396">
        <v>0</v>
      </c>
      <c r="Y8" s="396">
        <v>0</v>
      </c>
      <c r="Z8" s="396">
        <v>0</v>
      </c>
      <c r="AA8" s="396">
        <f t="shared" si="1"/>
        <v>0</v>
      </c>
      <c r="AB8" s="396">
        <v>0</v>
      </c>
      <c r="AC8" s="396">
        <v>0</v>
      </c>
      <c r="AD8" s="396">
        <v>0</v>
      </c>
      <c r="AE8" s="396">
        <v>0</v>
      </c>
      <c r="AF8" s="396">
        <v>0</v>
      </c>
      <c r="AG8" s="396">
        <v>0</v>
      </c>
      <c r="AH8" s="396">
        <v>0</v>
      </c>
      <c r="AI8" s="396">
        <v>0</v>
      </c>
      <c r="AJ8" s="396">
        <v>0</v>
      </c>
      <c r="AK8" s="396">
        <v>0</v>
      </c>
      <c r="AL8" s="396">
        <v>0</v>
      </c>
      <c r="AM8" s="396">
        <v>0</v>
      </c>
      <c r="AN8" s="396">
        <f t="shared" si="2"/>
        <v>0</v>
      </c>
      <c r="AO8" s="396">
        <v>0</v>
      </c>
      <c r="AP8" s="396">
        <v>0</v>
      </c>
      <c r="AQ8" s="396">
        <v>0</v>
      </c>
      <c r="AR8" s="396">
        <v>0</v>
      </c>
      <c r="AS8" s="396">
        <v>0</v>
      </c>
      <c r="AT8" s="396">
        <v>0</v>
      </c>
      <c r="AU8" s="396">
        <v>0</v>
      </c>
      <c r="AV8" s="396">
        <v>0</v>
      </c>
      <c r="AW8" s="396">
        <v>0</v>
      </c>
      <c r="AX8" s="396">
        <v>0</v>
      </c>
      <c r="AY8" s="396">
        <v>0</v>
      </c>
      <c r="AZ8" s="396">
        <v>0</v>
      </c>
      <c r="BA8" s="396">
        <f t="shared" si="3"/>
        <v>0</v>
      </c>
      <c r="BB8" s="396">
        <f>'S&amp;TVA 2024'!B48</f>
        <v>0</v>
      </c>
      <c r="BC8" s="396">
        <f>'S&amp;TVA 2024'!C48</f>
        <v>0</v>
      </c>
      <c r="BD8" s="396">
        <f>'S&amp;TVA 2024'!D48</f>
        <v>0</v>
      </c>
      <c r="BE8" s="396">
        <f>'S&amp;TVA 2024'!E48</f>
        <v>0</v>
      </c>
      <c r="BF8" s="396">
        <f>'S&amp;TVA 2024'!F48</f>
        <v>0</v>
      </c>
      <c r="BG8" s="396">
        <f>'S&amp;TVA 2024'!G48</f>
        <v>0</v>
      </c>
      <c r="BH8" s="396">
        <f>'S&amp;TVA 2024'!H48</f>
        <v>0</v>
      </c>
      <c r="BI8" s="396">
        <f>'S&amp;TVA 2024'!I48</f>
        <v>0</v>
      </c>
      <c r="BJ8" s="396">
        <f>'S&amp;TVA 2024'!J48</f>
        <v>0</v>
      </c>
      <c r="BK8" s="396">
        <f>'S&amp;TVA 2024'!K48</f>
        <v>13603.79</v>
      </c>
      <c r="BL8" s="396">
        <f>'S&amp;TVA 2024'!L48</f>
        <v>77424.139684399997</v>
      </c>
      <c r="BM8" s="396">
        <f>'S&amp;TVA 2024'!M48</f>
        <v>36305.248688</v>
      </c>
      <c r="BN8" s="396">
        <f t="shared" si="4"/>
        <v>127333.1783724</v>
      </c>
      <c r="BO8" s="396"/>
    </row>
    <row r="9" spans="1:67" s="315" customFormat="1" x14ac:dyDescent="0.25">
      <c r="A9" s="392" t="s">
        <v>436</v>
      </c>
      <c r="B9" s="400">
        <f>SUM(B4:B8)</f>
        <v>9898.75</v>
      </c>
      <c r="C9" s="400">
        <f t="shared" ref="C9:BN9" si="5">SUM(C4:C8)</f>
        <v>9898.75</v>
      </c>
      <c r="D9" s="400">
        <f t="shared" si="5"/>
        <v>9898.75</v>
      </c>
      <c r="E9" s="400">
        <f t="shared" si="5"/>
        <v>9898.75</v>
      </c>
      <c r="F9" s="400">
        <f t="shared" si="5"/>
        <v>13512.036</v>
      </c>
      <c r="G9" s="400">
        <f t="shared" si="5"/>
        <v>32115.868999999999</v>
      </c>
      <c r="H9" s="400">
        <f t="shared" si="5"/>
        <v>33786.9</v>
      </c>
      <c r="I9" s="400">
        <f t="shared" si="5"/>
        <v>30193.807345660614</v>
      </c>
      <c r="J9" s="400">
        <f t="shared" si="5"/>
        <v>29155.0524434414</v>
      </c>
      <c r="K9" s="400">
        <f t="shared" si="5"/>
        <v>29153.447175453464</v>
      </c>
      <c r="L9" s="400">
        <f t="shared" si="5"/>
        <v>35344.854399992335</v>
      </c>
      <c r="M9" s="400">
        <f t="shared" si="5"/>
        <v>44217.626781930798</v>
      </c>
      <c r="N9" s="400">
        <f t="shared" si="5"/>
        <v>287074.59314647864</v>
      </c>
      <c r="O9" s="400">
        <f t="shared" si="5"/>
        <v>53028.569971780613</v>
      </c>
      <c r="P9" s="400">
        <f t="shared" si="5"/>
        <v>53454.988734053797</v>
      </c>
      <c r="Q9" s="400">
        <f t="shared" si="5"/>
        <v>53281.201077103702</v>
      </c>
      <c r="R9" s="400">
        <f t="shared" si="5"/>
        <v>52997.374121982997</v>
      </c>
      <c r="S9" s="400">
        <f t="shared" si="5"/>
        <v>53044.537282966077</v>
      </c>
      <c r="T9" s="400">
        <f t="shared" si="5"/>
        <v>52990.621728633894</v>
      </c>
      <c r="U9" s="400">
        <f t="shared" si="5"/>
        <v>52924.07923076392</v>
      </c>
      <c r="V9" s="400">
        <f t="shared" si="5"/>
        <v>52967.823160528671</v>
      </c>
      <c r="W9" s="400">
        <f t="shared" si="5"/>
        <v>53065.3983604729</v>
      </c>
      <c r="X9" s="400">
        <f t="shared" si="5"/>
        <v>53352.445026049245</v>
      </c>
      <c r="Y9" s="400">
        <f t="shared" si="5"/>
        <v>54057.954067967526</v>
      </c>
      <c r="Z9" s="400">
        <f t="shared" si="5"/>
        <v>34385.584014537839</v>
      </c>
      <c r="AA9" s="400">
        <f t="shared" si="5"/>
        <v>619550.57677684119</v>
      </c>
      <c r="AB9" s="400">
        <f t="shared" si="5"/>
        <v>51915.096937369817</v>
      </c>
      <c r="AC9" s="400">
        <f t="shared" si="5"/>
        <v>51680.788766478727</v>
      </c>
      <c r="AD9" s="400">
        <f t="shared" si="5"/>
        <v>51488.003461101631</v>
      </c>
      <c r="AE9" s="400">
        <f t="shared" si="5"/>
        <v>51095.321781606704</v>
      </c>
      <c r="AF9" s="400">
        <f t="shared" si="5"/>
        <v>50717.696292804569</v>
      </c>
      <c r="AG9" s="400">
        <f t="shared" si="5"/>
        <v>50405.27565037577</v>
      </c>
      <c r="AH9" s="400">
        <f t="shared" si="5"/>
        <v>50392.514575069712</v>
      </c>
      <c r="AI9" s="400">
        <f t="shared" si="5"/>
        <v>50631.368031262231</v>
      </c>
      <c r="AJ9" s="400">
        <f t="shared" si="5"/>
        <v>50641.464248733566</v>
      </c>
      <c r="AK9" s="400">
        <f t="shared" si="5"/>
        <v>70741.46211698206</v>
      </c>
      <c r="AL9" s="400">
        <f t="shared" si="5"/>
        <v>71241.066563890228</v>
      </c>
      <c r="AM9" s="400">
        <f t="shared" si="5"/>
        <v>71527.82260096955</v>
      </c>
      <c r="AN9" s="400">
        <f t="shared" si="5"/>
        <v>672477.88102664461</v>
      </c>
      <c r="AO9" s="400">
        <f t="shared" si="5"/>
        <v>68063.157875280231</v>
      </c>
      <c r="AP9" s="400">
        <f t="shared" si="5"/>
        <v>58031.234646362718</v>
      </c>
      <c r="AQ9" s="400">
        <f t="shared" si="5"/>
        <v>57894.604355322095</v>
      </c>
      <c r="AR9" s="400">
        <f t="shared" si="5"/>
        <v>56758.378437112464</v>
      </c>
      <c r="AS9" s="400">
        <f t="shared" si="5"/>
        <v>56362.18087939189</v>
      </c>
      <c r="AT9" s="400">
        <f t="shared" si="5"/>
        <v>55790.843528670885</v>
      </c>
      <c r="AU9" s="400">
        <f t="shared" si="5"/>
        <v>55684.576144279781</v>
      </c>
      <c r="AV9" s="400">
        <f t="shared" si="5"/>
        <v>56279.75383931573</v>
      </c>
      <c r="AW9" s="400">
        <f t="shared" si="5"/>
        <v>56051.980780638274</v>
      </c>
      <c r="AX9" s="400">
        <f t="shared" si="5"/>
        <v>57830.924258331608</v>
      </c>
      <c r="AY9" s="400">
        <f t="shared" si="5"/>
        <v>61349.300731843607</v>
      </c>
      <c r="AZ9" s="400">
        <f t="shared" si="5"/>
        <v>59642.762524318015</v>
      </c>
      <c r="BA9" s="400">
        <f t="shared" si="5"/>
        <v>699739.69800086715</v>
      </c>
      <c r="BB9" s="400">
        <f t="shared" si="5"/>
        <v>54235.867187658107</v>
      </c>
      <c r="BC9" s="400">
        <f t="shared" si="5"/>
        <v>53781.474393471603</v>
      </c>
      <c r="BD9" s="400">
        <f t="shared" si="5"/>
        <v>58526.829968035781</v>
      </c>
      <c r="BE9" s="400">
        <f t="shared" si="5"/>
        <v>67369.314300190017</v>
      </c>
      <c r="BF9" s="400">
        <f t="shared" si="5"/>
        <v>51988.210911592127</v>
      </c>
      <c r="BG9" s="400">
        <f t="shared" si="5"/>
        <v>51567.280292490868</v>
      </c>
      <c r="BH9" s="400">
        <f t="shared" si="5"/>
        <v>51748.792565477313</v>
      </c>
      <c r="BI9" s="400">
        <f t="shared" si="5"/>
        <v>51821.222191549969</v>
      </c>
      <c r="BJ9" s="400">
        <f t="shared" si="5"/>
        <v>51854.804011467822</v>
      </c>
      <c r="BK9" s="400">
        <f t="shared" si="5"/>
        <v>68099.167085310633</v>
      </c>
      <c r="BL9" s="400">
        <f t="shared" si="5"/>
        <v>131565.66786231878</v>
      </c>
      <c r="BM9" s="400">
        <f t="shared" si="5"/>
        <v>91628.263288916176</v>
      </c>
      <c r="BN9" s="400">
        <f t="shared" si="5"/>
        <v>784186.89405847923</v>
      </c>
      <c r="BO9" s="400"/>
    </row>
    <row r="10" spans="1:67" x14ac:dyDescent="0.25">
      <c r="A10" s="392"/>
      <c r="B10" s="396"/>
      <c r="C10" s="396"/>
      <c r="D10" s="396"/>
      <c r="E10" s="396"/>
      <c r="F10" s="396"/>
      <c r="G10" s="396"/>
      <c r="H10" s="396"/>
      <c r="I10" s="396"/>
      <c r="J10" s="396"/>
      <c r="K10" s="396"/>
      <c r="L10" s="396"/>
      <c r="M10" s="396"/>
      <c r="N10" s="396"/>
      <c r="O10" s="396"/>
      <c r="P10" s="396"/>
      <c r="Q10" s="396"/>
      <c r="R10" s="396"/>
      <c r="S10" s="396"/>
      <c r="T10" s="396"/>
      <c r="U10" s="396"/>
      <c r="V10" s="396"/>
      <c r="W10" s="396"/>
      <c r="X10" s="396"/>
      <c r="Y10" s="396"/>
      <c r="Z10" s="396"/>
      <c r="AA10" s="396"/>
      <c r="AB10" s="396"/>
      <c r="AC10" s="396"/>
      <c r="AD10" s="396"/>
      <c r="AE10" s="396"/>
      <c r="AF10" s="396"/>
      <c r="AG10" s="396"/>
      <c r="AH10" s="396"/>
      <c r="AI10" s="396"/>
      <c r="AJ10" s="396"/>
      <c r="AK10" s="396"/>
      <c r="AL10" s="396"/>
      <c r="AM10" s="396"/>
      <c r="AN10" s="396"/>
      <c r="AO10" s="396"/>
      <c r="AP10" s="396"/>
      <c r="AQ10" s="396"/>
      <c r="AR10" s="396"/>
      <c r="AS10" s="396"/>
      <c r="AT10" s="396"/>
      <c r="AU10" s="396"/>
      <c r="AV10" s="396"/>
      <c r="AW10" s="396"/>
      <c r="AX10" s="396"/>
      <c r="AY10" s="396"/>
      <c r="AZ10" s="396"/>
      <c r="BA10" s="396"/>
      <c r="BB10" s="396"/>
      <c r="BC10" s="396"/>
      <c r="BD10" s="396"/>
      <c r="BE10" s="396"/>
      <c r="BF10" s="396"/>
      <c r="BG10" s="396"/>
      <c r="BH10" s="396"/>
      <c r="BI10" s="396"/>
      <c r="BJ10" s="396"/>
      <c r="BK10" s="396"/>
      <c r="BL10" s="396"/>
      <c r="BM10" s="396"/>
      <c r="BN10" s="396"/>
      <c r="BO10" s="396"/>
    </row>
    <row r="11" spans="1:67" s="315" customFormat="1" x14ac:dyDescent="0.25">
      <c r="A11" s="392" t="s">
        <v>419</v>
      </c>
      <c r="B11" s="400">
        <f>'S&amp;TVA Q4 2020'!B49</f>
        <v>0</v>
      </c>
      <c r="C11" s="400">
        <f>'S&amp;TVA Q4 2020'!C49</f>
        <v>0</v>
      </c>
      <c r="D11" s="400">
        <f>'S&amp;TVA Q4 2020'!D49</f>
        <v>0</v>
      </c>
      <c r="E11" s="400">
        <f>'S&amp;TVA Q4 2020'!E49</f>
        <v>0</v>
      </c>
      <c r="F11" s="400">
        <f>'S&amp;TVA Q4 2020'!F49</f>
        <v>0</v>
      </c>
      <c r="G11" s="400">
        <f>'S&amp;TVA Q4 2020'!G49</f>
        <v>0</v>
      </c>
      <c r="H11" s="400">
        <f>'S&amp;TVA Q4 2020'!H49</f>
        <v>0</v>
      </c>
      <c r="I11" s="400">
        <f>'S&amp;TVA Q4 2020'!I49</f>
        <v>0</v>
      </c>
      <c r="J11" s="400">
        <f>'S&amp;TVA Q4 2020'!J49</f>
        <v>89.67</v>
      </c>
      <c r="K11" s="400">
        <f>'S&amp;TVA Q4 2020'!K49</f>
        <v>-356.71</v>
      </c>
      <c r="L11" s="400">
        <f>'S&amp;TVA Q4 2020'!L49</f>
        <v>1166.4100000000001</v>
      </c>
      <c r="M11" s="400">
        <f>'S&amp;TVA Q4 2020'!M49</f>
        <v>1229.93</v>
      </c>
      <c r="N11" s="400">
        <f>SUM(B11:M11)</f>
        <v>2129.3000000000002</v>
      </c>
      <c r="O11" s="400">
        <f>'S&amp;TVA 2021'!B51</f>
        <v>660.5</v>
      </c>
      <c r="P11" s="400">
        <f>'S&amp;TVA 2021'!C51</f>
        <v>1474.65</v>
      </c>
      <c r="Q11" s="400">
        <f>'S&amp;TVA 2021'!D51</f>
        <v>3070.65</v>
      </c>
      <c r="R11" s="400">
        <f>'S&amp;TVA 2021'!E51</f>
        <v>3426.7800000000007</v>
      </c>
      <c r="S11" s="400">
        <f>'S&amp;TVA 2021'!F51</f>
        <v>2827.4299999999985</v>
      </c>
      <c r="T11" s="400">
        <f>'S&amp;TVA 2021'!G51</f>
        <v>2076.1099999999988</v>
      </c>
      <c r="U11" s="400">
        <f>'S&amp;TVA 2021'!H51</f>
        <v>1200.3999999999996</v>
      </c>
      <c r="V11" s="400">
        <f>'S&amp;TVA 2021'!I51</f>
        <v>1257.4299999999985</v>
      </c>
      <c r="W11" s="400">
        <f>'S&amp;TVA 2021'!J51</f>
        <v>1108.0599999999995</v>
      </c>
      <c r="X11" s="400">
        <f>'S&amp;TVA 2021'!K51</f>
        <v>1415.3500000000004</v>
      </c>
      <c r="Y11" s="400">
        <f>'S&amp;TVA 2021'!L51</f>
        <v>4433.6999999999989</v>
      </c>
      <c r="Z11" s="400">
        <f>'S&amp;TVA 2021'!M51</f>
        <v>11081.570000000002</v>
      </c>
      <c r="AA11" s="400">
        <f>SUM(O11:Z11)</f>
        <v>34032.62999999999</v>
      </c>
      <c r="AB11" s="400">
        <f>'S&amp;TVA 2022'!B51</f>
        <v>15977.730000000001</v>
      </c>
      <c r="AC11" s="400">
        <f>'S&amp;TVA 2022'!C51</f>
        <v>19404.269999999997</v>
      </c>
      <c r="AD11" s="400">
        <f>'S&amp;TVA 2022'!D51</f>
        <v>18862.269999999997</v>
      </c>
      <c r="AE11" s="400">
        <f>'S&amp;TVA 2022'!E51</f>
        <v>18315.739999999998</v>
      </c>
      <c r="AF11" s="400">
        <f>'S&amp;TVA 2022'!F51</f>
        <v>12392.74</v>
      </c>
      <c r="AG11" s="400">
        <f>'S&amp;TVA 2022'!G51</f>
        <v>12295.74</v>
      </c>
      <c r="AH11" s="400">
        <f>'S&amp;TVA 2022'!H51</f>
        <v>5058.74</v>
      </c>
      <c r="AI11" s="400">
        <f>'S&amp;TVA 2022'!I51</f>
        <v>20293.509999999995</v>
      </c>
      <c r="AJ11" s="400">
        <f>'S&amp;TVA 2022'!J51</f>
        <v>3122.6800000000003</v>
      </c>
      <c r="AK11" s="400">
        <f>'S&amp;TVA 2022'!K51</f>
        <v>4553.66</v>
      </c>
      <c r="AL11" s="400">
        <f>'S&amp;TVA 2022'!L51</f>
        <v>22672.460000000097</v>
      </c>
      <c r="AM11" s="400">
        <f>'S&amp;TVA 2022'!M51</f>
        <v>18893.1700000005</v>
      </c>
      <c r="AN11" s="400">
        <f>SUM(AB11:AM11)</f>
        <v>171842.71000000063</v>
      </c>
      <c r="AO11" s="400">
        <f>'S&amp;TVA 2023'!B52</f>
        <v>33897.269999999997</v>
      </c>
      <c r="AP11" s="400">
        <f>'S&amp;TVA 2023'!C52</f>
        <v>28215.24</v>
      </c>
      <c r="AQ11" s="400">
        <f>'S&amp;TVA 2023'!D52</f>
        <v>29709.33</v>
      </c>
      <c r="AR11" s="400">
        <f>'S&amp;TVA 2023'!E52</f>
        <v>30026.58</v>
      </c>
      <c r="AS11" s="400">
        <f>'S&amp;TVA 2023'!F52</f>
        <v>19075.63</v>
      </c>
      <c r="AT11" s="400">
        <f>'S&amp;TVA 2023'!G52</f>
        <v>11537.25</v>
      </c>
      <c r="AU11" s="400">
        <f>'S&amp;TVA 2023'!H52</f>
        <v>4431.0600000000059</v>
      </c>
      <c r="AV11" s="400">
        <f>'S&amp;TVA 2023'!I52</f>
        <v>3008.9800000000014</v>
      </c>
      <c r="AW11" s="400">
        <f>'S&amp;TVA 2023'!J52</f>
        <v>5984.1</v>
      </c>
      <c r="AX11" s="400">
        <f>'S&amp;TVA 2023'!K52</f>
        <v>4525.7</v>
      </c>
      <c r="AY11" s="400">
        <f>'S&amp;TVA 2023'!L52</f>
        <v>19901.479999999981</v>
      </c>
      <c r="AZ11" s="400">
        <f>'S&amp;TVA 2023'!M52</f>
        <v>49149.179999999942</v>
      </c>
      <c r="BA11" s="400">
        <f>SUM(AO11:AZ11)</f>
        <v>239461.79999999993</v>
      </c>
      <c r="BB11" s="400">
        <f>'S&amp;TVA 2024'!B62</f>
        <v>41233</v>
      </c>
      <c r="BC11" s="400">
        <f>'S&amp;TVA 2024'!C62</f>
        <v>54349</v>
      </c>
      <c r="BD11" s="400">
        <f>'S&amp;TVA 2024'!D62</f>
        <v>43007</v>
      </c>
      <c r="BE11" s="400">
        <f>'S&amp;TVA 2024'!E62</f>
        <v>41547.169999999933</v>
      </c>
      <c r="BF11" s="400">
        <f>'S&amp;TVA 2024'!F62</f>
        <v>22558.370000000003</v>
      </c>
      <c r="BG11" s="400">
        <f>'S&amp;TVA 2024'!G62</f>
        <v>10908.41999999994</v>
      </c>
      <c r="BH11" s="400">
        <f>'S&amp;TVA 2024'!H62</f>
        <v>5653.2800000000307</v>
      </c>
      <c r="BI11" s="400">
        <f>'S&amp;TVA 2024'!I62</f>
        <v>6089.9400000000051</v>
      </c>
      <c r="BJ11" s="400">
        <f>'S&amp;TVA 2024'!J62</f>
        <v>5916.810000000014</v>
      </c>
      <c r="BK11" s="400">
        <f>'S&amp;TVA 2024'!K62</f>
        <v>5474.8800000000083</v>
      </c>
      <c r="BL11" s="400">
        <f>'S&amp;TVA 2024'!L62</f>
        <v>32388.879999999979</v>
      </c>
      <c r="BM11" s="400">
        <f>'S&amp;TVA 2024'!M62</f>
        <v>36154.1499999999</v>
      </c>
      <c r="BN11" s="400">
        <f>SUM(BB11:BM11)</f>
        <v>305280.89999999979</v>
      </c>
      <c r="BO11" s="400"/>
    </row>
    <row r="12" spans="1:67" x14ac:dyDescent="0.25">
      <c r="A12" s="392"/>
      <c r="B12" s="397"/>
      <c r="C12" s="397"/>
      <c r="D12" s="397"/>
      <c r="E12" s="397"/>
      <c r="F12" s="397"/>
      <c r="G12" s="397"/>
      <c r="H12" s="397"/>
      <c r="I12" s="397"/>
      <c r="J12" s="397"/>
      <c r="K12" s="397"/>
      <c r="L12" s="397"/>
      <c r="M12" s="397"/>
      <c r="N12" s="397"/>
      <c r="O12" s="397"/>
      <c r="P12" s="397"/>
      <c r="Q12" s="397"/>
      <c r="R12" s="397"/>
      <c r="S12" s="397"/>
      <c r="T12" s="397"/>
      <c r="U12" s="397"/>
      <c r="V12" s="397"/>
      <c r="W12" s="397"/>
      <c r="X12" s="397"/>
      <c r="Y12" s="397"/>
      <c r="Z12" s="397"/>
      <c r="AA12" s="397"/>
      <c r="AB12" s="397"/>
      <c r="AC12" s="397"/>
      <c r="AD12" s="397"/>
      <c r="AE12" s="397"/>
      <c r="AF12" s="397"/>
      <c r="AG12" s="397"/>
      <c r="AH12" s="397"/>
      <c r="AI12" s="397"/>
      <c r="AJ12" s="397"/>
      <c r="AK12" s="397"/>
      <c r="AL12" s="397"/>
      <c r="AM12" s="397"/>
      <c r="AN12" s="397"/>
      <c r="AO12" s="397"/>
      <c r="AP12" s="397"/>
      <c r="AQ12" s="397"/>
      <c r="AR12" s="397"/>
      <c r="AS12" s="397"/>
      <c r="AT12" s="397"/>
      <c r="AU12" s="397"/>
      <c r="AV12" s="397"/>
      <c r="AW12" s="397"/>
      <c r="AX12" s="397"/>
      <c r="AY12" s="397"/>
      <c r="AZ12" s="397"/>
      <c r="BA12" s="397"/>
      <c r="BB12" s="397"/>
      <c r="BC12" s="397"/>
      <c r="BD12" s="397"/>
      <c r="BE12" s="397"/>
      <c r="BF12" s="397"/>
      <c r="BG12" s="397"/>
      <c r="BH12" s="397"/>
      <c r="BI12" s="397"/>
      <c r="BJ12" s="397"/>
      <c r="BK12" s="397"/>
      <c r="BL12" s="397"/>
      <c r="BM12" s="397"/>
      <c r="BN12" s="397"/>
      <c r="BO12" s="397"/>
    </row>
    <row r="13" spans="1:67" x14ac:dyDescent="0.25">
      <c r="A13" s="392" t="s">
        <v>417</v>
      </c>
      <c r="B13" s="396">
        <f>B9-B11</f>
        <v>9898.75</v>
      </c>
      <c r="C13" s="396">
        <f t="shared" ref="C13:M13" si="6">C9-C11</f>
        <v>9898.75</v>
      </c>
      <c r="D13" s="396">
        <f t="shared" si="6"/>
        <v>9898.75</v>
      </c>
      <c r="E13" s="396">
        <f t="shared" si="6"/>
        <v>9898.75</v>
      </c>
      <c r="F13" s="396">
        <f t="shared" si="6"/>
        <v>13512.036</v>
      </c>
      <c r="G13" s="396">
        <f t="shared" si="6"/>
        <v>32115.868999999999</v>
      </c>
      <c r="H13" s="396">
        <f t="shared" si="6"/>
        <v>33786.9</v>
      </c>
      <c r="I13" s="396">
        <f t="shared" si="6"/>
        <v>30193.807345660614</v>
      </c>
      <c r="J13" s="396">
        <f t="shared" si="6"/>
        <v>29065.382443441402</v>
      </c>
      <c r="K13" s="396">
        <f t="shared" si="6"/>
        <v>29510.157175453463</v>
      </c>
      <c r="L13" s="396">
        <f t="shared" si="6"/>
        <v>34178.444399992331</v>
      </c>
      <c r="M13" s="396">
        <f t="shared" si="6"/>
        <v>42987.696781930797</v>
      </c>
      <c r="N13" s="396">
        <f>SUM(B13:M13)</f>
        <v>284945.29314647859</v>
      </c>
      <c r="O13" s="396">
        <f>O9-O11</f>
        <v>52368.069971780613</v>
      </c>
      <c r="P13" s="396">
        <f t="shared" ref="P13:Z13" si="7">P9-P11</f>
        <v>51980.338734053796</v>
      </c>
      <c r="Q13" s="396">
        <f t="shared" si="7"/>
        <v>50210.551077103701</v>
      </c>
      <c r="R13" s="396">
        <f t="shared" si="7"/>
        <v>49570.594121982998</v>
      </c>
      <c r="S13" s="396">
        <f t="shared" si="7"/>
        <v>50217.107282966077</v>
      </c>
      <c r="T13" s="396">
        <f t="shared" si="7"/>
        <v>50914.511728633894</v>
      </c>
      <c r="U13" s="396">
        <f t="shared" si="7"/>
        <v>51723.679230763919</v>
      </c>
      <c r="V13" s="396">
        <f t="shared" si="7"/>
        <v>51710.393160528671</v>
      </c>
      <c r="W13" s="396">
        <f t="shared" si="7"/>
        <v>51957.338360472902</v>
      </c>
      <c r="X13" s="396">
        <f t="shared" si="7"/>
        <v>51937.095026049246</v>
      </c>
      <c r="Y13" s="396">
        <f t="shared" si="7"/>
        <v>49624.254067967529</v>
      </c>
      <c r="Z13" s="396">
        <f t="shared" si="7"/>
        <v>23304.014014537839</v>
      </c>
      <c r="AA13" s="396">
        <f>SUM(O13:Z13)</f>
        <v>585517.94677684119</v>
      </c>
      <c r="AB13" s="396">
        <f>AB9-AB11</f>
        <v>35937.366937369814</v>
      </c>
      <c r="AC13" s="396">
        <f t="shared" ref="AC13:AM13" si="8">AC9-AC11</f>
        <v>32276.51876647873</v>
      </c>
      <c r="AD13" s="396">
        <f t="shared" si="8"/>
        <v>32625.733461101634</v>
      </c>
      <c r="AE13" s="396">
        <f t="shared" si="8"/>
        <v>32779.581781606706</v>
      </c>
      <c r="AF13" s="396">
        <f t="shared" si="8"/>
        <v>38324.956292804571</v>
      </c>
      <c r="AG13" s="396">
        <f t="shared" si="8"/>
        <v>38109.535650375772</v>
      </c>
      <c r="AH13" s="396">
        <f t="shared" si="8"/>
        <v>45333.774575069714</v>
      </c>
      <c r="AI13" s="396">
        <f t="shared" si="8"/>
        <v>30337.858031262236</v>
      </c>
      <c r="AJ13" s="396">
        <f t="shared" si="8"/>
        <v>47518.784248733566</v>
      </c>
      <c r="AK13" s="396">
        <f t="shared" si="8"/>
        <v>66187.802116982057</v>
      </c>
      <c r="AL13" s="396">
        <f t="shared" si="8"/>
        <v>48568.606563890135</v>
      </c>
      <c r="AM13" s="396">
        <f t="shared" si="8"/>
        <v>52634.65260096905</v>
      </c>
      <c r="AN13" s="396">
        <f>SUM(AB13:AM13)</f>
        <v>500635.17102664395</v>
      </c>
      <c r="AO13" s="396">
        <f>AO9-AO11</f>
        <v>34165.887875280234</v>
      </c>
      <c r="AP13" s="396">
        <f t="shared" ref="AP13:AZ13" si="9">AP9-AP11</f>
        <v>29815.994646362717</v>
      </c>
      <c r="AQ13" s="396">
        <f t="shared" si="9"/>
        <v>28185.274355322093</v>
      </c>
      <c r="AR13" s="396">
        <f t="shared" si="9"/>
        <v>26731.798437112462</v>
      </c>
      <c r="AS13" s="396">
        <f t="shared" si="9"/>
        <v>37286.550879391885</v>
      </c>
      <c r="AT13" s="396">
        <f t="shared" si="9"/>
        <v>44253.593528670885</v>
      </c>
      <c r="AU13" s="396">
        <f t="shared" si="9"/>
        <v>51253.516144279776</v>
      </c>
      <c r="AV13" s="396">
        <f t="shared" si="9"/>
        <v>53270.773839315727</v>
      </c>
      <c r="AW13" s="396">
        <f t="shared" si="9"/>
        <v>50067.880780638276</v>
      </c>
      <c r="AX13" s="396">
        <f t="shared" si="9"/>
        <v>53305.224258331611</v>
      </c>
      <c r="AY13" s="396">
        <f t="shared" si="9"/>
        <v>41447.820731843625</v>
      </c>
      <c r="AZ13" s="396">
        <f t="shared" si="9"/>
        <v>10493.582524318073</v>
      </c>
      <c r="BA13" s="396">
        <f>SUM(AO13:AZ13)</f>
        <v>460277.89800086734</v>
      </c>
      <c r="BB13" s="396">
        <f>BB9-BB11</f>
        <v>13002.867187658107</v>
      </c>
      <c r="BC13" s="396">
        <f t="shared" ref="BC13:BM13" si="10">BC9-BC11</f>
        <v>-567.52560652839747</v>
      </c>
      <c r="BD13" s="396">
        <f t="shared" si="10"/>
        <v>15519.829968035781</v>
      </c>
      <c r="BE13" s="396">
        <f t="shared" si="10"/>
        <v>25822.144300190084</v>
      </c>
      <c r="BF13" s="396">
        <f t="shared" si="10"/>
        <v>29429.840911592124</v>
      </c>
      <c r="BG13" s="396">
        <f t="shared" si="10"/>
        <v>40658.860292490928</v>
      </c>
      <c r="BH13" s="396">
        <f t="shared" si="10"/>
        <v>46095.512565477286</v>
      </c>
      <c r="BI13" s="396">
        <f t="shared" si="10"/>
        <v>45731.282191549966</v>
      </c>
      <c r="BJ13" s="396">
        <f t="shared" si="10"/>
        <v>45937.99401146781</v>
      </c>
      <c r="BK13" s="396">
        <f t="shared" si="10"/>
        <v>62624.287085310629</v>
      </c>
      <c r="BL13" s="396">
        <f t="shared" si="10"/>
        <v>99176.787862318801</v>
      </c>
      <c r="BM13" s="396">
        <f t="shared" si="10"/>
        <v>55474.113288916276</v>
      </c>
      <c r="BN13" s="396">
        <f>SUM(BB13:BM13)</f>
        <v>478905.99405847944</v>
      </c>
      <c r="BO13" s="396"/>
    </row>
    <row r="14" spans="1:67" x14ac:dyDescent="0.25">
      <c r="A14" s="392" t="s">
        <v>432</v>
      </c>
      <c r="B14" s="396">
        <f>B13</f>
        <v>9898.75</v>
      </c>
      <c r="C14" s="396">
        <f>C13+B14</f>
        <v>19797.5</v>
      </c>
      <c r="D14" s="396">
        <f t="shared" ref="D14:M14" si="11">D13+C14</f>
        <v>29696.25</v>
      </c>
      <c r="E14" s="396">
        <f t="shared" si="11"/>
        <v>39595</v>
      </c>
      <c r="F14" s="396">
        <f t="shared" si="11"/>
        <v>53107.036</v>
      </c>
      <c r="G14" s="396">
        <f t="shared" si="11"/>
        <v>85222.904999999999</v>
      </c>
      <c r="H14" s="396">
        <f t="shared" si="11"/>
        <v>119009.80499999999</v>
      </c>
      <c r="I14" s="396">
        <f t="shared" si="11"/>
        <v>149203.6123456606</v>
      </c>
      <c r="J14" s="396">
        <f t="shared" si="11"/>
        <v>178268.994789102</v>
      </c>
      <c r="K14" s="396">
        <f t="shared" si="11"/>
        <v>207779.15196455547</v>
      </c>
      <c r="L14" s="396">
        <f t="shared" si="11"/>
        <v>241957.59636454779</v>
      </c>
      <c r="M14" s="396">
        <f t="shared" si="11"/>
        <v>284945.29314647859</v>
      </c>
      <c r="N14" s="396">
        <f>M14</f>
        <v>284945.29314647859</v>
      </c>
      <c r="O14" s="396">
        <f t="shared" ref="O14:Z14" si="12">O13+N14</f>
        <v>337313.36311825924</v>
      </c>
      <c r="P14" s="396">
        <f t="shared" si="12"/>
        <v>389293.70185231301</v>
      </c>
      <c r="Q14" s="396">
        <f t="shared" si="12"/>
        <v>439504.25292941672</v>
      </c>
      <c r="R14" s="396">
        <f t="shared" si="12"/>
        <v>489074.8470513997</v>
      </c>
      <c r="S14" s="396">
        <f t="shared" si="12"/>
        <v>539291.95433436579</v>
      </c>
      <c r="T14" s="396">
        <f t="shared" si="12"/>
        <v>590206.46606299968</v>
      </c>
      <c r="U14" s="396">
        <f t="shared" si="12"/>
        <v>641930.14529376361</v>
      </c>
      <c r="V14" s="396">
        <f t="shared" si="12"/>
        <v>693640.53845429223</v>
      </c>
      <c r="W14" s="396">
        <f t="shared" si="12"/>
        <v>745597.87681476516</v>
      </c>
      <c r="X14" s="396">
        <f t="shared" si="12"/>
        <v>797534.97184081445</v>
      </c>
      <c r="Y14" s="396">
        <f t="shared" si="12"/>
        <v>847159.22590878198</v>
      </c>
      <c r="Z14" s="396">
        <f t="shared" si="12"/>
        <v>870463.23992331978</v>
      </c>
      <c r="AA14" s="396">
        <f>Z14</f>
        <v>870463.23992331978</v>
      </c>
      <c r="AB14" s="396">
        <f t="shared" ref="AB14:AM14" si="13">AB13+AA14</f>
        <v>906400.60686068959</v>
      </c>
      <c r="AC14" s="396">
        <f t="shared" si="13"/>
        <v>938677.12562716834</v>
      </c>
      <c r="AD14" s="396">
        <f t="shared" si="13"/>
        <v>971302.85908826999</v>
      </c>
      <c r="AE14" s="396">
        <f t="shared" si="13"/>
        <v>1004082.4408698766</v>
      </c>
      <c r="AF14" s="396">
        <f t="shared" si="13"/>
        <v>1042407.3971626812</v>
      </c>
      <c r="AG14" s="396">
        <f t="shared" si="13"/>
        <v>1080516.932813057</v>
      </c>
      <c r="AH14" s="396">
        <f t="shared" si="13"/>
        <v>1125850.7073881268</v>
      </c>
      <c r="AI14" s="396">
        <f t="shared" si="13"/>
        <v>1156188.5654193889</v>
      </c>
      <c r="AJ14" s="396">
        <f t="shared" si="13"/>
        <v>1203707.3496681226</v>
      </c>
      <c r="AK14" s="396">
        <f t="shared" si="13"/>
        <v>1269895.1517851045</v>
      </c>
      <c r="AL14" s="396">
        <f t="shared" si="13"/>
        <v>1318463.7583489947</v>
      </c>
      <c r="AM14" s="396">
        <f t="shared" si="13"/>
        <v>1371098.4109499636</v>
      </c>
      <c r="AN14" s="396">
        <f>AM14</f>
        <v>1371098.4109499636</v>
      </c>
      <c r="AO14" s="396">
        <f t="shared" ref="AO14:AZ14" si="14">AO13+AN14</f>
        <v>1405264.298825244</v>
      </c>
      <c r="AP14" s="396">
        <f t="shared" si="14"/>
        <v>1435080.2934716067</v>
      </c>
      <c r="AQ14" s="396">
        <f t="shared" si="14"/>
        <v>1463265.5678269288</v>
      </c>
      <c r="AR14" s="396">
        <f t="shared" si="14"/>
        <v>1489997.3662640413</v>
      </c>
      <c r="AS14" s="396">
        <f t="shared" si="14"/>
        <v>1527283.9171434331</v>
      </c>
      <c r="AT14" s="396">
        <f t="shared" si="14"/>
        <v>1571537.5106721041</v>
      </c>
      <c r="AU14" s="396">
        <f t="shared" si="14"/>
        <v>1622791.0268163839</v>
      </c>
      <c r="AV14" s="396">
        <f t="shared" si="14"/>
        <v>1676061.8006556996</v>
      </c>
      <c r="AW14" s="396">
        <f t="shared" si="14"/>
        <v>1726129.6814363378</v>
      </c>
      <c r="AX14" s="396">
        <f t="shared" si="14"/>
        <v>1779434.9056946693</v>
      </c>
      <c r="AY14" s="396">
        <f t="shared" si="14"/>
        <v>1820882.7264265129</v>
      </c>
      <c r="AZ14" s="396">
        <f t="shared" si="14"/>
        <v>1831376.3089508309</v>
      </c>
      <c r="BA14" s="396">
        <f>AZ14</f>
        <v>1831376.3089508309</v>
      </c>
      <c r="BB14" s="396">
        <f t="shared" ref="BB14:BM14" si="15">BB13+BA14</f>
        <v>1844379.176138489</v>
      </c>
      <c r="BC14" s="396">
        <f t="shared" si="15"/>
        <v>1843811.6505319607</v>
      </c>
      <c r="BD14" s="396">
        <f t="shared" si="15"/>
        <v>1859331.4804999963</v>
      </c>
      <c r="BE14" s="396">
        <f t="shared" si="15"/>
        <v>1885153.6248001864</v>
      </c>
      <c r="BF14" s="396">
        <f t="shared" si="15"/>
        <v>1914583.4657117785</v>
      </c>
      <c r="BG14" s="396">
        <f t="shared" si="15"/>
        <v>1955242.3260042695</v>
      </c>
      <c r="BH14" s="396">
        <f t="shared" si="15"/>
        <v>2001337.8385697468</v>
      </c>
      <c r="BI14" s="396">
        <f t="shared" si="15"/>
        <v>2047069.1207612967</v>
      </c>
      <c r="BJ14" s="396">
        <f t="shared" si="15"/>
        <v>2093007.1147727645</v>
      </c>
      <c r="BK14" s="396">
        <f t="shared" si="15"/>
        <v>2155631.4018580751</v>
      </c>
      <c r="BL14" s="396">
        <f t="shared" si="15"/>
        <v>2254808.1897203941</v>
      </c>
      <c r="BM14" s="396">
        <f t="shared" si="15"/>
        <v>2310282.3030093103</v>
      </c>
      <c r="BN14" s="396">
        <f>BM14</f>
        <v>2310282.3030093103</v>
      </c>
      <c r="BO14" s="396"/>
    </row>
    <row r="15" spans="1:67" x14ac:dyDescent="0.25">
      <c r="A15" s="392"/>
      <c r="B15" s="397"/>
      <c r="C15" s="397"/>
      <c r="D15" s="397"/>
      <c r="E15" s="397"/>
      <c r="F15" s="397"/>
      <c r="G15" s="397"/>
      <c r="H15" s="397"/>
      <c r="I15" s="397"/>
      <c r="J15" s="397"/>
      <c r="K15" s="397"/>
      <c r="L15" s="397"/>
      <c r="M15" s="397"/>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7"/>
      <c r="AK15" s="397"/>
      <c r="AL15" s="397"/>
      <c r="AM15" s="397"/>
      <c r="AN15" s="397"/>
      <c r="AO15" s="397"/>
      <c r="AP15" s="397"/>
      <c r="AQ15" s="397"/>
      <c r="AR15" s="397"/>
      <c r="AS15" s="397"/>
      <c r="AT15" s="397"/>
      <c r="AU15" s="397"/>
      <c r="AV15" s="397"/>
      <c r="AW15" s="397"/>
      <c r="AX15" s="397"/>
      <c r="AY15" s="397"/>
      <c r="AZ15" s="397"/>
      <c r="BA15" s="397"/>
      <c r="BB15" s="397"/>
      <c r="BC15" s="397"/>
      <c r="BD15" s="397"/>
      <c r="BE15" s="397"/>
      <c r="BF15" s="397"/>
      <c r="BG15" s="397"/>
      <c r="BH15" s="397"/>
      <c r="BI15" s="397"/>
      <c r="BJ15" s="397"/>
      <c r="BK15" s="397"/>
      <c r="BL15" s="397"/>
      <c r="BM15" s="397"/>
      <c r="BN15" s="397"/>
      <c r="BO15" s="397"/>
    </row>
    <row r="16" spans="1:67" x14ac:dyDescent="0.25">
      <c r="A16" s="392" t="s">
        <v>433</v>
      </c>
      <c r="B16" s="396">
        <v>0</v>
      </c>
      <c r="C16" s="396">
        <f>B14*C18/12</f>
        <v>17.982729166666669</v>
      </c>
      <c r="D16" s="396">
        <f t="shared" ref="D16:BM16" si="16">C14*D18/12</f>
        <v>35.965458333333338</v>
      </c>
      <c r="E16" s="396">
        <f t="shared" si="16"/>
        <v>53.948187499999996</v>
      </c>
      <c r="F16" s="396">
        <f t="shared" si="16"/>
        <v>71.930916666666675</v>
      </c>
      <c r="G16" s="396">
        <f t="shared" si="16"/>
        <v>96.477782066666677</v>
      </c>
      <c r="H16" s="396">
        <f t="shared" si="16"/>
        <v>40.693937137500001</v>
      </c>
      <c r="I16" s="396">
        <f t="shared" si="16"/>
        <v>56.827181887499997</v>
      </c>
      <c r="J16" s="396">
        <f t="shared" si="16"/>
        <v>71.244724895052926</v>
      </c>
      <c r="K16" s="396">
        <f t="shared" si="16"/>
        <v>84.677772524823439</v>
      </c>
      <c r="L16" s="396">
        <f t="shared" si="16"/>
        <v>98.695097183163838</v>
      </c>
      <c r="M16" s="396">
        <f t="shared" si="16"/>
        <v>114.92985827316018</v>
      </c>
      <c r="N16" s="396">
        <f>SUM(B16:M16)</f>
        <v>743.37364563453377</v>
      </c>
      <c r="O16" s="396">
        <f t="shared" si="16"/>
        <v>135.34901424457732</v>
      </c>
      <c r="P16" s="396">
        <f t="shared" si="16"/>
        <v>160.22384748117312</v>
      </c>
      <c r="Q16" s="396">
        <f t="shared" si="16"/>
        <v>184.91450837984868</v>
      </c>
      <c r="R16" s="396">
        <f t="shared" si="16"/>
        <v>208.7645201414729</v>
      </c>
      <c r="S16" s="396">
        <f t="shared" si="16"/>
        <v>232.31055234941482</v>
      </c>
      <c r="T16" s="396">
        <f t="shared" si="16"/>
        <v>256.16367830882371</v>
      </c>
      <c r="U16" s="396">
        <f t="shared" si="16"/>
        <v>280.34807137992482</v>
      </c>
      <c r="V16" s="396">
        <f t="shared" si="16"/>
        <v>304.91681901453768</v>
      </c>
      <c r="W16" s="396">
        <f t="shared" si="16"/>
        <v>329.47925576578876</v>
      </c>
      <c r="X16" s="396">
        <f t="shared" si="16"/>
        <v>354.15899148701345</v>
      </c>
      <c r="Y16" s="396">
        <f t="shared" si="16"/>
        <v>378.82911162438683</v>
      </c>
      <c r="Z16" s="396">
        <f t="shared" si="16"/>
        <v>402.40063230667141</v>
      </c>
      <c r="AA16" s="396">
        <f>SUM(O16:Z16)</f>
        <v>3227.859002483633</v>
      </c>
      <c r="AB16" s="396">
        <f t="shared" si="16"/>
        <v>413.47003896357683</v>
      </c>
      <c r="AC16" s="396">
        <f t="shared" si="16"/>
        <v>430.5402882588275</v>
      </c>
      <c r="AD16" s="396">
        <f t="shared" si="16"/>
        <v>445.87163467290492</v>
      </c>
      <c r="AE16" s="396">
        <f t="shared" si="16"/>
        <v>825.60743022502959</v>
      </c>
      <c r="AF16" s="396">
        <f t="shared" si="16"/>
        <v>853.47007473939527</v>
      </c>
      <c r="AG16" s="396">
        <f t="shared" si="16"/>
        <v>886.04628758827903</v>
      </c>
      <c r="AH16" s="396">
        <f t="shared" si="16"/>
        <v>1980.9477101572713</v>
      </c>
      <c r="AI16" s="396">
        <f t="shared" si="16"/>
        <v>2064.0596302115659</v>
      </c>
      <c r="AJ16" s="396">
        <f t="shared" si="16"/>
        <v>2119.6790366022133</v>
      </c>
      <c r="AK16" s="396">
        <f t="shared" si="16"/>
        <v>3881.9562026796953</v>
      </c>
      <c r="AL16" s="396">
        <f t="shared" si="16"/>
        <v>4095.4118645069616</v>
      </c>
      <c r="AM16" s="396">
        <f t="shared" si="16"/>
        <v>4252.0456206755071</v>
      </c>
      <c r="AN16" s="396">
        <f>SUM(AB16:AM16)</f>
        <v>22249.105819281227</v>
      </c>
      <c r="AO16" s="396">
        <f t="shared" si="16"/>
        <v>5404.4129031611074</v>
      </c>
      <c r="AP16" s="396">
        <f t="shared" si="16"/>
        <v>5539.0834445361697</v>
      </c>
      <c r="AQ16" s="396">
        <f t="shared" si="16"/>
        <v>5656.6081567672491</v>
      </c>
      <c r="AR16" s="396">
        <f t="shared" si="16"/>
        <v>6072.5521064817549</v>
      </c>
      <c r="AS16" s="396">
        <f t="shared" si="16"/>
        <v>6183.4890699957723</v>
      </c>
      <c r="AT16" s="396">
        <f t="shared" si="16"/>
        <v>6338.2282561452485</v>
      </c>
      <c r="AU16" s="396">
        <f t="shared" si="16"/>
        <v>6521.8806692892322</v>
      </c>
      <c r="AV16" s="396">
        <f t="shared" si="16"/>
        <v>6734.5827612879939</v>
      </c>
      <c r="AW16" s="396">
        <f t="shared" si="16"/>
        <v>6955.6564727211544</v>
      </c>
      <c r="AX16" s="396">
        <f t="shared" si="16"/>
        <v>7897.0432925712457</v>
      </c>
      <c r="AY16" s="396">
        <f t="shared" si="16"/>
        <v>8140.9146935531135</v>
      </c>
      <c r="AZ16" s="396">
        <f t="shared" si="16"/>
        <v>8330.5384734012969</v>
      </c>
      <c r="BA16" s="396">
        <f>SUM(AO16:AZ16)</f>
        <v>79774.990299911326</v>
      </c>
      <c r="BB16" s="396">
        <f t="shared" si="16"/>
        <v>8378.5466134500512</v>
      </c>
      <c r="BC16" s="396">
        <f t="shared" si="16"/>
        <v>8438.0347308335877</v>
      </c>
      <c r="BD16" s="396">
        <f t="shared" si="16"/>
        <v>8435.4383011837217</v>
      </c>
      <c r="BE16" s="396">
        <f t="shared" si="16"/>
        <v>8506.4415232874835</v>
      </c>
      <c r="BF16" s="396">
        <f t="shared" si="16"/>
        <v>8624.5778334608531</v>
      </c>
      <c r="BG16" s="396">
        <f t="shared" si="16"/>
        <v>8759.2193556313869</v>
      </c>
      <c r="BH16" s="396">
        <f t="shared" si="16"/>
        <v>8472.7167460185028</v>
      </c>
      <c r="BI16" s="396">
        <f t="shared" si="16"/>
        <v>8672.4639671355708</v>
      </c>
      <c r="BJ16" s="396">
        <f t="shared" si="16"/>
        <v>8870.6328566322863</v>
      </c>
      <c r="BK16" s="396">
        <f t="shared" si="16"/>
        <v>7681.3361112160455</v>
      </c>
      <c r="BL16" s="396">
        <f t="shared" si="16"/>
        <v>7911.1672448191348</v>
      </c>
      <c r="BM16" s="396">
        <f t="shared" si="16"/>
        <v>8275.1460562738448</v>
      </c>
      <c r="BN16" s="396">
        <f>SUM(BB16:BM16)</f>
        <v>101025.72133994248</v>
      </c>
      <c r="BO16" s="396">
        <f>BN14*BO18</f>
        <v>72918.285188731359</v>
      </c>
    </row>
    <row r="17" spans="1:67" x14ac:dyDescent="0.25">
      <c r="A17" s="392" t="s">
        <v>437</v>
      </c>
      <c r="B17" s="396">
        <f>B16</f>
        <v>0</v>
      </c>
      <c r="C17" s="396">
        <f>C16+B17</f>
        <v>17.982729166666669</v>
      </c>
      <c r="D17" s="396">
        <f t="shared" ref="D17:M17" si="17">D16+C17</f>
        <v>53.948187500000003</v>
      </c>
      <c r="E17" s="396">
        <f t="shared" si="17"/>
        <v>107.89637500000001</v>
      </c>
      <c r="F17" s="396">
        <f t="shared" si="17"/>
        <v>179.82729166666667</v>
      </c>
      <c r="G17" s="396">
        <f t="shared" si="17"/>
        <v>276.30507373333336</v>
      </c>
      <c r="H17" s="396">
        <f t="shared" si="17"/>
        <v>316.99901087083333</v>
      </c>
      <c r="I17" s="396">
        <f t="shared" si="17"/>
        <v>373.82619275833332</v>
      </c>
      <c r="J17" s="396">
        <f t="shared" si="17"/>
        <v>445.07091765338623</v>
      </c>
      <c r="K17" s="396">
        <f t="shared" si="17"/>
        <v>529.7486901782097</v>
      </c>
      <c r="L17" s="396">
        <f t="shared" si="17"/>
        <v>628.44378736137355</v>
      </c>
      <c r="M17" s="396">
        <f t="shared" si="17"/>
        <v>743.37364563453377</v>
      </c>
      <c r="N17" s="396">
        <f>M17</f>
        <v>743.37364563453377</v>
      </c>
      <c r="O17" s="396">
        <f t="shared" ref="O17:Z17" si="18">O16+N17</f>
        <v>878.72265987911112</v>
      </c>
      <c r="P17" s="396">
        <f t="shared" si="18"/>
        <v>1038.9465073602842</v>
      </c>
      <c r="Q17" s="396">
        <f t="shared" si="18"/>
        <v>1223.8610157401329</v>
      </c>
      <c r="R17" s="396">
        <f t="shared" si="18"/>
        <v>1432.6255358816059</v>
      </c>
      <c r="S17" s="396">
        <f t="shared" si="18"/>
        <v>1664.9360882310207</v>
      </c>
      <c r="T17" s="396">
        <f t="shared" si="18"/>
        <v>1921.0997665398445</v>
      </c>
      <c r="U17" s="396">
        <f t="shared" si="18"/>
        <v>2201.4478379197694</v>
      </c>
      <c r="V17" s="396">
        <f t="shared" si="18"/>
        <v>2506.3646569343073</v>
      </c>
      <c r="W17" s="396">
        <f t="shared" si="18"/>
        <v>2835.8439127000961</v>
      </c>
      <c r="X17" s="396">
        <f t="shared" si="18"/>
        <v>3190.0029041871094</v>
      </c>
      <c r="Y17" s="396">
        <f t="shared" si="18"/>
        <v>3568.8320158114961</v>
      </c>
      <c r="Z17" s="396">
        <f t="shared" si="18"/>
        <v>3971.2326481181676</v>
      </c>
      <c r="AA17" s="396">
        <f>Z17</f>
        <v>3971.2326481181676</v>
      </c>
      <c r="AB17" s="396">
        <f t="shared" ref="AB17:AM17" si="19">AB16+AA17</f>
        <v>4384.7026870817444</v>
      </c>
      <c r="AC17" s="396">
        <f t="shared" si="19"/>
        <v>4815.2429753405722</v>
      </c>
      <c r="AD17" s="396">
        <f t="shared" si="19"/>
        <v>5261.1146100134774</v>
      </c>
      <c r="AE17" s="396">
        <f t="shared" si="19"/>
        <v>6086.7220402385074</v>
      </c>
      <c r="AF17" s="396">
        <f t="shared" si="19"/>
        <v>6940.1921149779027</v>
      </c>
      <c r="AG17" s="396">
        <f t="shared" si="19"/>
        <v>7826.2384025661813</v>
      </c>
      <c r="AH17" s="396">
        <f t="shared" si="19"/>
        <v>9807.1861127234533</v>
      </c>
      <c r="AI17" s="396">
        <f t="shared" si="19"/>
        <v>11871.24574293502</v>
      </c>
      <c r="AJ17" s="396">
        <f t="shared" si="19"/>
        <v>13990.924779537232</v>
      </c>
      <c r="AK17" s="396">
        <f t="shared" si="19"/>
        <v>17872.880982216928</v>
      </c>
      <c r="AL17" s="396">
        <f t="shared" si="19"/>
        <v>21968.292846723889</v>
      </c>
      <c r="AM17" s="396">
        <f t="shared" si="19"/>
        <v>26220.338467399397</v>
      </c>
      <c r="AN17" s="396">
        <f>AM17</f>
        <v>26220.338467399397</v>
      </c>
      <c r="AO17" s="396">
        <f t="shared" ref="AO17:AZ17" si="20">AO16+AN17</f>
        <v>31624.751370560505</v>
      </c>
      <c r="AP17" s="396">
        <f t="shared" si="20"/>
        <v>37163.834815096678</v>
      </c>
      <c r="AQ17" s="396">
        <f t="shared" si="20"/>
        <v>42820.442971863929</v>
      </c>
      <c r="AR17" s="396">
        <f t="shared" si="20"/>
        <v>48892.995078345688</v>
      </c>
      <c r="AS17" s="396">
        <f t="shared" si="20"/>
        <v>55076.484148341464</v>
      </c>
      <c r="AT17" s="396">
        <f t="shared" si="20"/>
        <v>61414.712404486709</v>
      </c>
      <c r="AU17" s="396">
        <f t="shared" si="20"/>
        <v>67936.593073775934</v>
      </c>
      <c r="AV17" s="396">
        <f t="shared" si="20"/>
        <v>74671.175835063928</v>
      </c>
      <c r="AW17" s="396">
        <f t="shared" si="20"/>
        <v>81626.83230778508</v>
      </c>
      <c r="AX17" s="396">
        <f t="shared" si="20"/>
        <v>89523.875600356332</v>
      </c>
      <c r="AY17" s="396">
        <f t="shared" si="20"/>
        <v>97664.790293909449</v>
      </c>
      <c r="AZ17" s="396">
        <f t="shared" si="20"/>
        <v>105995.32876731074</v>
      </c>
      <c r="BA17" s="396">
        <f>AZ17</f>
        <v>105995.32876731074</v>
      </c>
      <c r="BB17" s="396">
        <f t="shared" ref="BB17:BM17" si="21">BB16+BA17</f>
        <v>114373.87538076079</v>
      </c>
      <c r="BC17" s="396">
        <f t="shared" si="21"/>
        <v>122811.91011159438</v>
      </c>
      <c r="BD17" s="396">
        <f t="shared" si="21"/>
        <v>131247.34841277811</v>
      </c>
      <c r="BE17" s="396">
        <f t="shared" si="21"/>
        <v>139753.78993606559</v>
      </c>
      <c r="BF17" s="396">
        <f t="shared" si="21"/>
        <v>148378.36776952643</v>
      </c>
      <c r="BG17" s="396">
        <f t="shared" si="21"/>
        <v>157137.58712515782</v>
      </c>
      <c r="BH17" s="396">
        <f t="shared" si="21"/>
        <v>165610.30387117632</v>
      </c>
      <c r="BI17" s="396">
        <f t="shared" si="21"/>
        <v>174282.76783831191</v>
      </c>
      <c r="BJ17" s="396">
        <f t="shared" si="21"/>
        <v>183153.4006949442</v>
      </c>
      <c r="BK17" s="396">
        <f t="shared" si="21"/>
        <v>190834.73680616025</v>
      </c>
      <c r="BL17" s="396">
        <f t="shared" si="21"/>
        <v>198745.90405097938</v>
      </c>
      <c r="BM17" s="396">
        <f t="shared" si="21"/>
        <v>207021.05010725322</v>
      </c>
      <c r="BN17" s="396">
        <f>BM17</f>
        <v>207021.05010725322</v>
      </c>
      <c r="BO17" s="396">
        <f>BN17</f>
        <v>207021.05010725322</v>
      </c>
    </row>
    <row r="18" spans="1:67" x14ac:dyDescent="0.25">
      <c r="A18" s="392" t="s">
        <v>434</v>
      </c>
      <c r="B18" s="398">
        <f>Staff16_TVA!B18</f>
        <v>2.18E-2</v>
      </c>
      <c r="C18" s="398">
        <f>Staff16_TVA!C18</f>
        <v>2.18E-2</v>
      </c>
      <c r="D18" s="398">
        <f>Staff16_TVA!D18</f>
        <v>2.18E-2</v>
      </c>
      <c r="E18" s="398">
        <f>Staff16_TVA!E18</f>
        <v>2.18E-2</v>
      </c>
      <c r="F18" s="398">
        <f>Staff16_TVA!F18</f>
        <v>2.18E-2</v>
      </c>
      <c r="G18" s="398">
        <f>Staff16_TVA!G18</f>
        <v>2.18E-2</v>
      </c>
      <c r="H18" s="398">
        <f>Staff16_TVA!H18</f>
        <v>5.7299999999999999E-3</v>
      </c>
      <c r="I18" s="398">
        <f>Staff16_TVA!I18</f>
        <v>5.7299999999999999E-3</v>
      </c>
      <c r="J18" s="398">
        <f>Staff16_TVA!J18</f>
        <v>5.7299999999999999E-3</v>
      </c>
      <c r="K18" s="398">
        <f>Staff16_TVA!K18</f>
        <v>5.6999999999999993E-3</v>
      </c>
      <c r="L18" s="398">
        <f>Staff16_TVA!L18</f>
        <v>5.6999999999999993E-3</v>
      </c>
      <c r="M18" s="398">
        <f>Staff16_TVA!M18</f>
        <v>5.6999999999999993E-3</v>
      </c>
      <c r="N18" s="398"/>
      <c r="O18" s="398">
        <f>Staff16_TVA!O18</f>
        <v>5.6999999999999993E-3</v>
      </c>
      <c r="P18" s="398">
        <f>Staff16_TVA!P18</f>
        <v>5.6999999999999993E-3</v>
      </c>
      <c r="Q18" s="398">
        <f>Staff16_TVA!Q18</f>
        <v>5.6999999999999993E-3</v>
      </c>
      <c r="R18" s="398">
        <f>Staff16_TVA!R18</f>
        <v>5.6999999999999993E-3</v>
      </c>
      <c r="S18" s="398">
        <f>Staff16_TVA!S18</f>
        <v>5.6999999999999993E-3</v>
      </c>
      <c r="T18" s="398">
        <f>Staff16_TVA!T18</f>
        <v>5.6999999999999993E-3</v>
      </c>
      <c r="U18" s="398">
        <f>Staff16_TVA!U18</f>
        <v>5.6999999999999993E-3</v>
      </c>
      <c r="V18" s="398">
        <f>Staff16_TVA!V18</f>
        <v>5.6999999999999993E-3</v>
      </c>
      <c r="W18" s="398">
        <f>Staff16_TVA!W18</f>
        <v>5.6999999999999993E-3</v>
      </c>
      <c r="X18" s="398">
        <f>Staff16_TVA!X18</f>
        <v>5.6999999999999993E-3</v>
      </c>
      <c r="Y18" s="398">
        <f>Staff16_TVA!Y18</f>
        <v>5.6999999999999993E-3</v>
      </c>
      <c r="Z18" s="398">
        <f>Staff16_TVA!Z18</f>
        <v>5.6999999999999993E-3</v>
      </c>
      <c r="AA18" s="398"/>
      <c r="AB18" s="398">
        <f>Staff16_TVA!AB18</f>
        <v>5.6999999999999993E-3</v>
      </c>
      <c r="AC18" s="398">
        <f>Staff16_TVA!AC18</f>
        <v>5.6999999999999993E-3</v>
      </c>
      <c r="AD18" s="398">
        <f>Staff16_TVA!AD18</f>
        <v>5.6999999999999993E-3</v>
      </c>
      <c r="AE18" s="398">
        <f>Staff16_TVA!AE18</f>
        <v>1.0200000000000001E-2</v>
      </c>
      <c r="AF18" s="398">
        <f>Staff16_TVA!AF18</f>
        <v>1.0200000000000001E-2</v>
      </c>
      <c r="AG18" s="398">
        <f>Staff16_TVA!AG18</f>
        <v>1.0200000000000001E-2</v>
      </c>
      <c r="AH18" s="398">
        <f>Staff16_TVA!AH18</f>
        <v>2.2000000000000002E-2</v>
      </c>
      <c r="AI18" s="398">
        <f>Staff16_TVA!AI18</f>
        <v>2.2000000000000002E-2</v>
      </c>
      <c r="AJ18" s="398">
        <f>Staff16_TVA!AJ18</f>
        <v>2.2000000000000002E-2</v>
      </c>
      <c r="AK18" s="398">
        <f>Staff16_TVA!AK18</f>
        <v>3.8699999999999998E-2</v>
      </c>
      <c r="AL18" s="398">
        <f>Staff16_TVA!AL18</f>
        <v>3.8699999999999998E-2</v>
      </c>
      <c r="AM18" s="398">
        <f>Staff16_TVA!AM18</f>
        <v>3.8699999999999998E-2</v>
      </c>
      <c r="AN18" s="398"/>
      <c r="AO18" s="398">
        <f>Staff16_TVA!AO18</f>
        <v>4.7300000000000002E-2</v>
      </c>
      <c r="AP18" s="398">
        <f>Staff16_TVA!AP18</f>
        <v>4.7300000000000002E-2</v>
      </c>
      <c r="AQ18" s="398">
        <f>Staff16_TVA!AQ18</f>
        <v>4.7300000000000002E-2</v>
      </c>
      <c r="AR18" s="398">
        <f>Staff16_TVA!AR18</f>
        <v>4.9800000000000004E-2</v>
      </c>
      <c r="AS18" s="398">
        <f>Staff16_TVA!AS18</f>
        <v>4.9800000000000004E-2</v>
      </c>
      <c r="AT18" s="398">
        <f>Staff16_TVA!AT18</f>
        <v>4.9800000000000004E-2</v>
      </c>
      <c r="AU18" s="398">
        <f>Staff16_TVA!AU18</f>
        <v>4.9800000000000004E-2</v>
      </c>
      <c r="AV18" s="398">
        <f>Staff16_TVA!AV18</f>
        <v>4.9800000000000004E-2</v>
      </c>
      <c r="AW18" s="398">
        <f>Staff16_TVA!AW18</f>
        <v>4.9800000000000004E-2</v>
      </c>
      <c r="AX18" s="398">
        <f>Staff16_TVA!AX18</f>
        <v>5.4900000000000004E-2</v>
      </c>
      <c r="AY18" s="398">
        <f>Staff16_TVA!AY18</f>
        <v>5.4900000000000004E-2</v>
      </c>
      <c r="AZ18" s="398">
        <f>Staff16_TVA!AZ18</f>
        <v>5.4900000000000004E-2</v>
      </c>
      <c r="BA18" s="398"/>
      <c r="BB18" s="398">
        <f>Staff16_TVA!BB18</f>
        <v>5.4900000000000004E-2</v>
      </c>
      <c r="BC18" s="398">
        <f>Staff16_TVA!BC18</f>
        <v>5.4900000000000004E-2</v>
      </c>
      <c r="BD18" s="398">
        <f>Staff16_TVA!BD18</f>
        <v>5.4900000000000004E-2</v>
      </c>
      <c r="BE18" s="398">
        <f>Staff16_TVA!BE18</f>
        <v>5.4900000000000004E-2</v>
      </c>
      <c r="BF18" s="398">
        <f>Staff16_TVA!BF18</f>
        <v>5.4900000000000004E-2</v>
      </c>
      <c r="BG18" s="398">
        <f>Staff16_TVA!BG18</f>
        <v>5.4900000000000004E-2</v>
      </c>
      <c r="BH18" s="398">
        <f>Staff16_TVA!BH18</f>
        <v>5.2000000000000005E-2</v>
      </c>
      <c r="BI18" s="398">
        <f>Staff16_TVA!BI18</f>
        <v>5.2000000000000005E-2</v>
      </c>
      <c r="BJ18" s="398">
        <f>Staff16_TVA!BJ18</f>
        <v>5.2000000000000005E-2</v>
      </c>
      <c r="BK18" s="398">
        <f>Staff16_TVA!BK18</f>
        <v>4.4039999999999996E-2</v>
      </c>
      <c r="BL18" s="398">
        <f>Staff16_TVA!BL18</f>
        <v>4.4039999999999996E-2</v>
      </c>
      <c r="BM18" s="398">
        <f>Staff16_TVA!BM18</f>
        <v>4.4039999999999996E-2</v>
      </c>
      <c r="BN18" s="397"/>
      <c r="BO18" s="398">
        <f>Staff16_TVA!BO18</f>
        <v>3.15625E-2</v>
      </c>
    </row>
    <row r="19" spans="1:67" x14ac:dyDescent="0.25">
      <c r="A19" s="392"/>
      <c r="B19" s="397"/>
      <c r="C19" s="397"/>
      <c r="D19" s="397"/>
      <c r="E19" s="397"/>
      <c r="F19" s="397"/>
      <c r="G19" s="397"/>
      <c r="H19" s="397"/>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397"/>
      <c r="AM19" s="397"/>
      <c r="AN19" s="397"/>
      <c r="AO19" s="397"/>
      <c r="AP19" s="397"/>
      <c r="AQ19" s="397"/>
      <c r="AR19" s="397"/>
      <c r="AS19" s="397"/>
      <c r="AT19" s="397"/>
      <c r="AU19" s="397"/>
      <c r="AV19" s="397"/>
      <c r="AW19" s="397"/>
      <c r="AX19" s="397"/>
      <c r="AY19" s="397"/>
      <c r="AZ19" s="397"/>
      <c r="BA19" s="397"/>
      <c r="BB19" s="397"/>
      <c r="BC19" s="397"/>
      <c r="BD19" s="397"/>
      <c r="BE19" s="397"/>
      <c r="BF19" s="397"/>
      <c r="BG19" s="397"/>
      <c r="BH19" s="397"/>
      <c r="BI19" s="397"/>
      <c r="BJ19" s="397"/>
      <c r="BK19" s="397"/>
      <c r="BL19" s="397"/>
      <c r="BM19" s="397"/>
      <c r="BN19" s="397"/>
      <c r="BO19" s="397"/>
    </row>
    <row r="20" spans="1:67" s="315" customFormat="1" x14ac:dyDescent="0.25">
      <c r="A20" s="392" t="s">
        <v>447</v>
      </c>
      <c r="B20" s="400">
        <f>B13+B16</f>
        <v>9898.75</v>
      </c>
      <c r="C20" s="400">
        <f t="shared" ref="C20:N20" si="22">C13+C16</f>
        <v>9916.7327291666661</v>
      </c>
      <c r="D20" s="400">
        <f t="shared" si="22"/>
        <v>9934.715458333334</v>
      </c>
      <c r="E20" s="400">
        <f t="shared" si="22"/>
        <v>9952.6981875000001</v>
      </c>
      <c r="F20" s="400">
        <f t="shared" si="22"/>
        <v>13583.966916666666</v>
      </c>
      <c r="G20" s="400">
        <f t="shared" si="22"/>
        <v>32212.346782066666</v>
      </c>
      <c r="H20" s="400">
        <f t="shared" si="22"/>
        <v>33827.593937137499</v>
      </c>
      <c r="I20" s="400">
        <f t="shared" si="22"/>
        <v>30250.634527548114</v>
      </c>
      <c r="J20" s="400">
        <f t="shared" si="22"/>
        <v>29136.627168336454</v>
      </c>
      <c r="K20" s="400">
        <f t="shared" si="22"/>
        <v>29594.834947978288</v>
      </c>
      <c r="L20" s="400">
        <f t="shared" si="22"/>
        <v>34277.139497175493</v>
      </c>
      <c r="M20" s="400">
        <f t="shared" si="22"/>
        <v>43102.626640203955</v>
      </c>
      <c r="N20" s="400">
        <f t="shared" si="22"/>
        <v>285688.6667921131</v>
      </c>
      <c r="O20" s="400">
        <f>O13+O16</f>
        <v>52503.418986025194</v>
      </c>
      <c r="P20" s="400">
        <f t="shared" ref="P20:AA20" si="23">P13+P16</f>
        <v>52140.56258153497</v>
      </c>
      <c r="Q20" s="400">
        <f t="shared" si="23"/>
        <v>50395.465585483551</v>
      </c>
      <c r="R20" s="400">
        <f t="shared" si="23"/>
        <v>49779.358642124469</v>
      </c>
      <c r="S20" s="400">
        <f t="shared" si="23"/>
        <v>50449.417835315493</v>
      </c>
      <c r="T20" s="400">
        <f t="shared" si="23"/>
        <v>51170.675406942719</v>
      </c>
      <c r="U20" s="400">
        <f t="shared" si="23"/>
        <v>52004.027302143841</v>
      </c>
      <c r="V20" s="400">
        <f t="shared" si="23"/>
        <v>52015.309979543206</v>
      </c>
      <c r="W20" s="400">
        <f t="shared" si="23"/>
        <v>52286.817616238688</v>
      </c>
      <c r="X20" s="400">
        <f t="shared" si="23"/>
        <v>52291.254017536259</v>
      </c>
      <c r="Y20" s="400">
        <f t="shared" si="23"/>
        <v>50003.083179591915</v>
      </c>
      <c r="Z20" s="400">
        <f t="shared" si="23"/>
        <v>23706.414646844511</v>
      </c>
      <c r="AA20" s="400">
        <f t="shared" si="23"/>
        <v>588745.80577932484</v>
      </c>
      <c r="AB20" s="400">
        <f>AB13+AB16</f>
        <v>36350.83697633339</v>
      </c>
      <c r="AC20" s="400">
        <f t="shared" ref="AC20:AN20" si="24">AC13+AC16</f>
        <v>32707.059054737558</v>
      </c>
      <c r="AD20" s="400">
        <f t="shared" si="24"/>
        <v>33071.605095774539</v>
      </c>
      <c r="AE20" s="400">
        <f t="shared" si="24"/>
        <v>33605.189211831734</v>
      </c>
      <c r="AF20" s="400">
        <f t="shared" si="24"/>
        <v>39178.426367543965</v>
      </c>
      <c r="AG20" s="400">
        <f t="shared" si="24"/>
        <v>38995.581937964052</v>
      </c>
      <c r="AH20" s="400">
        <f t="shared" si="24"/>
        <v>47314.722285226984</v>
      </c>
      <c r="AI20" s="400">
        <f t="shared" si="24"/>
        <v>32401.917661473803</v>
      </c>
      <c r="AJ20" s="400">
        <f t="shared" si="24"/>
        <v>49638.463285335776</v>
      </c>
      <c r="AK20" s="400">
        <f t="shared" si="24"/>
        <v>70069.758319661749</v>
      </c>
      <c r="AL20" s="400">
        <f t="shared" si="24"/>
        <v>52664.018428397096</v>
      </c>
      <c r="AM20" s="400">
        <f t="shared" si="24"/>
        <v>56886.698221644554</v>
      </c>
      <c r="AN20" s="400">
        <f t="shared" si="24"/>
        <v>522884.2768459252</v>
      </c>
      <c r="AO20" s="400">
        <f>AO13+AO16</f>
        <v>39570.300778441342</v>
      </c>
      <c r="AP20" s="400">
        <f t="shared" ref="AP20:BA20" si="25">AP13+AP16</f>
        <v>35355.078090898889</v>
      </c>
      <c r="AQ20" s="400">
        <f t="shared" si="25"/>
        <v>33841.882512089345</v>
      </c>
      <c r="AR20" s="400">
        <f t="shared" si="25"/>
        <v>32804.350543594221</v>
      </c>
      <c r="AS20" s="400">
        <f t="shared" si="25"/>
        <v>43470.039949387661</v>
      </c>
      <c r="AT20" s="400">
        <f t="shared" si="25"/>
        <v>50591.821784816129</v>
      </c>
      <c r="AU20" s="400">
        <f t="shared" si="25"/>
        <v>57775.396813569008</v>
      </c>
      <c r="AV20" s="400">
        <f t="shared" si="25"/>
        <v>60005.356600603722</v>
      </c>
      <c r="AW20" s="400">
        <f t="shared" si="25"/>
        <v>57023.537253359427</v>
      </c>
      <c r="AX20" s="400">
        <f t="shared" si="25"/>
        <v>61202.267550902856</v>
      </c>
      <c r="AY20" s="400">
        <f t="shared" si="25"/>
        <v>49588.735425396735</v>
      </c>
      <c r="AZ20" s="400">
        <f t="shared" si="25"/>
        <v>18824.120997719372</v>
      </c>
      <c r="BA20" s="400">
        <f t="shared" si="25"/>
        <v>540052.88830077869</v>
      </c>
      <c r="BB20" s="400">
        <f>BB13+BB16</f>
        <v>21381.41380110816</v>
      </c>
      <c r="BC20" s="400">
        <f t="shared" ref="BC20:BO20" si="26">BC13+BC16</f>
        <v>7870.5091243051902</v>
      </c>
      <c r="BD20" s="400">
        <f t="shared" si="26"/>
        <v>23955.268269219501</v>
      </c>
      <c r="BE20" s="400">
        <f t="shared" si="26"/>
        <v>34328.585823477566</v>
      </c>
      <c r="BF20" s="400">
        <f t="shared" si="26"/>
        <v>38054.418745052979</v>
      </c>
      <c r="BG20" s="400">
        <f t="shared" si="26"/>
        <v>49418.079648122315</v>
      </c>
      <c r="BH20" s="400">
        <f t="shared" si="26"/>
        <v>54568.229311495787</v>
      </c>
      <c r="BI20" s="400">
        <f t="shared" si="26"/>
        <v>54403.746158685535</v>
      </c>
      <c r="BJ20" s="400">
        <f t="shared" si="26"/>
        <v>54808.626868100095</v>
      </c>
      <c r="BK20" s="400">
        <f t="shared" si="26"/>
        <v>70305.623196526678</v>
      </c>
      <c r="BL20" s="400">
        <f t="shared" si="26"/>
        <v>107087.95510713794</v>
      </c>
      <c r="BM20" s="400">
        <f t="shared" si="26"/>
        <v>63749.259345190119</v>
      </c>
      <c r="BN20" s="400">
        <f t="shared" si="26"/>
        <v>579931.71539842198</v>
      </c>
      <c r="BO20" s="400">
        <f t="shared" si="26"/>
        <v>72918.285188731359</v>
      </c>
    </row>
    <row r="21" spans="1:67" s="315" customFormat="1" x14ac:dyDescent="0.25">
      <c r="A21" s="394" t="s">
        <v>448</v>
      </c>
      <c r="B21" s="409">
        <f>B20</f>
        <v>9898.75</v>
      </c>
      <c r="C21" s="409">
        <f>C20+B21</f>
        <v>19815.482729166666</v>
      </c>
      <c r="D21" s="409">
        <f t="shared" ref="D21:M21" si="27">D20+C21</f>
        <v>29750.198187499998</v>
      </c>
      <c r="E21" s="409">
        <f t="shared" si="27"/>
        <v>39702.896374999997</v>
      </c>
      <c r="F21" s="409">
        <f t="shared" si="27"/>
        <v>53286.863291666661</v>
      </c>
      <c r="G21" s="409">
        <f t="shared" si="27"/>
        <v>85499.210073733324</v>
      </c>
      <c r="H21" s="409">
        <f t="shared" si="27"/>
        <v>119326.80401087082</v>
      </c>
      <c r="I21" s="409">
        <f t="shared" si="27"/>
        <v>149577.43853841894</v>
      </c>
      <c r="J21" s="409">
        <f t="shared" si="27"/>
        <v>178714.06570675538</v>
      </c>
      <c r="K21" s="409">
        <f t="shared" si="27"/>
        <v>208308.90065473368</v>
      </c>
      <c r="L21" s="409">
        <f t="shared" si="27"/>
        <v>242586.04015190917</v>
      </c>
      <c r="M21" s="409">
        <f t="shared" si="27"/>
        <v>285688.6667921131</v>
      </c>
      <c r="N21" s="410">
        <f>M21</f>
        <v>285688.6667921131</v>
      </c>
      <c r="O21" s="409">
        <f t="shared" ref="O21:Z21" si="28">O20+N21</f>
        <v>338192.08577813831</v>
      </c>
      <c r="P21" s="409">
        <f t="shared" si="28"/>
        <v>390332.64835967327</v>
      </c>
      <c r="Q21" s="409">
        <f t="shared" si="28"/>
        <v>440728.1139451568</v>
      </c>
      <c r="R21" s="409">
        <f t="shared" si="28"/>
        <v>490507.47258728126</v>
      </c>
      <c r="S21" s="409">
        <f t="shared" si="28"/>
        <v>540956.89042259671</v>
      </c>
      <c r="T21" s="409">
        <f t="shared" si="28"/>
        <v>592127.56582953944</v>
      </c>
      <c r="U21" s="409">
        <f t="shared" si="28"/>
        <v>644131.5931316833</v>
      </c>
      <c r="V21" s="409">
        <f t="shared" si="28"/>
        <v>696146.90311122651</v>
      </c>
      <c r="W21" s="409">
        <f t="shared" si="28"/>
        <v>748433.72072746523</v>
      </c>
      <c r="X21" s="409">
        <f t="shared" si="28"/>
        <v>800724.97474500153</v>
      </c>
      <c r="Y21" s="409">
        <f t="shared" si="28"/>
        <v>850728.05792459345</v>
      </c>
      <c r="Z21" s="409">
        <f t="shared" si="28"/>
        <v>874434.47257143795</v>
      </c>
      <c r="AA21" s="410">
        <f>Z21</f>
        <v>874434.47257143795</v>
      </c>
      <c r="AB21" s="409">
        <f t="shared" ref="AB21:AM21" si="29">AB20+AA21</f>
        <v>910785.30954777135</v>
      </c>
      <c r="AC21" s="409">
        <f t="shared" si="29"/>
        <v>943492.36860250891</v>
      </c>
      <c r="AD21" s="409">
        <f t="shared" si="29"/>
        <v>976563.97369828343</v>
      </c>
      <c r="AE21" s="409">
        <f t="shared" si="29"/>
        <v>1010169.1629101152</v>
      </c>
      <c r="AF21" s="409">
        <f t="shared" si="29"/>
        <v>1049347.5892776591</v>
      </c>
      <c r="AG21" s="409">
        <f t="shared" si="29"/>
        <v>1088343.1712156232</v>
      </c>
      <c r="AH21" s="409">
        <f t="shared" si="29"/>
        <v>1135657.8935008501</v>
      </c>
      <c r="AI21" s="409">
        <f t="shared" si="29"/>
        <v>1168059.8111623239</v>
      </c>
      <c r="AJ21" s="409">
        <f t="shared" si="29"/>
        <v>1217698.2744476597</v>
      </c>
      <c r="AK21" s="409">
        <f t="shared" si="29"/>
        <v>1287768.0327673214</v>
      </c>
      <c r="AL21" s="409">
        <f t="shared" si="29"/>
        <v>1340432.0511957186</v>
      </c>
      <c r="AM21" s="409">
        <f t="shared" si="29"/>
        <v>1397318.7494173632</v>
      </c>
      <c r="AN21" s="410">
        <f>AM21</f>
        <v>1397318.7494173632</v>
      </c>
      <c r="AO21" s="409">
        <f t="shared" ref="AO21:AZ21" si="30">AO20+AN21</f>
        <v>1436889.0501958046</v>
      </c>
      <c r="AP21" s="409">
        <f t="shared" si="30"/>
        <v>1472244.1282867035</v>
      </c>
      <c r="AQ21" s="409">
        <f t="shared" si="30"/>
        <v>1506086.0107987928</v>
      </c>
      <c r="AR21" s="409">
        <f t="shared" si="30"/>
        <v>1538890.361342387</v>
      </c>
      <c r="AS21" s="409">
        <f t="shared" si="30"/>
        <v>1582360.4012917746</v>
      </c>
      <c r="AT21" s="409">
        <f t="shared" si="30"/>
        <v>1632952.2230765908</v>
      </c>
      <c r="AU21" s="409">
        <f t="shared" si="30"/>
        <v>1690727.6198901599</v>
      </c>
      <c r="AV21" s="409">
        <f t="shared" si="30"/>
        <v>1750732.9764907637</v>
      </c>
      <c r="AW21" s="409">
        <f t="shared" si="30"/>
        <v>1807756.513744123</v>
      </c>
      <c r="AX21" s="409">
        <f t="shared" si="30"/>
        <v>1868958.781295026</v>
      </c>
      <c r="AY21" s="409">
        <f t="shared" si="30"/>
        <v>1918547.5167204228</v>
      </c>
      <c r="AZ21" s="409">
        <f t="shared" si="30"/>
        <v>1937371.6377181422</v>
      </c>
      <c r="BA21" s="410">
        <f>AZ21</f>
        <v>1937371.6377181422</v>
      </c>
      <c r="BB21" s="409">
        <f t="shared" ref="BB21:BM21" si="31">BB20+BA21</f>
        <v>1958753.0515192505</v>
      </c>
      <c r="BC21" s="409">
        <f t="shared" si="31"/>
        <v>1966623.5606435556</v>
      </c>
      <c r="BD21" s="409">
        <f t="shared" si="31"/>
        <v>1990578.828912775</v>
      </c>
      <c r="BE21" s="409">
        <f t="shared" si="31"/>
        <v>2024907.4147362525</v>
      </c>
      <c r="BF21" s="409">
        <f t="shared" si="31"/>
        <v>2062961.8334813055</v>
      </c>
      <c r="BG21" s="409">
        <f t="shared" si="31"/>
        <v>2112379.9131294279</v>
      </c>
      <c r="BH21" s="409">
        <f t="shared" si="31"/>
        <v>2166948.1424409235</v>
      </c>
      <c r="BI21" s="409">
        <f t="shared" si="31"/>
        <v>2221351.888599609</v>
      </c>
      <c r="BJ21" s="409">
        <f t="shared" si="31"/>
        <v>2276160.5154677089</v>
      </c>
      <c r="BK21" s="409">
        <f t="shared" si="31"/>
        <v>2346466.1386642358</v>
      </c>
      <c r="BL21" s="409">
        <f t="shared" si="31"/>
        <v>2453554.0937713739</v>
      </c>
      <c r="BM21" s="409">
        <f t="shared" si="31"/>
        <v>2517303.353116564</v>
      </c>
      <c r="BN21" s="410">
        <f>BM21</f>
        <v>2517303.353116564</v>
      </c>
      <c r="BO21" s="410">
        <f>BN21+BO20</f>
        <v>2590221.6383052953</v>
      </c>
    </row>
    <row r="22" spans="1:67" x14ac:dyDescent="0.25">
      <c r="A22" s="401" t="s">
        <v>439</v>
      </c>
      <c r="B22" s="396"/>
      <c r="C22" s="396"/>
      <c r="D22" s="396"/>
      <c r="E22" s="396"/>
      <c r="F22" s="396"/>
      <c r="G22" s="396"/>
      <c r="H22" s="396"/>
      <c r="I22" s="396"/>
      <c r="J22" s="396"/>
      <c r="K22" s="396"/>
      <c r="L22" s="396"/>
      <c r="M22" s="396"/>
      <c r="N22" s="396"/>
      <c r="O22" s="396"/>
      <c r="P22" s="396"/>
      <c r="Q22" s="396"/>
      <c r="R22" s="396"/>
      <c r="S22" s="396"/>
      <c r="T22" s="396"/>
      <c r="U22" s="396"/>
      <c r="V22" s="396"/>
      <c r="W22" s="396"/>
      <c r="X22" s="396"/>
      <c r="Y22" s="396"/>
      <c r="Z22" s="396"/>
      <c r="AA22" s="396"/>
      <c r="AB22" s="396"/>
      <c r="AC22" s="396"/>
      <c r="AD22" s="396"/>
      <c r="AE22" s="396"/>
      <c r="AF22" s="396"/>
      <c r="AG22" s="396"/>
      <c r="AH22" s="396"/>
      <c r="AI22" s="396"/>
      <c r="AJ22" s="396"/>
      <c r="AK22" s="396"/>
      <c r="AL22" s="396"/>
      <c r="AM22" s="396"/>
      <c r="AN22" s="396"/>
      <c r="AO22" s="396"/>
      <c r="AP22" s="396"/>
      <c r="AQ22" s="396"/>
      <c r="AR22" s="396"/>
      <c r="AS22" s="396"/>
      <c r="AT22" s="396"/>
      <c r="AU22" s="396"/>
      <c r="AV22" s="396"/>
      <c r="AW22" s="396"/>
      <c r="AX22" s="396"/>
      <c r="AY22" s="396"/>
      <c r="AZ22" s="396"/>
      <c r="BA22" s="396"/>
      <c r="BB22" s="396"/>
      <c r="BC22" s="396"/>
      <c r="BD22" s="396"/>
      <c r="BE22" s="396"/>
      <c r="BF22" s="396"/>
      <c r="BG22" s="396"/>
      <c r="BH22" s="396"/>
      <c r="BI22" s="396"/>
      <c r="BJ22" s="396"/>
      <c r="BK22" s="396"/>
      <c r="BL22" s="396"/>
      <c r="BM22" s="396"/>
      <c r="BN22" s="396"/>
      <c r="BO22" s="396"/>
    </row>
    <row r="23" spans="1:67" x14ac:dyDescent="0.25">
      <c r="A23" s="315" t="s">
        <v>418</v>
      </c>
      <c r="B23" s="396">
        <f>('Upstream Recovery'!E128+'Upstream Recovery'!F128)/12*1000*'Upstream Allocation'!$Q$32</f>
        <v>30876.473207613286</v>
      </c>
      <c r="C23" s="396">
        <f>B23</f>
        <v>30876.473207613286</v>
      </c>
      <c r="D23" s="396">
        <f t="shared" ref="D23:M23" si="32">C23</f>
        <v>30876.473207613286</v>
      </c>
      <c r="E23" s="396">
        <f t="shared" si="32"/>
        <v>30876.473207613286</v>
      </c>
      <c r="F23" s="396">
        <f t="shared" si="32"/>
        <v>30876.473207613286</v>
      </c>
      <c r="G23" s="396">
        <f t="shared" si="32"/>
        <v>30876.473207613286</v>
      </c>
      <c r="H23" s="396">
        <f t="shared" si="32"/>
        <v>30876.473207613286</v>
      </c>
      <c r="I23" s="396">
        <f t="shared" si="32"/>
        <v>30876.473207613286</v>
      </c>
      <c r="J23" s="396">
        <f t="shared" si="32"/>
        <v>30876.473207613286</v>
      </c>
      <c r="K23" s="396">
        <f t="shared" si="32"/>
        <v>30876.473207613286</v>
      </c>
      <c r="L23" s="396">
        <f t="shared" si="32"/>
        <v>30876.473207613286</v>
      </c>
      <c r="M23" s="396">
        <f t="shared" si="32"/>
        <v>30876.473207613286</v>
      </c>
      <c r="N23" s="396">
        <f>SUM(B23:M23)</f>
        <v>370517.6784913594</v>
      </c>
      <c r="O23" s="396">
        <f>'Upstream Recovery'!G128/12*1000*'Upstream Allocation'!$Q$32</f>
        <v>20186.359753895824</v>
      </c>
      <c r="P23" s="396">
        <f>O23</f>
        <v>20186.359753895824</v>
      </c>
      <c r="Q23" s="396">
        <f t="shared" ref="Q23:Z23" si="33">P23</f>
        <v>20186.359753895824</v>
      </c>
      <c r="R23" s="396">
        <f t="shared" si="33"/>
        <v>20186.359753895824</v>
      </c>
      <c r="S23" s="396">
        <f t="shared" si="33"/>
        <v>20186.359753895824</v>
      </c>
      <c r="T23" s="396">
        <f t="shared" si="33"/>
        <v>20186.359753895824</v>
      </c>
      <c r="U23" s="396">
        <f t="shared" si="33"/>
        <v>20186.359753895824</v>
      </c>
      <c r="V23" s="396">
        <f t="shared" si="33"/>
        <v>20186.359753895824</v>
      </c>
      <c r="W23" s="396">
        <f t="shared" si="33"/>
        <v>20186.359753895824</v>
      </c>
      <c r="X23" s="396">
        <f t="shared" si="33"/>
        <v>20186.359753895824</v>
      </c>
      <c r="Y23" s="396">
        <f t="shared" si="33"/>
        <v>20186.359753895824</v>
      </c>
      <c r="Z23" s="396">
        <f t="shared" si="33"/>
        <v>20186.359753895824</v>
      </c>
      <c r="AA23" s="396">
        <f>SUM(O23:Z23)</f>
        <v>242236.31704674984</v>
      </c>
      <c r="AB23" s="396">
        <f>'Upstream Recovery'!H128/12*1000*'Upstream Allocation'!$Q$32</f>
        <v>19845.254852884646</v>
      </c>
      <c r="AC23" s="396">
        <f>AB23</f>
        <v>19845.254852884646</v>
      </c>
      <c r="AD23" s="396">
        <f t="shared" ref="AD23:AM23" si="34">AC23</f>
        <v>19845.254852884646</v>
      </c>
      <c r="AE23" s="396">
        <f t="shared" si="34"/>
        <v>19845.254852884646</v>
      </c>
      <c r="AF23" s="396">
        <f t="shared" si="34"/>
        <v>19845.254852884646</v>
      </c>
      <c r="AG23" s="396">
        <f t="shared" si="34"/>
        <v>19845.254852884646</v>
      </c>
      <c r="AH23" s="396">
        <f t="shared" si="34"/>
        <v>19845.254852884646</v>
      </c>
      <c r="AI23" s="396">
        <f t="shared" si="34"/>
        <v>19845.254852884646</v>
      </c>
      <c r="AJ23" s="396">
        <f t="shared" si="34"/>
        <v>19845.254852884646</v>
      </c>
      <c r="AK23" s="396">
        <f t="shared" si="34"/>
        <v>19845.254852884646</v>
      </c>
      <c r="AL23" s="396">
        <f t="shared" si="34"/>
        <v>19845.254852884646</v>
      </c>
      <c r="AM23" s="396">
        <f t="shared" si="34"/>
        <v>19845.254852884646</v>
      </c>
      <c r="AN23" s="396">
        <f>SUM(AB23:AM23)</f>
        <v>238143.0582346158</v>
      </c>
      <c r="AO23" s="396">
        <f>'Upstream Recovery'!I128/12*1000*'Upstream Allocation'!$Q$32</f>
        <v>19504.149951873474</v>
      </c>
      <c r="AP23" s="396">
        <f>AO23</f>
        <v>19504.149951873474</v>
      </c>
      <c r="AQ23" s="396">
        <f t="shared" ref="AQ23:BM23" si="35">AP23</f>
        <v>19504.149951873474</v>
      </c>
      <c r="AR23" s="396">
        <f t="shared" si="35"/>
        <v>19504.149951873474</v>
      </c>
      <c r="AS23" s="396">
        <f t="shared" si="35"/>
        <v>19504.149951873474</v>
      </c>
      <c r="AT23" s="396">
        <f t="shared" si="35"/>
        <v>19504.149951873474</v>
      </c>
      <c r="AU23" s="396">
        <f t="shared" si="35"/>
        <v>19504.149951873474</v>
      </c>
      <c r="AV23" s="396">
        <f t="shared" si="35"/>
        <v>19504.149951873474</v>
      </c>
      <c r="AW23" s="396">
        <f t="shared" si="35"/>
        <v>19504.149951873474</v>
      </c>
      <c r="AX23" s="396">
        <f t="shared" si="35"/>
        <v>19504.149951873474</v>
      </c>
      <c r="AY23" s="396">
        <f t="shared" si="35"/>
        <v>19504.149951873474</v>
      </c>
      <c r="AZ23" s="396">
        <f t="shared" si="35"/>
        <v>19504.149951873474</v>
      </c>
      <c r="BA23" s="396">
        <f>SUM(AO23:AZ23)</f>
        <v>234049.79942248165</v>
      </c>
      <c r="BB23" s="396">
        <f>'Upstream Recovery'!J128/12*1000*'Upstream Allocation'!$Q$32</f>
        <v>19163.045050862296</v>
      </c>
      <c r="BC23" s="396">
        <f>BB23</f>
        <v>19163.045050862296</v>
      </c>
      <c r="BD23" s="396">
        <f t="shared" si="35"/>
        <v>19163.045050862296</v>
      </c>
      <c r="BE23" s="396">
        <f t="shared" si="35"/>
        <v>19163.045050862296</v>
      </c>
      <c r="BF23" s="396">
        <f t="shared" si="35"/>
        <v>19163.045050862296</v>
      </c>
      <c r="BG23" s="396">
        <f t="shared" si="35"/>
        <v>19163.045050862296</v>
      </c>
      <c r="BH23" s="396">
        <f t="shared" si="35"/>
        <v>19163.045050862296</v>
      </c>
      <c r="BI23" s="396">
        <f t="shared" si="35"/>
        <v>19163.045050862296</v>
      </c>
      <c r="BJ23" s="396">
        <f t="shared" si="35"/>
        <v>19163.045050862296</v>
      </c>
      <c r="BK23" s="396">
        <f t="shared" si="35"/>
        <v>19163.045050862296</v>
      </c>
      <c r="BL23" s="396">
        <f t="shared" si="35"/>
        <v>19163.045050862296</v>
      </c>
      <c r="BM23" s="396">
        <f t="shared" si="35"/>
        <v>19163.045050862296</v>
      </c>
      <c r="BN23" s="396">
        <f>SUM(BB23:BM23)</f>
        <v>229956.54061034761</v>
      </c>
      <c r="BO23" s="396"/>
    </row>
    <row r="24" spans="1:67" x14ac:dyDescent="0.25">
      <c r="A24" s="315" t="s">
        <v>419</v>
      </c>
      <c r="B24" s="396">
        <f>'S&amp;TVA Q4 2020'!B48</f>
        <v>0</v>
      </c>
      <c r="C24" s="396">
        <f>'S&amp;TVA Q4 2020'!C48</f>
        <v>0</v>
      </c>
      <c r="D24" s="396">
        <f>'S&amp;TVA Q4 2020'!D48</f>
        <v>0</v>
      </c>
      <c r="E24" s="396">
        <f>'S&amp;TVA Q4 2020'!E48</f>
        <v>0</v>
      </c>
      <c r="F24" s="396">
        <f>'S&amp;TVA Q4 2020'!F48</f>
        <v>0</v>
      </c>
      <c r="G24" s="396">
        <f>'S&amp;TVA Q4 2020'!G48</f>
        <v>0</v>
      </c>
      <c r="H24" s="396">
        <f>'S&amp;TVA Q4 2020'!H48</f>
        <v>0</v>
      </c>
      <c r="I24" s="396">
        <f>'S&amp;TVA Q4 2020'!I48</f>
        <v>0</v>
      </c>
      <c r="J24" s="396">
        <f>'S&amp;TVA Q4 2020'!J48</f>
        <v>1.74</v>
      </c>
      <c r="K24" s="396">
        <f>'S&amp;TVA Q4 2020'!K48</f>
        <v>-266.36</v>
      </c>
      <c r="L24" s="396">
        <f>'S&amp;TVA Q4 2020'!L48</f>
        <v>22.6</v>
      </c>
      <c r="M24" s="396">
        <f>'S&amp;TVA Q4 2020'!M48</f>
        <v>68.92</v>
      </c>
      <c r="N24" s="396">
        <f>SUM(B24:M24)</f>
        <v>-173.10000000000002</v>
      </c>
      <c r="O24" s="396">
        <f>'S&amp;TVA 2021'!B50</f>
        <v>364.33</v>
      </c>
      <c r="P24" s="396">
        <f>'S&amp;TVA 2021'!C50</f>
        <v>809.39</v>
      </c>
      <c r="Q24" s="396">
        <f>'S&amp;TVA 2021'!D50</f>
        <v>1670.99</v>
      </c>
      <c r="R24" s="396">
        <f>'S&amp;TVA 2021'!E50</f>
        <v>1848.2299999999996</v>
      </c>
      <c r="S24" s="396">
        <f>'S&amp;TVA 2021'!F50</f>
        <v>1524.4399999999987</v>
      </c>
      <c r="T24" s="396">
        <f>'S&amp;TVA 2021'!G50</f>
        <v>1098.7699999999986</v>
      </c>
      <c r="U24" s="396">
        <f>'S&amp;TVA 2021'!H50</f>
        <v>641.57999999999993</v>
      </c>
      <c r="V24" s="396">
        <f>'S&amp;TVA 2021'!I50</f>
        <v>549.77999999999884</v>
      </c>
      <c r="W24" s="396">
        <f>'S&amp;TVA 2021'!J50</f>
        <v>573.32999999999993</v>
      </c>
      <c r="X24" s="396">
        <f>'S&amp;TVA 2021'!K50</f>
        <v>749.13999999999942</v>
      </c>
      <c r="Y24" s="396">
        <f>'S&amp;TVA 2021'!L50</f>
        <v>1696.9299999999985</v>
      </c>
      <c r="Z24" s="396">
        <f>'S&amp;TVA 2021'!M50</f>
        <v>4840.8399999999983</v>
      </c>
      <c r="AA24" s="396">
        <f>SUM(O24:Z24)</f>
        <v>16367.749999999991</v>
      </c>
      <c r="AB24" s="396">
        <f>'S&amp;TVA 2022'!B50</f>
        <v>8631.69</v>
      </c>
      <c r="AC24" s="396">
        <f>'S&amp;TVA 2022'!C50</f>
        <v>10936.460000000001</v>
      </c>
      <c r="AD24" s="396">
        <f>'S&amp;TVA 2022'!D50</f>
        <v>10652.249999999998</v>
      </c>
      <c r="AE24" s="396">
        <f>'S&amp;TVA 2022'!E50</f>
        <v>10317.85</v>
      </c>
      <c r="AF24" s="396">
        <f>'S&amp;TVA 2022'!F50</f>
        <v>7130.8799999999992</v>
      </c>
      <c r="AG24" s="396">
        <f>'S&amp;TVA 2022'!G50</f>
        <v>6885.8799999999992</v>
      </c>
      <c r="AH24" s="396">
        <f>'S&amp;TVA 2022'!H50</f>
        <v>3119.8799999999992</v>
      </c>
      <c r="AI24" s="396">
        <f>'S&amp;TVA 2022'!I50</f>
        <v>3556.7099999999991</v>
      </c>
      <c r="AJ24" s="396">
        <f>'S&amp;TVA 2022'!J50</f>
        <v>1027.3199999999997</v>
      </c>
      <c r="AK24" s="396">
        <f>'S&amp;TVA 2022'!K50</f>
        <v>1670.6599999999999</v>
      </c>
      <c r="AL24" s="396">
        <f>'S&amp;TVA 2022'!L50</f>
        <v>4449.2999999999993</v>
      </c>
      <c r="AM24" s="396">
        <f>'S&amp;TVA 2022'!M50</f>
        <v>8566.3100000003978</v>
      </c>
      <c r="AN24" s="396">
        <f>SUM(AB24:AM24)</f>
        <v>76945.190000000381</v>
      </c>
      <c r="AO24" s="396">
        <f>'S&amp;TVA 2023'!B51</f>
        <v>16258.99</v>
      </c>
      <c r="AP24" s="396">
        <f>'S&amp;TVA 2023'!C51</f>
        <v>15188.61</v>
      </c>
      <c r="AQ24" s="396">
        <f>'S&amp;TVA 2023'!D51</f>
        <v>16043.07</v>
      </c>
      <c r="AR24" s="396">
        <f>'S&amp;TVA 2023'!E51</f>
        <v>16213.37</v>
      </c>
      <c r="AS24" s="396">
        <f>'S&amp;TVA 2023'!F51</f>
        <v>10115.64</v>
      </c>
      <c r="AT24" s="396">
        <f>'S&amp;TVA 2023'!G51</f>
        <v>6262.48</v>
      </c>
      <c r="AU24" s="396">
        <f>'S&amp;TVA 2023'!H51</f>
        <v>2387.2799999999447</v>
      </c>
      <c r="AV24" s="396">
        <f>'S&amp;TVA 2023'!I51</f>
        <v>1617.4599999999878</v>
      </c>
      <c r="AW24" s="396">
        <f>'S&amp;TVA 2023'!J51</f>
        <v>2271.98</v>
      </c>
      <c r="AX24" s="396">
        <f>'S&amp;TVA 2023'!K51</f>
        <v>2400.1799999999998</v>
      </c>
      <c r="AY24" s="396">
        <f>'S&amp;TVA 2023'!L51</f>
        <v>6731.7199999998011</v>
      </c>
      <c r="AZ24" s="396">
        <f>'S&amp;TVA 2023'!M51</f>
        <v>15502.529999999877</v>
      </c>
      <c r="BA24" s="396">
        <f>SUM(AO24:AZ24)</f>
        <v>110993.30999999959</v>
      </c>
      <c r="BB24" s="396">
        <f>'S&amp;TVA 2024'!B61</f>
        <v>19114</v>
      </c>
      <c r="BC24" s="396">
        <f>'S&amp;TVA 2024'!C61</f>
        <v>29035</v>
      </c>
      <c r="BD24" s="396">
        <f>'S&amp;TVA 2024'!D61</f>
        <v>23034</v>
      </c>
      <c r="BE24" s="396">
        <f>'S&amp;TVA 2024'!E61</f>
        <v>22267.999999999967</v>
      </c>
      <c r="BF24" s="396">
        <f>'S&amp;TVA 2024'!F61</f>
        <v>12084.819999999636</v>
      </c>
      <c r="BG24" s="396">
        <f>'S&amp;TVA 2024'!G61</f>
        <v>5831.4699999998793</v>
      </c>
      <c r="BH24" s="396">
        <f>'S&amp;TVA 2024'!H61</f>
        <v>3032.3599999999601</v>
      </c>
      <c r="BI24" s="396">
        <f>'S&amp;TVA 2024'!I61</f>
        <v>2755.4299999999771</v>
      </c>
      <c r="BJ24" s="396">
        <f>'S&amp;TVA 2024'!J61</f>
        <v>3062.9899999999684</v>
      </c>
      <c r="BK24" s="396">
        <f>'S&amp;TVA 2024'!K61</f>
        <v>2796.0199999999654</v>
      </c>
      <c r="BL24" s="396">
        <f>'S&amp;TVA 2024'!L61</f>
        <v>8708.3799999997937</v>
      </c>
      <c r="BM24" s="396">
        <f>'S&amp;TVA 2024'!M61</f>
        <v>17583.319999999851</v>
      </c>
      <c r="BN24" s="396">
        <f>SUM(BB24:BM24)</f>
        <v>149305.78999999899</v>
      </c>
      <c r="BO24" s="396"/>
    </row>
    <row r="25" spans="1:67" x14ac:dyDescent="0.25">
      <c r="B25" s="396"/>
      <c r="C25" s="396"/>
      <c r="D25" s="396"/>
      <c r="E25" s="396"/>
      <c r="F25" s="396"/>
      <c r="G25" s="396"/>
      <c r="H25" s="396"/>
      <c r="I25" s="396"/>
      <c r="J25" s="396"/>
      <c r="K25" s="396"/>
      <c r="L25" s="396"/>
      <c r="M25" s="396"/>
      <c r="N25" s="396"/>
      <c r="O25" s="396"/>
      <c r="P25" s="396"/>
      <c r="Q25" s="396"/>
      <c r="R25" s="396"/>
      <c r="S25" s="396"/>
      <c r="T25" s="396"/>
      <c r="U25" s="396"/>
      <c r="V25" s="396"/>
      <c r="W25" s="396"/>
      <c r="X25" s="396"/>
      <c r="Y25" s="396"/>
      <c r="Z25" s="396"/>
      <c r="AA25" s="396"/>
      <c r="AB25" s="396"/>
      <c r="AC25" s="396"/>
      <c r="AD25" s="396"/>
      <c r="AE25" s="396"/>
      <c r="AF25" s="396"/>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6"/>
      <c r="BC25" s="396"/>
      <c r="BD25" s="396"/>
      <c r="BE25" s="396"/>
      <c r="BF25" s="396"/>
      <c r="BG25" s="396"/>
      <c r="BH25" s="396"/>
      <c r="BI25" s="396"/>
      <c r="BJ25" s="396"/>
      <c r="BK25" s="396"/>
      <c r="BL25" s="396"/>
      <c r="BM25" s="396"/>
      <c r="BN25" s="396"/>
      <c r="BO25" s="396"/>
    </row>
    <row r="26" spans="1:67" x14ac:dyDescent="0.25">
      <c r="A26" s="315" t="s">
        <v>417</v>
      </c>
      <c r="B26" s="396">
        <f>B23-B24</f>
        <v>30876.473207613286</v>
      </c>
      <c r="C26" s="396">
        <f t="shared" ref="C26:M26" si="36">C23-C24</f>
        <v>30876.473207613286</v>
      </c>
      <c r="D26" s="396">
        <f t="shared" si="36"/>
        <v>30876.473207613286</v>
      </c>
      <c r="E26" s="396">
        <f t="shared" si="36"/>
        <v>30876.473207613286</v>
      </c>
      <c r="F26" s="396">
        <f t="shared" si="36"/>
        <v>30876.473207613286</v>
      </c>
      <c r="G26" s="396">
        <f t="shared" si="36"/>
        <v>30876.473207613286</v>
      </c>
      <c r="H26" s="396">
        <f t="shared" si="36"/>
        <v>30876.473207613286</v>
      </c>
      <c r="I26" s="396">
        <f t="shared" si="36"/>
        <v>30876.473207613286</v>
      </c>
      <c r="J26" s="396">
        <f t="shared" si="36"/>
        <v>30874.733207613284</v>
      </c>
      <c r="K26" s="396">
        <f t="shared" si="36"/>
        <v>31142.833207613287</v>
      </c>
      <c r="L26" s="396">
        <f t="shared" si="36"/>
        <v>30853.873207613287</v>
      </c>
      <c r="M26" s="396">
        <f t="shared" si="36"/>
        <v>30807.553207613288</v>
      </c>
      <c r="N26" s="396">
        <f>SUM(B26:M26)</f>
        <v>370690.77849135938</v>
      </c>
      <c r="O26" s="396">
        <f>O23-O24</f>
        <v>19822.029753895822</v>
      </c>
      <c r="P26" s="396">
        <f t="shared" ref="P26:Z26" si="37">P23-P24</f>
        <v>19376.969753895824</v>
      </c>
      <c r="Q26" s="396">
        <f t="shared" si="37"/>
        <v>18515.369753895822</v>
      </c>
      <c r="R26" s="396">
        <f t="shared" si="37"/>
        <v>18338.129753895824</v>
      </c>
      <c r="S26" s="396">
        <f t="shared" si="37"/>
        <v>18661.919753895825</v>
      </c>
      <c r="T26" s="396">
        <f t="shared" si="37"/>
        <v>19087.589753895823</v>
      </c>
      <c r="U26" s="396">
        <f t="shared" si="37"/>
        <v>19544.779753895826</v>
      </c>
      <c r="V26" s="396">
        <f t="shared" si="37"/>
        <v>19636.579753895825</v>
      </c>
      <c r="W26" s="396">
        <f t="shared" si="37"/>
        <v>19613.029753895826</v>
      </c>
      <c r="X26" s="396">
        <f t="shared" si="37"/>
        <v>19437.219753895824</v>
      </c>
      <c r="Y26" s="396">
        <f t="shared" si="37"/>
        <v>18489.429753895827</v>
      </c>
      <c r="Z26" s="396">
        <f t="shared" si="37"/>
        <v>15345.519753895825</v>
      </c>
      <c r="AA26" s="396">
        <f>SUM(O26:Z26)</f>
        <v>225868.56704674987</v>
      </c>
      <c r="AB26" s="396">
        <f>AB23-AB24</f>
        <v>11213.564852884645</v>
      </c>
      <c r="AC26" s="396">
        <f t="shared" ref="AC26:AM26" si="38">AC23-AC24</f>
        <v>8908.7948528846446</v>
      </c>
      <c r="AD26" s="396">
        <f t="shared" si="38"/>
        <v>9193.0048528846473</v>
      </c>
      <c r="AE26" s="396">
        <f t="shared" si="38"/>
        <v>9527.4048528846452</v>
      </c>
      <c r="AF26" s="396">
        <f t="shared" si="38"/>
        <v>12714.374852884646</v>
      </c>
      <c r="AG26" s="396">
        <f t="shared" si="38"/>
        <v>12959.374852884646</v>
      </c>
      <c r="AH26" s="396">
        <f t="shared" si="38"/>
        <v>16725.374852884648</v>
      </c>
      <c r="AI26" s="396">
        <f t="shared" si="38"/>
        <v>16288.544852884646</v>
      </c>
      <c r="AJ26" s="396">
        <f t="shared" si="38"/>
        <v>18817.934852884646</v>
      </c>
      <c r="AK26" s="396">
        <f t="shared" si="38"/>
        <v>18174.594852884646</v>
      </c>
      <c r="AL26" s="396">
        <f t="shared" si="38"/>
        <v>15395.954852884646</v>
      </c>
      <c r="AM26" s="396">
        <f t="shared" si="38"/>
        <v>11278.944852884248</v>
      </c>
      <c r="AN26" s="396">
        <f>SUM(AB26:AM26)</f>
        <v>161197.86823461534</v>
      </c>
      <c r="AO26" s="396">
        <f>AO23-AO24</f>
        <v>3245.1599518734747</v>
      </c>
      <c r="AP26" s="396">
        <f t="shared" ref="AP26:AZ26" si="39">AP23-AP24</f>
        <v>4315.5399518734739</v>
      </c>
      <c r="AQ26" s="396">
        <f t="shared" si="39"/>
        <v>3461.0799518734748</v>
      </c>
      <c r="AR26" s="396">
        <f t="shared" si="39"/>
        <v>3290.7799518734737</v>
      </c>
      <c r="AS26" s="396">
        <f t="shared" si="39"/>
        <v>9388.5099518734751</v>
      </c>
      <c r="AT26" s="396">
        <f t="shared" si="39"/>
        <v>13241.669951873475</v>
      </c>
      <c r="AU26" s="396">
        <f t="shared" si="39"/>
        <v>17116.86995187353</v>
      </c>
      <c r="AV26" s="396">
        <f t="shared" si="39"/>
        <v>17886.689951873486</v>
      </c>
      <c r="AW26" s="396">
        <f t="shared" si="39"/>
        <v>17232.169951873475</v>
      </c>
      <c r="AX26" s="396">
        <f t="shared" si="39"/>
        <v>17103.969951873474</v>
      </c>
      <c r="AY26" s="396">
        <f t="shared" si="39"/>
        <v>12772.429951873673</v>
      </c>
      <c r="AZ26" s="396">
        <f t="shared" si="39"/>
        <v>4001.6199518735975</v>
      </c>
      <c r="BA26" s="396">
        <f>SUM(AO26:AZ26)</f>
        <v>123056.48942248207</v>
      </c>
      <c r="BB26" s="396">
        <f>BB23-BB24</f>
        <v>49.045050862296193</v>
      </c>
      <c r="BC26" s="396">
        <f t="shared" ref="BC26:BM26" si="40">BC23-BC24</f>
        <v>-9871.9549491377038</v>
      </c>
      <c r="BD26" s="396">
        <f t="shared" si="40"/>
        <v>-3870.9549491377038</v>
      </c>
      <c r="BE26" s="396">
        <f t="shared" si="40"/>
        <v>-3104.9549491376711</v>
      </c>
      <c r="BF26" s="396">
        <f t="shared" si="40"/>
        <v>7078.2250508626603</v>
      </c>
      <c r="BG26" s="396">
        <f t="shared" si="40"/>
        <v>13331.575050862417</v>
      </c>
      <c r="BH26" s="396">
        <f t="shared" si="40"/>
        <v>16130.685050862336</v>
      </c>
      <c r="BI26" s="396">
        <f t="shared" si="40"/>
        <v>16407.615050862318</v>
      </c>
      <c r="BJ26" s="396">
        <f t="shared" si="40"/>
        <v>16100.055050862327</v>
      </c>
      <c r="BK26" s="396">
        <f t="shared" si="40"/>
        <v>16367.02505086233</v>
      </c>
      <c r="BL26" s="396">
        <f t="shared" si="40"/>
        <v>10454.665050862503</v>
      </c>
      <c r="BM26" s="396">
        <f t="shared" si="40"/>
        <v>1579.7250508624456</v>
      </c>
      <c r="BN26" s="396">
        <f>SUM(BB26:BM26)</f>
        <v>80650.75061034855</v>
      </c>
      <c r="BO26" s="396"/>
    </row>
    <row r="27" spans="1:67" x14ac:dyDescent="0.25">
      <c r="A27" s="392" t="s">
        <v>432</v>
      </c>
      <c r="B27" s="396">
        <f>B26</f>
        <v>30876.473207613286</v>
      </c>
      <c r="C27" s="396">
        <f>C26+B27</f>
        <v>61752.946415226572</v>
      </c>
      <c r="D27" s="396">
        <f t="shared" ref="D27:M27" si="41">D26+C27</f>
        <v>92629.419622839865</v>
      </c>
      <c r="E27" s="396">
        <f t="shared" si="41"/>
        <v>123505.89283045314</v>
      </c>
      <c r="F27" s="396">
        <f t="shared" si="41"/>
        <v>154382.36603806642</v>
      </c>
      <c r="G27" s="396">
        <f t="shared" si="41"/>
        <v>185258.8392456797</v>
      </c>
      <c r="H27" s="396">
        <f t="shared" si="41"/>
        <v>216135.31245329298</v>
      </c>
      <c r="I27" s="396">
        <f t="shared" si="41"/>
        <v>247011.78566090626</v>
      </c>
      <c r="J27" s="396">
        <f t="shared" si="41"/>
        <v>277886.51886851952</v>
      </c>
      <c r="K27" s="396">
        <f t="shared" si="41"/>
        <v>309029.35207613278</v>
      </c>
      <c r="L27" s="396">
        <f t="shared" si="41"/>
        <v>339883.22528374608</v>
      </c>
      <c r="M27" s="396">
        <f t="shared" si="41"/>
        <v>370690.77849135938</v>
      </c>
      <c r="N27" s="396">
        <f>M27</f>
        <v>370690.77849135938</v>
      </c>
      <c r="O27" s="396">
        <f t="shared" ref="O27:Z27" si="42">O26+N27</f>
        <v>390512.8082452552</v>
      </c>
      <c r="P27" s="396">
        <f t="shared" si="42"/>
        <v>409889.77799915103</v>
      </c>
      <c r="Q27" s="396">
        <f t="shared" si="42"/>
        <v>428405.14775304683</v>
      </c>
      <c r="R27" s="396">
        <f t="shared" si="42"/>
        <v>446743.27750694263</v>
      </c>
      <c r="S27" s="396">
        <f t="shared" si="42"/>
        <v>465405.19726083847</v>
      </c>
      <c r="T27" s="396">
        <f t="shared" si="42"/>
        <v>484492.78701473429</v>
      </c>
      <c r="U27" s="396">
        <f t="shared" si="42"/>
        <v>504037.56676863012</v>
      </c>
      <c r="V27" s="396">
        <f t="shared" si="42"/>
        <v>523674.14652252593</v>
      </c>
      <c r="W27" s="396">
        <f t="shared" si="42"/>
        <v>543287.17627642176</v>
      </c>
      <c r="X27" s="396">
        <f t="shared" si="42"/>
        <v>562724.39603031753</v>
      </c>
      <c r="Y27" s="396">
        <f t="shared" si="42"/>
        <v>581213.82578421338</v>
      </c>
      <c r="Z27" s="396">
        <f t="shared" si="42"/>
        <v>596559.34553810919</v>
      </c>
      <c r="AA27" s="396">
        <f>Z27</f>
        <v>596559.34553810919</v>
      </c>
      <c r="AB27" s="396">
        <f t="shared" ref="AB27:AM27" si="43">AB26+AA27</f>
        <v>607772.91039099381</v>
      </c>
      <c r="AC27" s="396">
        <f t="shared" si="43"/>
        <v>616681.70524387842</v>
      </c>
      <c r="AD27" s="396">
        <f t="shared" si="43"/>
        <v>625874.7100967631</v>
      </c>
      <c r="AE27" s="396">
        <f t="shared" si="43"/>
        <v>635402.11494964769</v>
      </c>
      <c r="AF27" s="396">
        <f t="shared" si="43"/>
        <v>648116.48980253236</v>
      </c>
      <c r="AG27" s="396">
        <f t="shared" si="43"/>
        <v>661075.86465541704</v>
      </c>
      <c r="AH27" s="396">
        <f t="shared" si="43"/>
        <v>677801.23950830172</v>
      </c>
      <c r="AI27" s="396">
        <f t="shared" si="43"/>
        <v>694089.78436118632</v>
      </c>
      <c r="AJ27" s="396">
        <f t="shared" si="43"/>
        <v>712907.71921407094</v>
      </c>
      <c r="AK27" s="396">
        <f t="shared" si="43"/>
        <v>731082.31406695559</v>
      </c>
      <c r="AL27" s="396">
        <f t="shared" si="43"/>
        <v>746478.26891984022</v>
      </c>
      <c r="AM27" s="396">
        <f t="shared" si="43"/>
        <v>757757.2137727245</v>
      </c>
      <c r="AN27" s="396">
        <f>AM27</f>
        <v>757757.2137727245</v>
      </c>
      <c r="AO27" s="396">
        <f t="shared" ref="AO27:AZ27" si="44">AO26+AN27</f>
        <v>761002.37372459797</v>
      </c>
      <c r="AP27" s="396">
        <f t="shared" si="44"/>
        <v>765317.91367647145</v>
      </c>
      <c r="AQ27" s="396">
        <f t="shared" si="44"/>
        <v>768778.99362834496</v>
      </c>
      <c r="AR27" s="396">
        <f t="shared" si="44"/>
        <v>772069.77358021843</v>
      </c>
      <c r="AS27" s="396">
        <f t="shared" si="44"/>
        <v>781458.28353209188</v>
      </c>
      <c r="AT27" s="396">
        <f t="shared" si="44"/>
        <v>794699.95348396536</v>
      </c>
      <c r="AU27" s="396">
        <f t="shared" si="44"/>
        <v>811816.82343583892</v>
      </c>
      <c r="AV27" s="396">
        <f t="shared" si="44"/>
        <v>829703.51338771242</v>
      </c>
      <c r="AW27" s="396">
        <f t="shared" si="44"/>
        <v>846935.6833395859</v>
      </c>
      <c r="AX27" s="396">
        <f t="shared" si="44"/>
        <v>864039.65329145943</v>
      </c>
      <c r="AY27" s="396">
        <f t="shared" si="44"/>
        <v>876812.08324333315</v>
      </c>
      <c r="AZ27" s="396">
        <f t="shared" si="44"/>
        <v>880813.7031952067</v>
      </c>
      <c r="BA27" s="396">
        <f>AZ27</f>
        <v>880813.7031952067</v>
      </c>
      <c r="BB27" s="396">
        <f t="shared" ref="BB27:BM27" si="45">BB26+BA27</f>
        <v>880862.74824606895</v>
      </c>
      <c r="BC27" s="396">
        <f t="shared" si="45"/>
        <v>870990.7932969312</v>
      </c>
      <c r="BD27" s="396">
        <f t="shared" si="45"/>
        <v>867119.83834779344</v>
      </c>
      <c r="BE27" s="396">
        <f t="shared" si="45"/>
        <v>864014.8833986558</v>
      </c>
      <c r="BF27" s="396">
        <f t="shared" si="45"/>
        <v>871093.10844951845</v>
      </c>
      <c r="BG27" s="396">
        <f t="shared" si="45"/>
        <v>884424.68350038084</v>
      </c>
      <c r="BH27" s="396">
        <f t="shared" si="45"/>
        <v>900555.36855124321</v>
      </c>
      <c r="BI27" s="396">
        <f t="shared" si="45"/>
        <v>916962.98360210552</v>
      </c>
      <c r="BJ27" s="396">
        <f t="shared" si="45"/>
        <v>933063.03865296789</v>
      </c>
      <c r="BK27" s="396">
        <f t="shared" si="45"/>
        <v>949430.06370383024</v>
      </c>
      <c r="BL27" s="396">
        <f t="shared" si="45"/>
        <v>959884.72875469271</v>
      </c>
      <c r="BM27" s="396">
        <f t="shared" si="45"/>
        <v>961464.45380555512</v>
      </c>
      <c r="BN27" s="396">
        <f>BM27</f>
        <v>961464.45380555512</v>
      </c>
      <c r="BO27" s="396"/>
    </row>
    <row r="28" spans="1:67" x14ac:dyDescent="0.25">
      <c r="A28" s="392"/>
      <c r="B28" s="397"/>
      <c r="C28" s="397"/>
      <c r="D28" s="397"/>
      <c r="E28" s="397"/>
      <c r="F28" s="397"/>
      <c r="G28" s="397"/>
      <c r="H28" s="397"/>
      <c r="I28" s="397"/>
      <c r="J28" s="397"/>
      <c r="K28" s="397"/>
      <c r="L28" s="397"/>
      <c r="M28" s="397"/>
      <c r="N28" s="397"/>
      <c r="O28" s="397"/>
      <c r="P28" s="397"/>
      <c r="Q28" s="397"/>
      <c r="R28" s="397"/>
      <c r="S28" s="397"/>
      <c r="T28" s="397"/>
      <c r="U28" s="397"/>
      <c r="V28" s="397"/>
      <c r="W28" s="397"/>
      <c r="X28" s="397"/>
      <c r="Y28" s="397"/>
      <c r="Z28" s="397"/>
      <c r="AA28" s="397"/>
      <c r="AB28" s="397"/>
      <c r="AC28" s="397"/>
      <c r="AD28" s="397"/>
      <c r="AE28" s="397"/>
      <c r="AF28" s="397"/>
      <c r="AG28" s="397"/>
      <c r="AH28" s="397"/>
      <c r="AI28" s="397"/>
      <c r="AJ28" s="397"/>
      <c r="AK28" s="397"/>
      <c r="AL28" s="397"/>
      <c r="AM28" s="397"/>
      <c r="AN28" s="397"/>
      <c r="AO28" s="397"/>
      <c r="AP28" s="397"/>
      <c r="AQ28" s="397"/>
      <c r="AR28" s="397"/>
      <c r="AS28" s="397"/>
      <c r="AT28" s="397"/>
      <c r="AU28" s="397"/>
      <c r="AV28" s="397"/>
      <c r="AW28" s="397"/>
      <c r="AX28" s="397"/>
      <c r="AY28" s="397"/>
      <c r="AZ28" s="397"/>
      <c r="BA28" s="397"/>
      <c r="BB28" s="397"/>
      <c r="BC28" s="397"/>
      <c r="BD28" s="397"/>
      <c r="BE28" s="397"/>
      <c r="BF28" s="397"/>
      <c r="BG28" s="397"/>
      <c r="BH28" s="397"/>
      <c r="BI28" s="397"/>
      <c r="BJ28" s="397"/>
      <c r="BK28" s="397"/>
      <c r="BL28" s="397"/>
      <c r="BM28" s="397"/>
      <c r="BN28" s="397"/>
      <c r="BO28" s="397"/>
    </row>
    <row r="29" spans="1:67" x14ac:dyDescent="0.25">
      <c r="A29" s="392" t="s">
        <v>433</v>
      </c>
      <c r="B29" s="396">
        <v>0</v>
      </c>
      <c r="C29" s="396">
        <f>B27*C31/12</f>
        <v>95.717066943601182</v>
      </c>
      <c r="D29" s="396">
        <f t="shared" ref="D29:BM29" si="46">C27*D31/12</f>
        <v>191.43413388720236</v>
      </c>
      <c r="E29" s="396">
        <f t="shared" si="46"/>
        <v>287.15120083080359</v>
      </c>
      <c r="F29" s="396">
        <f t="shared" si="46"/>
        <v>382.86826777440473</v>
      </c>
      <c r="G29" s="396">
        <f t="shared" si="46"/>
        <v>478.58533471800587</v>
      </c>
      <c r="H29" s="396">
        <f t="shared" si="46"/>
        <v>574.30240166160706</v>
      </c>
      <c r="I29" s="396">
        <f t="shared" si="46"/>
        <v>670.0194686052082</v>
      </c>
      <c r="J29" s="396">
        <f t="shared" si="46"/>
        <v>765.73653554880923</v>
      </c>
      <c r="K29" s="396">
        <f t="shared" si="46"/>
        <v>861.44820849241034</v>
      </c>
      <c r="L29" s="396">
        <f t="shared" si="46"/>
        <v>957.99099143601154</v>
      </c>
      <c r="M29" s="396">
        <f t="shared" si="46"/>
        <v>1053.6379983796128</v>
      </c>
      <c r="N29" s="396">
        <f>SUM(B29:M29)</f>
        <v>6318.8916082776759</v>
      </c>
      <c r="O29" s="396">
        <f t="shared" si="46"/>
        <v>1149.141413323214</v>
      </c>
      <c r="P29" s="396">
        <f t="shared" si="46"/>
        <v>1210.5897055602911</v>
      </c>
      <c r="Q29" s="396">
        <f t="shared" si="46"/>
        <v>1270.658311797368</v>
      </c>
      <c r="R29" s="396">
        <f t="shared" si="46"/>
        <v>1328.055958034445</v>
      </c>
      <c r="S29" s="396">
        <f t="shared" si="46"/>
        <v>1384.9041602715222</v>
      </c>
      <c r="T29" s="396">
        <f t="shared" si="46"/>
        <v>1442.7561115085991</v>
      </c>
      <c r="U29" s="396">
        <f t="shared" si="46"/>
        <v>1501.9276397456761</v>
      </c>
      <c r="V29" s="396">
        <f t="shared" si="46"/>
        <v>1562.5164569827532</v>
      </c>
      <c r="W29" s="396">
        <f t="shared" si="46"/>
        <v>1623.3898542198303</v>
      </c>
      <c r="X29" s="396">
        <f t="shared" si="46"/>
        <v>1684.1902464569073</v>
      </c>
      <c r="Y29" s="396">
        <f t="shared" si="46"/>
        <v>1744.4456276939843</v>
      </c>
      <c r="Z29" s="396">
        <f t="shared" si="46"/>
        <v>1801.7628599310613</v>
      </c>
      <c r="AA29" s="396">
        <f>SUM(O29:Z29)</f>
        <v>17704.338345525652</v>
      </c>
      <c r="AB29" s="396">
        <f t="shared" si="46"/>
        <v>1849.3339711681383</v>
      </c>
      <c r="AC29" s="396">
        <f t="shared" si="46"/>
        <v>1884.0960222120805</v>
      </c>
      <c r="AD29" s="396">
        <f t="shared" si="46"/>
        <v>1911.7132862560229</v>
      </c>
      <c r="AE29" s="396">
        <f t="shared" si="46"/>
        <v>1940.2116012999657</v>
      </c>
      <c r="AF29" s="396">
        <f t="shared" si="46"/>
        <v>1969.7465563439075</v>
      </c>
      <c r="AG29" s="396">
        <f t="shared" si="46"/>
        <v>2009.1611183878501</v>
      </c>
      <c r="AH29" s="396">
        <f t="shared" si="46"/>
        <v>2049.3351804317927</v>
      </c>
      <c r="AI29" s="396">
        <f t="shared" si="46"/>
        <v>2101.1838424757352</v>
      </c>
      <c r="AJ29" s="396">
        <f t="shared" si="46"/>
        <v>2151.6783315196776</v>
      </c>
      <c r="AK29" s="396">
        <f t="shared" si="46"/>
        <v>2210.0139295636195</v>
      </c>
      <c r="AL29" s="396">
        <f t="shared" si="46"/>
        <v>2266.3551736075619</v>
      </c>
      <c r="AM29" s="396">
        <f t="shared" si="46"/>
        <v>2314.0826336515042</v>
      </c>
      <c r="AN29" s="396">
        <f>SUM(AB29:AM29)</f>
        <v>24656.911646917855</v>
      </c>
      <c r="AO29" s="396">
        <f t="shared" si="46"/>
        <v>2349.0473626954458</v>
      </c>
      <c r="AP29" s="396">
        <f t="shared" si="46"/>
        <v>2359.1073585462536</v>
      </c>
      <c r="AQ29" s="396">
        <f t="shared" si="46"/>
        <v>2372.4855323970614</v>
      </c>
      <c r="AR29" s="396">
        <f t="shared" si="46"/>
        <v>2383.2148802478691</v>
      </c>
      <c r="AS29" s="396">
        <f t="shared" si="46"/>
        <v>2393.4162980986771</v>
      </c>
      <c r="AT29" s="396">
        <f t="shared" si="46"/>
        <v>2422.5206789494846</v>
      </c>
      <c r="AU29" s="396">
        <f t="shared" si="46"/>
        <v>2463.5698558002923</v>
      </c>
      <c r="AV29" s="396">
        <f t="shared" si="46"/>
        <v>2516.6321526511006</v>
      </c>
      <c r="AW29" s="396">
        <f t="shared" si="46"/>
        <v>2572.0808915019084</v>
      </c>
      <c r="AX29" s="396">
        <f t="shared" si="46"/>
        <v>2625.5006183527162</v>
      </c>
      <c r="AY29" s="396">
        <f t="shared" si="46"/>
        <v>2678.5229252035238</v>
      </c>
      <c r="AZ29" s="396">
        <f t="shared" si="46"/>
        <v>2718.1174580543325</v>
      </c>
      <c r="BA29" s="396">
        <f>SUM(AO29:AZ29)</f>
        <v>29854.216012498666</v>
      </c>
      <c r="BB29" s="396">
        <f t="shared" si="46"/>
        <v>2730.5224799051407</v>
      </c>
      <c r="BC29" s="396">
        <f t="shared" si="46"/>
        <v>2730.6745195628137</v>
      </c>
      <c r="BD29" s="396">
        <f t="shared" si="46"/>
        <v>2700.0714592204863</v>
      </c>
      <c r="BE29" s="396">
        <f t="shared" si="46"/>
        <v>2688.0714988781597</v>
      </c>
      <c r="BF29" s="396">
        <f t="shared" si="46"/>
        <v>2678.4461385358327</v>
      </c>
      <c r="BG29" s="396">
        <f t="shared" si="46"/>
        <v>2700.388636193507</v>
      </c>
      <c r="BH29" s="396">
        <f t="shared" si="46"/>
        <v>2741.7165188511804</v>
      </c>
      <c r="BI29" s="396">
        <f t="shared" si="46"/>
        <v>2791.7216425088536</v>
      </c>
      <c r="BJ29" s="396">
        <f t="shared" si="46"/>
        <v>2842.5852491665269</v>
      </c>
      <c r="BK29" s="396">
        <f t="shared" si="46"/>
        <v>2892.4954198241999</v>
      </c>
      <c r="BL29" s="396">
        <f t="shared" si="46"/>
        <v>2943.2331974818735</v>
      </c>
      <c r="BM29" s="396">
        <f t="shared" si="46"/>
        <v>2975.642659139547</v>
      </c>
      <c r="BN29" s="396">
        <f>SUM(BB29:BM29)</f>
        <v>33415.569419268126</v>
      </c>
      <c r="BO29" s="396">
        <f>BN27*BO31</f>
        <v>35766.477681566648</v>
      </c>
    </row>
    <row r="30" spans="1:67" x14ac:dyDescent="0.25">
      <c r="A30" s="392" t="s">
        <v>437</v>
      </c>
      <c r="B30" s="396">
        <f>B29</f>
        <v>0</v>
      </c>
      <c r="C30" s="396">
        <f>C29+B30</f>
        <v>95.717066943601182</v>
      </c>
      <c r="D30" s="396">
        <f t="shared" ref="D30:M30" si="47">D29+C30</f>
        <v>287.15120083080353</v>
      </c>
      <c r="E30" s="396">
        <f t="shared" si="47"/>
        <v>574.30240166160706</v>
      </c>
      <c r="F30" s="396">
        <f t="shared" si="47"/>
        <v>957.17066943601185</v>
      </c>
      <c r="G30" s="396">
        <f t="shared" si="47"/>
        <v>1435.7560041540178</v>
      </c>
      <c r="H30" s="396">
        <f t="shared" si="47"/>
        <v>2010.0584058156248</v>
      </c>
      <c r="I30" s="396">
        <f t="shared" si="47"/>
        <v>2680.0778744208328</v>
      </c>
      <c r="J30" s="396">
        <f t="shared" si="47"/>
        <v>3445.8144099696419</v>
      </c>
      <c r="K30" s="396">
        <f t="shared" si="47"/>
        <v>4307.2626184620522</v>
      </c>
      <c r="L30" s="396">
        <f t="shared" si="47"/>
        <v>5265.2536098980636</v>
      </c>
      <c r="M30" s="396">
        <f t="shared" si="47"/>
        <v>6318.8916082776759</v>
      </c>
      <c r="N30" s="396">
        <f>M30</f>
        <v>6318.8916082776759</v>
      </c>
      <c r="O30" s="396">
        <f t="shared" ref="O30:Z30" si="48">O29+N30</f>
        <v>7468.0330216008897</v>
      </c>
      <c r="P30" s="396">
        <f t="shared" si="48"/>
        <v>8678.6227271611806</v>
      </c>
      <c r="Q30" s="396">
        <f t="shared" si="48"/>
        <v>9949.2810389585484</v>
      </c>
      <c r="R30" s="396">
        <f t="shared" si="48"/>
        <v>11277.336996992994</v>
      </c>
      <c r="S30" s="396">
        <f t="shared" si="48"/>
        <v>12662.241157264516</v>
      </c>
      <c r="T30" s="396">
        <f t="shared" si="48"/>
        <v>14104.997268773115</v>
      </c>
      <c r="U30" s="396">
        <f t="shared" si="48"/>
        <v>15606.924908518791</v>
      </c>
      <c r="V30" s="396">
        <f t="shared" si="48"/>
        <v>17169.441365501545</v>
      </c>
      <c r="W30" s="396">
        <f t="shared" si="48"/>
        <v>18792.831219721375</v>
      </c>
      <c r="X30" s="396">
        <f t="shared" si="48"/>
        <v>20477.021466178281</v>
      </c>
      <c r="Y30" s="396">
        <f t="shared" si="48"/>
        <v>22221.467093872267</v>
      </c>
      <c r="Z30" s="396">
        <f t="shared" si="48"/>
        <v>24023.229953803329</v>
      </c>
      <c r="AA30" s="396">
        <f>Z30</f>
        <v>24023.229953803329</v>
      </c>
      <c r="AB30" s="396">
        <f t="shared" ref="AB30:AM30" si="49">AB29+AA30</f>
        <v>25872.563924971466</v>
      </c>
      <c r="AC30" s="396">
        <f t="shared" si="49"/>
        <v>27756.659947183547</v>
      </c>
      <c r="AD30" s="396">
        <f t="shared" si="49"/>
        <v>29668.373233439568</v>
      </c>
      <c r="AE30" s="396">
        <f t="shared" si="49"/>
        <v>31608.584834739533</v>
      </c>
      <c r="AF30" s="396">
        <f t="shared" si="49"/>
        <v>33578.33139108344</v>
      </c>
      <c r="AG30" s="396">
        <f t="shared" si="49"/>
        <v>35587.492509471289</v>
      </c>
      <c r="AH30" s="396">
        <f t="shared" si="49"/>
        <v>37636.827689903083</v>
      </c>
      <c r="AI30" s="396">
        <f t="shared" si="49"/>
        <v>39738.01153237882</v>
      </c>
      <c r="AJ30" s="396">
        <f t="shared" si="49"/>
        <v>41889.6898638985</v>
      </c>
      <c r="AK30" s="396">
        <f t="shared" si="49"/>
        <v>44099.703793462118</v>
      </c>
      <c r="AL30" s="396">
        <f t="shared" si="49"/>
        <v>46366.058967069679</v>
      </c>
      <c r="AM30" s="396">
        <f t="shared" si="49"/>
        <v>48680.141600721181</v>
      </c>
      <c r="AN30" s="396">
        <f>AM30</f>
        <v>48680.141600721181</v>
      </c>
      <c r="AO30" s="396">
        <f t="shared" ref="AO30:AZ30" si="50">AO29+AN30</f>
        <v>51029.188963416629</v>
      </c>
      <c r="AP30" s="396">
        <f t="shared" si="50"/>
        <v>53388.29632196288</v>
      </c>
      <c r="AQ30" s="396">
        <f t="shared" si="50"/>
        <v>55760.781854359942</v>
      </c>
      <c r="AR30" s="396">
        <f t="shared" si="50"/>
        <v>58143.996734607812</v>
      </c>
      <c r="AS30" s="396">
        <f t="shared" si="50"/>
        <v>60537.413032706492</v>
      </c>
      <c r="AT30" s="396">
        <f t="shared" si="50"/>
        <v>62959.933711655976</v>
      </c>
      <c r="AU30" s="396">
        <f t="shared" si="50"/>
        <v>65423.503567456268</v>
      </c>
      <c r="AV30" s="396">
        <f t="shared" si="50"/>
        <v>67940.13572010737</v>
      </c>
      <c r="AW30" s="396">
        <f t="shared" si="50"/>
        <v>70512.216611609285</v>
      </c>
      <c r="AX30" s="396">
        <f t="shared" si="50"/>
        <v>73137.717229962</v>
      </c>
      <c r="AY30" s="396">
        <f t="shared" si="50"/>
        <v>75816.24015516552</v>
      </c>
      <c r="AZ30" s="396">
        <f t="shared" si="50"/>
        <v>78534.35761321985</v>
      </c>
      <c r="BA30" s="396">
        <f>AZ30</f>
        <v>78534.35761321985</v>
      </c>
      <c r="BB30" s="396">
        <f t="shared" ref="BB30:BM30" si="51">BB29+BA30</f>
        <v>81264.880093124986</v>
      </c>
      <c r="BC30" s="396">
        <f t="shared" si="51"/>
        <v>83995.554612687803</v>
      </c>
      <c r="BD30" s="396">
        <f t="shared" si="51"/>
        <v>86695.626071908293</v>
      </c>
      <c r="BE30" s="396">
        <f t="shared" si="51"/>
        <v>89383.697570786448</v>
      </c>
      <c r="BF30" s="396">
        <f t="shared" si="51"/>
        <v>92062.143709322278</v>
      </c>
      <c r="BG30" s="396">
        <f t="shared" si="51"/>
        <v>94762.532345515778</v>
      </c>
      <c r="BH30" s="396">
        <f t="shared" si="51"/>
        <v>97504.248864366964</v>
      </c>
      <c r="BI30" s="396">
        <f t="shared" si="51"/>
        <v>100295.97050687582</v>
      </c>
      <c r="BJ30" s="396">
        <f t="shared" si="51"/>
        <v>103138.55575604235</v>
      </c>
      <c r="BK30" s="396">
        <f t="shared" si="51"/>
        <v>106031.05117586655</v>
      </c>
      <c r="BL30" s="396">
        <f t="shared" si="51"/>
        <v>108974.28437334843</v>
      </c>
      <c r="BM30" s="396">
        <f t="shared" si="51"/>
        <v>111949.92703248798</v>
      </c>
      <c r="BN30" s="396">
        <f>BM30</f>
        <v>111949.92703248798</v>
      </c>
      <c r="BO30" s="396"/>
    </row>
    <row r="31" spans="1:67" x14ac:dyDescent="0.25">
      <c r="A31" s="392" t="s">
        <v>434</v>
      </c>
      <c r="B31" s="398">
        <f>Staff16_TVA!B31</f>
        <v>3.7199999999999997E-2</v>
      </c>
      <c r="C31" s="398">
        <f>Staff16_TVA!C31</f>
        <v>3.7199999999999997E-2</v>
      </c>
      <c r="D31" s="398">
        <f>Staff16_TVA!D31</f>
        <v>3.7199999999999997E-2</v>
      </c>
      <c r="E31" s="398">
        <f>Staff16_TVA!E31</f>
        <v>3.7199999999999997E-2</v>
      </c>
      <c r="F31" s="398">
        <f>Staff16_TVA!F31</f>
        <v>3.7199999999999997E-2</v>
      </c>
      <c r="G31" s="398">
        <f>Staff16_TVA!G31</f>
        <v>3.7199999999999997E-2</v>
      </c>
      <c r="H31" s="398">
        <f>Staff16_TVA!H31</f>
        <v>3.7199999999999997E-2</v>
      </c>
      <c r="I31" s="398">
        <f>Staff16_TVA!I31</f>
        <v>3.7199999999999997E-2</v>
      </c>
      <c r="J31" s="398">
        <f>Staff16_TVA!J31</f>
        <v>3.7199999999999997E-2</v>
      </c>
      <c r="K31" s="398">
        <f>Staff16_TVA!K31</f>
        <v>3.7199999999999997E-2</v>
      </c>
      <c r="L31" s="398">
        <f>Staff16_TVA!L31</f>
        <v>3.7199999999999997E-2</v>
      </c>
      <c r="M31" s="398">
        <f>Staff16_TVA!M31</f>
        <v>3.7199999999999997E-2</v>
      </c>
      <c r="N31" s="398"/>
      <c r="O31" s="398">
        <f>Staff16_TVA!O31</f>
        <v>3.7199999999999997E-2</v>
      </c>
      <c r="P31" s="398">
        <f>Staff16_TVA!P31</f>
        <v>3.7199999999999997E-2</v>
      </c>
      <c r="Q31" s="398">
        <f>Staff16_TVA!Q31</f>
        <v>3.7199999999999997E-2</v>
      </c>
      <c r="R31" s="398">
        <f>Staff16_TVA!R31</f>
        <v>3.7199999999999997E-2</v>
      </c>
      <c r="S31" s="398">
        <f>Staff16_TVA!S31</f>
        <v>3.7199999999999997E-2</v>
      </c>
      <c r="T31" s="398">
        <f>Staff16_TVA!T31</f>
        <v>3.7199999999999997E-2</v>
      </c>
      <c r="U31" s="398">
        <f>Staff16_TVA!U31</f>
        <v>3.7199999999999997E-2</v>
      </c>
      <c r="V31" s="398">
        <f>Staff16_TVA!V31</f>
        <v>3.7199999999999997E-2</v>
      </c>
      <c r="W31" s="398">
        <f>Staff16_TVA!W31</f>
        <v>3.7199999999999997E-2</v>
      </c>
      <c r="X31" s="398">
        <f>Staff16_TVA!X31</f>
        <v>3.7199999999999997E-2</v>
      </c>
      <c r="Y31" s="398">
        <f>Staff16_TVA!Y31</f>
        <v>3.7199999999999997E-2</v>
      </c>
      <c r="Z31" s="398">
        <f>Staff16_TVA!Z31</f>
        <v>3.7199999999999997E-2</v>
      </c>
      <c r="AA31" s="398"/>
      <c r="AB31" s="398">
        <f>Staff16_TVA!AB31</f>
        <v>3.7199999999999997E-2</v>
      </c>
      <c r="AC31" s="398">
        <f>Staff16_TVA!AC31</f>
        <v>3.7199999999999997E-2</v>
      </c>
      <c r="AD31" s="398">
        <f>Staff16_TVA!AD31</f>
        <v>3.7199999999999997E-2</v>
      </c>
      <c r="AE31" s="398">
        <f>Staff16_TVA!AE31</f>
        <v>3.7199999999999997E-2</v>
      </c>
      <c r="AF31" s="398">
        <f>Staff16_TVA!AF31</f>
        <v>3.7199999999999997E-2</v>
      </c>
      <c r="AG31" s="398">
        <f>Staff16_TVA!AG31</f>
        <v>3.7199999999999997E-2</v>
      </c>
      <c r="AH31" s="398">
        <f>Staff16_TVA!AH31</f>
        <v>3.7199999999999997E-2</v>
      </c>
      <c r="AI31" s="398">
        <f>Staff16_TVA!AI31</f>
        <v>3.7199999999999997E-2</v>
      </c>
      <c r="AJ31" s="398">
        <f>Staff16_TVA!AJ31</f>
        <v>3.7199999999999997E-2</v>
      </c>
      <c r="AK31" s="398">
        <f>Staff16_TVA!AK31</f>
        <v>3.7199999999999997E-2</v>
      </c>
      <c r="AL31" s="398">
        <f>Staff16_TVA!AL31</f>
        <v>3.7199999999999997E-2</v>
      </c>
      <c r="AM31" s="398">
        <f>Staff16_TVA!AM31</f>
        <v>3.7199999999999997E-2</v>
      </c>
      <c r="AN31" s="398"/>
      <c r="AO31" s="398">
        <f>Staff16_TVA!AO31</f>
        <v>3.7199999999999997E-2</v>
      </c>
      <c r="AP31" s="398">
        <f>Staff16_TVA!AP31</f>
        <v>3.7199999999999997E-2</v>
      </c>
      <c r="AQ31" s="398">
        <f>Staff16_TVA!AQ31</f>
        <v>3.7199999999999997E-2</v>
      </c>
      <c r="AR31" s="398">
        <f>Staff16_TVA!AR31</f>
        <v>3.7199999999999997E-2</v>
      </c>
      <c r="AS31" s="398">
        <f>Staff16_TVA!AS31</f>
        <v>3.7199999999999997E-2</v>
      </c>
      <c r="AT31" s="398">
        <f>Staff16_TVA!AT31</f>
        <v>3.7199999999999997E-2</v>
      </c>
      <c r="AU31" s="398">
        <f>Staff16_TVA!AU31</f>
        <v>3.7199999999999997E-2</v>
      </c>
      <c r="AV31" s="398">
        <f>Staff16_TVA!AV31</f>
        <v>3.7199999999999997E-2</v>
      </c>
      <c r="AW31" s="398">
        <f>Staff16_TVA!AW31</f>
        <v>3.7199999999999997E-2</v>
      </c>
      <c r="AX31" s="398">
        <f>Staff16_TVA!AX31</f>
        <v>3.7199999999999997E-2</v>
      </c>
      <c r="AY31" s="398">
        <f>Staff16_TVA!AY31</f>
        <v>3.7199999999999997E-2</v>
      </c>
      <c r="AZ31" s="398">
        <f>Staff16_TVA!AZ31</f>
        <v>3.7199999999999997E-2</v>
      </c>
      <c r="BA31" s="398"/>
      <c r="BB31" s="398">
        <f>Staff16_TVA!BB31</f>
        <v>3.7199999999999997E-2</v>
      </c>
      <c r="BC31" s="398">
        <f>Staff16_TVA!BC31</f>
        <v>3.7199999999999997E-2</v>
      </c>
      <c r="BD31" s="398">
        <f>Staff16_TVA!BD31</f>
        <v>3.7199999999999997E-2</v>
      </c>
      <c r="BE31" s="398">
        <f>Staff16_TVA!BE31</f>
        <v>3.7199999999999997E-2</v>
      </c>
      <c r="BF31" s="398">
        <f>Staff16_TVA!BF31</f>
        <v>3.7199999999999997E-2</v>
      </c>
      <c r="BG31" s="398">
        <f>Staff16_TVA!BG31</f>
        <v>3.7199999999999997E-2</v>
      </c>
      <c r="BH31" s="398">
        <f>Staff16_TVA!BH31</f>
        <v>3.7199999999999997E-2</v>
      </c>
      <c r="BI31" s="398">
        <f>Staff16_TVA!BI31</f>
        <v>3.7199999999999997E-2</v>
      </c>
      <c r="BJ31" s="398">
        <f>Staff16_TVA!BJ31</f>
        <v>3.7199999999999997E-2</v>
      </c>
      <c r="BK31" s="398">
        <f>Staff16_TVA!BK31</f>
        <v>3.7199999999999997E-2</v>
      </c>
      <c r="BL31" s="398">
        <f>Staff16_TVA!BL31</f>
        <v>3.7199999999999997E-2</v>
      </c>
      <c r="BM31" s="398">
        <f>Staff16_TVA!BM31</f>
        <v>3.7199999999999997E-2</v>
      </c>
      <c r="BN31" s="397"/>
      <c r="BO31" s="398">
        <f>Staff16_TVA!BO31</f>
        <v>3.7199999999999997E-2</v>
      </c>
    </row>
    <row r="32" spans="1:67" x14ac:dyDescent="0.25">
      <c r="A32" s="392"/>
      <c r="B32" s="397"/>
      <c r="C32" s="397"/>
      <c r="D32" s="397"/>
      <c r="E32" s="397"/>
      <c r="F32" s="397"/>
      <c r="G32" s="397"/>
      <c r="H32" s="397"/>
      <c r="I32" s="397"/>
      <c r="J32" s="397"/>
      <c r="K32" s="397"/>
      <c r="L32" s="397"/>
      <c r="M32" s="397"/>
      <c r="N32" s="397"/>
      <c r="O32" s="397"/>
      <c r="P32" s="397"/>
      <c r="Q32" s="397"/>
      <c r="R32" s="397"/>
      <c r="S32" s="397"/>
      <c r="T32" s="397"/>
      <c r="U32" s="397"/>
      <c r="V32" s="397"/>
      <c r="W32" s="397"/>
      <c r="X32" s="397"/>
      <c r="Y32" s="397"/>
      <c r="Z32" s="397"/>
      <c r="AA32" s="397"/>
      <c r="AB32" s="397"/>
      <c r="AC32" s="397"/>
      <c r="AD32" s="397"/>
      <c r="AE32" s="397"/>
      <c r="AF32" s="397"/>
      <c r="AG32" s="397"/>
      <c r="AH32" s="397"/>
      <c r="AI32" s="397"/>
      <c r="AJ32" s="397"/>
      <c r="AK32" s="397"/>
      <c r="AL32" s="397"/>
      <c r="AM32" s="397"/>
      <c r="AN32" s="397"/>
      <c r="AO32" s="397"/>
      <c r="AP32" s="397"/>
      <c r="AQ32" s="397"/>
      <c r="AR32" s="397"/>
      <c r="AS32" s="397"/>
      <c r="AT32" s="397"/>
      <c r="AU32" s="397"/>
      <c r="AV32" s="397"/>
      <c r="AW32" s="397"/>
      <c r="AX32" s="397"/>
      <c r="AY32" s="397"/>
      <c r="AZ32" s="397"/>
      <c r="BA32" s="397"/>
      <c r="BB32" s="397"/>
      <c r="BC32" s="397"/>
      <c r="BD32" s="397"/>
      <c r="BE32" s="397"/>
      <c r="BF32" s="397"/>
      <c r="BG32" s="397"/>
      <c r="BH32" s="397"/>
      <c r="BI32" s="397"/>
      <c r="BJ32" s="397"/>
      <c r="BK32" s="397"/>
      <c r="BL32" s="397"/>
      <c r="BM32" s="397"/>
      <c r="BN32" s="397"/>
      <c r="BO32" s="397"/>
    </row>
    <row r="33" spans="1:68" s="315" customFormat="1" x14ac:dyDescent="0.25">
      <c r="A33" s="392" t="s">
        <v>449</v>
      </c>
      <c r="B33" s="400">
        <f>B26+B29</f>
        <v>30876.473207613286</v>
      </c>
      <c r="C33" s="400">
        <f t="shared" ref="C33:N33" si="52">C26+C29</f>
        <v>30972.190274556888</v>
      </c>
      <c r="D33" s="400">
        <f t="shared" si="52"/>
        <v>31067.90734150049</v>
      </c>
      <c r="E33" s="400">
        <f t="shared" si="52"/>
        <v>31163.624408444088</v>
      </c>
      <c r="F33" s="400">
        <f t="shared" si="52"/>
        <v>31259.34147538769</v>
      </c>
      <c r="G33" s="400">
        <f t="shared" si="52"/>
        <v>31355.058542331291</v>
      </c>
      <c r="H33" s="400">
        <f t="shared" si="52"/>
        <v>31450.775609274893</v>
      </c>
      <c r="I33" s="400">
        <f t="shared" si="52"/>
        <v>31546.492676218495</v>
      </c>
      <c r="J33" s="400">
        <f t="shared" si="52"/>
        <v>31640.469743162095</v>
      </c>
      <c r="K33" s="400">
        <f t="shared" si="52"/>
        <v>32004.281416105696</v>
      </c>
      <c r="L33" s="400">
        <f t="shared" si="52"/>
        <v>31811.864199049298</v>
      </c>
      <c r="M33" s="400">
        <f t="shared" si="52"/>
        <v>31861.191205992902</v>
      </c>
      <c r="N33" s="400">
        <f t="shared" si="52"/>
        <v>377009.67009963706</v>
      </c>
      <c r="O33" s="400">
        <f>O26+O29</f>
        <v>20971.171167219036</v>
      </c>
      <c r="P33" s="400">
        <f t="shared" ref="P33:AA33" si="53">P26+P29</f>
        <v>20587.559459456115</v>
      </c>
      <c r="Q33" s="400">
        <f t="shared" si="53"/>
        <v>19786.02806569319</v>
      </c>
      <c r="R33" s="400">
        <f t="shared" si="53"/>
        <v>19666.185711930269</v>
      </c>
      <c r="S33" s="400">
        <f t="shared" si="53"/>
        <v>20046.823914167348</v>
      </c>
      <c r="T33" s="400">
        <f t="shared" si="53"/>
        <v>20530.345865404423</v>
      </c>
      <c r="U33" s="400">
        <f t="shared" si="53"/>
        <v>21046.707393641504</v>
      </c>
      <c r="V33" s="400">
        <f t="shared" si="53"/>
        <v>21199.096210878579</v>
      </c>
      <c r="W33" s="400">
        <f t="shared" si="53"/>
        <v>21236.419608115655</v>
      </c>
      <c r="X33" s="400">
        <f t="shared" si="53"/>
        <v>21121.410000352731</v>
      </c>
      <c r="Y33" s="400">
        <f t="shared" si="53"/>
        <v>20233.875381589813</v>
      </c>
      <c r="Z33" s="400">
        <f t="shared" si="53"/>
        <v>17147.282613826887</v>
      </c>
      <c r="AA33" s="400">
        <f t="shared" si="53"/>
        <v>243572.90539227551</v>
      </c>
      <c r="AB33" s="400">
        <f>AB26+AB29</f>
        <v>13062.898824052783</v>
      </c>
      <c r="AC33" s="400">
        <f t="shared" ref="AC33:AN33" si="54">AC26+AC29</f>
        <v>10792.890875096726</v>
      </c>
      <c r="AD33" s="400">
        <f t="shared" si="54"/>
        <v>11104.71813914067</v>
      </c>
      <c r="AE33" s="400">
        <f t="shared" si="54"/>
        <v>11467.61645418461</v>
      </c>
      <c r="AF33" s="400">
        <f t="shared" si="54"/>
        <v>14684.121409228554</v>
      </c>
      <c r="AG33" s="400">
        <f t="shared" si="54"/>
        <v>14968.535971272497</v>
      </c>
      <c r="AH33" s="400">
        <f t="shared" si="54"/>
        <v>18774.710033316442</v>
      </c>
      <c r="AI33" s="400">
        <f t="shared" si="54"/>
        <v>18389.728695360383</v>
      </c>
      <c r="AJ33" s="400">
        <f t="shared" si="54"/>
        <v>20969.613184404323</v>
      </c>
      <c r="AK33" s="400">
        <f t="shared" si="54"/>
        <v>20384.608782448264</v>
      </c>
      <c r="AL33" s="400">
        <f t="shared" si="54"/>
        <v>17662.310026492207</v>
      </c>
      <c r="AM33" s="400">
        <f t="shared" si="54"/>
        <v>13593.027486535751</v>
      </c>
      <c r="AN33" s="400">
        <f t="shared" si="54"/>
        <v>185854.77988153318</v>
      </c>
      <c r="AO33" s="400">
        <f>AO26+AO29</f>
        <v>5594.207314568921</v>
      </c>
      <c r="AP33" s="400">
        <f t="shared" ref="AP33:BA33" si="55">AP26+AP29</f>
        <v>6674.6473104197275</v>
      </c>
      <c r="AQ33" s="400">
        <f t="shared" si="55"/>
        <v>5833.5654842705362</v>
      </c>
      <c r="AR33" s="400">
        <f t="shared" si="55"/>
        <v>5673.9948321213433</v>
      </c>
      <c r="AS33" s="400">
        <f t="shared" si="55"/>
        <v>11781.926249972152</v>
      </c>
      <c r="AT33" s="400">
        <f t="shared" si="55"/>
        <v>15664.190630822959</v>
      </c>
      <c r="AU33" s="400">
        <f t="shared" si="55"/>
        <v>19580.439807673822</v>
      </c>
      <c r="AV33" s="400">
        <f t="shared" si="55"/>
        <v>20403.322104524588</v>
      </c>
      <c r="AW33" s="400">
        <f t="shared" si="55"/>
        <v>19804.250843375383</v>
      </c>
      <c r="AX33" s="400">
        <f t="shared" si="55"/>
        <v>19729.470570226189</v>
      </c>
      <c r="AY33" s="400">
        <f t="shared" si="55"/>
        <v>15450.952877077198</v>
      </c>
      <c r="AZ33" s="400">
        <f t="shared" si="55"/>
        <v>6719.7374099279295</v>
      </c>
      <c r="BA33" s="400">
        <f t="shared" si="55"/>
        <v>152910.70543498074</v>
      </c>
      <c r="BB33" s="400">
        <f>BB26+BB29</f>
        <v>2779.5675307674369</v>
      </c>
      <c r="BC33" s="400">
        <f t="shared" ref="BC33:BO33" si="56">BC26+BC29</f>
        <v>-7141.2804295748901</v>
      </c>
      <c r="BD33" s="400">
        <f t="shared" si="56"/>
        <v>-1170.8834899172175</v>
      </c>
      <c r="BE33" s="400">
        <f t="shared" si="56"/>
        <v>-416.88345025951139</v>
      </c>
      <c r="BF33" s="400">
        <f t="shared" si="56"/>
        <v>9756.6711893984939</v>
      </c>
      <c r="BG33" s="400">
        <f t="shared" si="56"/>
        <v>16031.963687055924</v>
      </c>
      <c r="BH33" s="400">
        <f t="shared" si="56"/>
        <v>18872.401569713515</v>
      </c>
      <c r="BI33" s="400">
        <f t="shared" si="56"/>
        <v>19199.336693371173</v>
      </c>
      <c r="BJ33" s="400">
        <f t="shared" si="56"/>
        <v>18942.640300028856</v>
      </c>
      <c r="BK33" s="400">
        <f t="shared" si="56"/>
        <v>19259.52047068653</v>
      </c>
      <c r="BL33" s="400">
        <f t="shared" si="56"/>
        <v>13397.898248344376</v>
      </c>
      <c r="BM33" s="400">
        <f t="shared" si="56"/>
        <v>4555.3677100019922</v>
      </c>
      <c r="BN33" s="400">
        <f t="shared" si="56"/>
        <v>114066.32002961668</v>
      </c>
      <c r="BO33" s="400">
        <f t="shared" si="56"/>
        <v>35766.477681566648</v>
      </c>
    </row>
    <row r="34" spans="1:68" s="315" customFormat="1" x14ac:dyDescent="0.25">
      <c r="A34" s="394" t="s">
        <v>450</v>
      </c>
      <c r="B34" s="409">
        <f>B33</f>
        <v>30876.473207613286</v>
      </c>
      <c r="C34" s="409">
        <f>C33+B34</f>
        <v>61848.663482170174</v>
      </c>
      <c r="D34" s="409">
        <f t="shared" ref="D34:M34" si="57">D33+C34</f>
        <v>92916.570823670656</v>
      </c>
      <c r="E34" s="409">
        <f t="shared" si="57"/>
        <v>124080.19523211474</v>
      </c>
      <c r="F34" s="409">
        <f t="shared" si="57"/>
        <v>155339.53670750244</v>
      </c>
      <c r="G34" s="409">
        <f t="shared" si="57"/>
        <v>186694.59524983374</v>
      </c>
      <c r="H34" s="409">
        <f t="shared" si="57"/>
        <v>218145.37085910863</v>
      </c>
      <c r="I34" s="409">
        <f t="shared" si="57"/>
        <v>249691.86353532714</v>
      </c>
      <c r="J34" s="409">
        <f t="shared" si="57"/>
        <v>281332.33327848924</v>
      </c>
      <c r="K34" s="409">
        <f t="shared" si="57"/>
        <v>313336.61469459493</v>
      </c>
      <c r="L34" s="409">
        <f t="shared" si="57"/>
        <v>345148.47889364423</v>
      </c>
      <c r="M34" s="409">
        <f t="shared" si="57"/>
        <v>377009.67009963712</v>
      </c>
      <c r="N34" s="410">
        <f>M34</f>
        <v>377009.67009963712</v>
      </c>
      <c r="O34" s="409">
        <f t="shared" ref="O34:Z34" si="58">O33+N34</f>
        <v>397980.84126685618</v>
      </c>
      <c r="P34" s="409">
        <f t="shared" si="58"/>
        <v>418568.40072631231</v>
      </c>
      <c r="Q34" s="409">
        <f t="shared" si="58"/>
        <v>438354.42879200552</v>
      </c>
      <c r="R34" s="409">
        <f t="shared" si="58"/>
        <v>458020.61450393579</v>
      </c>
      <c r="S34" s="409">
        <f t="shared" si="58"/>
        <v>478067.43841810315</v>
      </c>
      <c r="T34" s="409">
        <f t="shared" si="58"/>
        <v>498597.78428350756</v>
      </c>
      <c r="U34" s="409">
        <f t="shared" si="58"/>
        <v>519644.49167714908</v>
      </c>
      <c r="V34" s="409">
        <f t="shared" si="58"/>
        <v>540843.58788802766</v>
      </c>
      <c r="W34" s="409">
        <f t="shared" si="58"/>
        <v>562080.00749614334</v>
      </c>
      <c r="X34" s="409">
        <f t="shared" si="58"/>
        <v>583201.41749649611</v>
      </c>
      <c r="Y34" s="409">
        <f t="shared" si="58"/>
        <v>603435.29287808598</v>
      </c>
      <c r="Z34" s="409">
        <f t="shared" si="58"/>
        <v>620582.5754919129</v>
      </c>
      <c r="AA34" s="410">
        <f>Z34</f>
        <v>620582.5754919129</v>
      </c>
      <c r="AB34" s="409">
        <f t="shared" ref="AB34:AM34" si="59">AB33+AA34</f>
        <v>633645.47431596566</v>
      </c>
      <c r="AC34" s="409">
        <f t="shared" si="59"/>
        <v>644438.36519106245</v>
      </c>
      <c r="AD34" s="409">
        <f t="shared" si="59"/>
        <v>655543.08333020308</v>
      </c>
      <c r="AE34" s="409">
        <f t="shared" si="59"/>
        <v>667010.69978438772</v>
      </c>
      <c r="AF34" s="409">
        <f t="shared" si="59"/>
        <v>681694.82119361626</v>
      </c>
      <c r="AG34" s="409">
        <f t="shared" si="59"/>
        <v>696663.35716488876</v>
      </c>
      <c r="AH34" s="409">
        <f t="shared" si="59"/>
        <v>715438.06719820516</v>
      </c>
      <c r="AI34" s="409">
        <f t="shared" si="59"/>
        <v>733827.79589356552</v>
      </c>
      <c r="AJ34" s="409">
        <f t="shared" si="59"/>
        <v>754797.40907796985</v>
      </c>
      <c r="AK34" s="409">
        <f t="shared" si="59"/>
        <v>775182.01786041807</v>
      </c>
      <c r="AL34" s="409">
        <f t="shared" si="59"/>
        <v>792844.32788691029</v>
      </c>
      <c r="AM34" s="409">
        <f t="shared" si="59"/>
        <v>806437.35537344601</v>
      </c>
      <c r="AN34" s="410">
        <f>AM34</f>
        <v>806437.35537344601</v>
      </c>
      <c r="AO34" s="409">
        <f t="shared" ref="AO34:AZ34" si="60">AO33+AN34</f>
        <v>812031.56268801494</v>
      </c>
      <c r="AP34" s="409">
        <f t="shared" si="60"/>
        <v>818706.20999843464</v>
      </c>
      <c r="AQ34" s="409">
        <f t="shared" si="60"/>
        <v>824539.77548270521</v>
      </c>
      <c r="AR34" s="409">
        <f t="shared" si="60"/>
        <v>830213.77031482651</v>
      </c>
      <c r="AS34" s="409">
        <f t="shared" si="60"/>
        <v>841995.69656479871</v>
      </c>
      <c r="AT34" s="409">
        <f t="shared" si="60"/>
        <v>857659.88719562162</v>
      </c>
      <c r="AU34" s="409">
        <f t="shared" si="60"/>
        <v>877240.32700329542</v>
      </c>
      <c r="AV34" s="409">
        <f t="shared" si="60"/>
        <v>897643.64910782001</v>
      </c>
      <c r="AW34" s="409">
        <f t="shared" si="60"/>
        <v>917447.89995119534</v>
      </c>
      <c r="AX34" s="409">
        <f t="shared" si="60"/>
        <v>937177.37052142154</v>
      </c>
      <c r="AY34" s="409">
        <f t="shared" si="60"/>
        <v>952628.3233984987</v>
      </c>
      <c r="AZ34" s="409">
        <f t="shared" si="60"/>
        <v>959348.06080842658</v>
      </c>
      <c r="BA34" s="410">
        <f>AZ34</f>
        <v>959348.06080842658</v>
      </c>
      <c r="BB34" s="409">
        <f t="shared" ref="BB34:BM34" si="61">BB33+BA34</f>
        <v>962127.62833919399</v>
      </c>
      <c r="BC34" s="409">
        <f t="shared" si="61"/>
        <v>954986.3479096191</v>
      </c>
      <c r="BD34" s="409">
        <f t="shared" si="61"/>
        <v>953815.46441970184</v>
      </c>
      <c r="BE34" s="409">
        <f t="shared" si="61"/>
        <v>953398.58096944238</v>
      </c>
      <c r="BF34" s="409">
        <f t="shared" si="61"/>
        <v>963155.25215884089</v>
      </c>
      <c r="BG34" s="409">
        <f t="shared" si="61"/>
        <v>979187.21584589686</v>
      </c>
      <c r="BH34" s="409">
        <f t="shared" si="61"/>
        <v>998059.61741561035</v>
      </c>
      <c r="BI34" s="409">
        <f t="shared" si="61"/>
        <v>1017258.9541089815</v>
      </c>
      <c r="BJ34" s="409">
        <f t="shared" si="61"/>
        <v>1036201.5944090104</v>
      </c>
      <c r="BK34" s="409">
        <f t="shared" si="61"/>
        <v>1055461.1148796969</v>
      </c>
      <c r="BL34" s="409">
        <f t="shared" si="61"/>
        <v>1068859.0131280413</v>
      </c>
      <c r="BM34" s="409">
        <f t="shared" si="61"/>
        <v>1073414.3808380433</v>
      </c>
      <c r="BN34" s="410">
        <f>BM34</f>
        <v>1073414.3808380433</v>
      </c>
      <c r="BO34" s="410">
        <f>BN34+BO33</f>
        <v>1109180.85851961</v>
      </c>
    </row>
    <row r="35" spans="1:68" x14ac:dyDescent="0.25">
      <c r="A35" s="401" t="s">
        <v>451</v>
      </c>
      <c r="B35" s="396"/>
      <c r="C35" s="396"/>
      <c r="D35" s="396"/>
      <c r="E35" s="396"/>
      <c r="F35" s="396"/>
      <c r="G35" s="396"/>
      <c r="H35" s="396"/>
      <c r="I35" s="396"/>
      <c r="J35" s="396"/>
      <c r="K35" s="396"/>
      <c r="L35" s="396"/>
      <c r="M35" s="396"/>
      <c r="N35" s="396"/>
      <c r="O35" s="396"/>
      <c r="P35" s="396"/>
      <c r="Q35" s="396"/>
      <c r="R35" s="396"/>
      <c r="S35" s="396"/>
      <c r="T35" s="396"/>
      <c r="U35" s="396"/>
      <c r="V35" s="396"/>
      <c r="W35" s="396"/>
      <c r="X35" s="396"/>
      <c r="Y35" s="396"/>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c r="AY35" s="396"/>
      <c r="AZ35" s="396"/>
      <c r="BA35" s="396"/>
      <c r="BB35" s="396"/>
      <c r="BC35" s="396"/>
      <c r="BD35" s="396"/>
      <c r="BE35" s="396"/>
      <c r="BF35" s="396"/>
      <c r="BG35" s="396"/>
      <c r="BH35" s="396"/>
      <c r="BI35" s="396"/>
      <c r="BJ35" s="396"/>
      <c r="BK35" s="396"/>
      <c r="BL35" s="396"/>
      <c r="BM35" s="396"/>
      <c r="BN35" s="396"/>
      <c r="BO35" s="396"/>
    </row>
    <row r="36" spans="1:68" x14ac:dyDescent="0.25">
      <c r="A36" s="315" t="s">
        <v>398</v>
      </c>
      <c r="B36" s="396">
        <f t="shared" ref="B36:M36" si="62">B9+B23</f>
        <v>40775.223207613286</v>
      </c>
      <c r="C36" s="396">
        <f t="shared" si="62"/>
        <v>40775.223207613286</v>
      </c>
      <c r="D36" s="396">
        <f t="shared" si="62"/>
        <v>40775.223207613286</v>
      </c>
      <c r="E36" s="396">
        <f t="shared" si="62"/>
        <v>40775.223207613286</v>
      </c>
      <c r="F36" s="396">
        <f t="shared" si="62"/>
        <v>44388.509207613286</v>
      </c>
      <c r="G36" s="396">
        <f t="shared" si="62"/>
        <v>62992.342207613285</v>
      </c>
      <c r="H36" s="396">
        <f t="shared" si="62"/>
        <v>64663.373207613287</v>
      </c>
      <c r="I36" s="396">
        <f t="shared" si="62"/>
        <v>61070.2805532739</v>
      </c>
      <c r="J36" s="396">
        <f t="shared" si="62"/>
        <v>60031.52565105469</v>
      </c>
      <c r="K36" s="396">
        <f t="shared" si="62"/>
        <v>60029.920383066754</v>
      </c>
      <c r="L36" s="396">
        <f t="shared" si="62"/>
        <v>66221.327607605621</v>
      </c>
      <c r="M36" s="396">
        <f t="shared" si="62"/>
        <v>75094.099989544076</v>
      </c>
      <c r="N36" s="396">
        <f>SUM(B36:M36)</f>
        <v>657592.2716378381</v>
      </c>
      <c r="O36" s="396">
        <f t="shared" ref="O36:Z36" si="63">O9+O23</f>
        <v>73214.92972567644</v>
      </c>
      <c r="P36" s="396">
        <f t="shared" si="63"/>
        <v>73641.348487949625</v>
      </c>
      <c r="Q36" s="396">
        <f t="shared" si="63"/>
        <v>73467.56083099953</v>
      </c>
      <c r="R36" s="396">
        <f t="shared" si="63"/>
        <v>73183.733875878825</v>
      </c>
      <c r="S36" s="396">
        <f t="shared" si="63"/>
        <v>73230.897036861905</v>
      </c>
      <c r="T36" s="396">
        <f t="shared" si="63"/>
        <v>73176.981482529722</v>
      </c>
      <c r="U36" s="396">
        <f t="shared" si="63"/>
        <v>73110.438984659748</v>
      </c>
      <c r="V36" s="396">
        <f t="shared" si="63"/>
        <v>73154.182914424498</v>
      </c>
      <c r="W36" s="396">
        <f t="shared" si="63"/>
        <v>73251.758114368728</v>
      </c>
      <c r="X36" s="396">
        <f t="shared" si="63"/>
        <v>73538.804779945072</v>
      </c>
      <c r="Y36" s="396">
        <f t="shared" si="63"/>
        <v>74244.313821863354</v>
      </c>
      <c r="Z36" s="396">
        <f t="shared" si="63"/>
        <v>54571.943768433659</v>
      </c>
      <c r="AA36" s="396">
        <f>SUM(O36:Z36)</f>
        <v>861786.89382359106</v>
      </c>
      <c r="AB36" s="396">
        <f t="shared" ref="AB36:AM36" si="64">AB9+AB23</f>
        <v>71760.35179025447</v>
      </c>
      <c r="AC36" s="396">
        <f t="shared" si="64"/>
        <v>71526.043619363365</v>
      </c>
      <c r="AD36" s="396">
        <f t="shared" si="64"/>
        <v>71333.258313986269</v>
      </c>
      <c r="AE36" s="396">
        <f t="shared" si="64"/>
        <v>70940.576634491357</v>
      </c>
      <c r="AF36" s="396">
        <f t="shared" si="64"/>
        <v>70562.951145689207</v>
      </c>
      <c r="AG36" s="396">
        <f t="shared" si="64"/>
        <v>70250.530503260408</v>
      </c>
      <c r="AH36" s="396">
        <f t="shared" si="64"/>
        <v>70237.769427954365</v>
      </c>
      <c r="AI36" s="396">
        <f t="shared" si="64"/>
        <v>70476.622884146869</v>
      </c>
      <c r="AJ36" s="396">
        <f t="shared" si="64"/>
        <v>70486.719101618219</v>
      </c>
      <c r="AK36" s="396">
        <f t="shared" si="64"/>
        <v>90586.716969866713</v>
      </c>
      <c r="AL36" s="396">
        <f t="shared" si="64"/>
        <v>91086.321416774881</v>
      </c>
      <c r="AM36" s="396">
        <f t="shared" si="64"/>
        <v>91373.077453854203</v>
      </c>
      <c r="AN36" s="396">
        <f>SUM(AB36:AM36)</f>
        <v>910620.93926126044</v>
      </c>
      <c r="AO36" s="396">
        <f t="shared" ref="AO36:AZ36" si="65">AO9+AO23</f>
        <v>87567.307827153709</v>
      </c>
      <c r="AP36" s="396">
        <f t="shared" si="65"/>
        <v>77535.384598236196</v>
      </c>
      <c r="AQ36" s="396">
        <f t="shared" si="65"/>
        <v>77398.754307195573</v>
      </c>
      <c r="AR36" s="396">
        <f t="shared" si="65"/>
        <v>76262.528388985942</v>
      </c>
      <c r="AS36" s="396">
        <f t="shared" si="65"/>
        <v>75866.330831265368</v>
      </c>
      <c r="AT36" s="396">
        <f t="shared" si="65"/>
        <v>75294.993480544363</v>
      </c>
      <c r="AU36" s="396">
        <f t="shared" si="65"/>
        <v>75188.726096153259</v>
      </c>
      <c r="AV36" s="396">
        <f t="shared" si="65"/>
        <v>75783.903791189208</v>
      </c>
      <c r="AW36" s="396">
        <f t="shared" si="65"/>
        <v>75556.130732511752</v>
      </c>
      <c r="AX36" s="396">
        <f t="shared" si="65"/>
        <v>77335.074210205086</v>
      </c>
      <c r="AY36" s="396">
        <f t="shared" si="65"/>
        <v>80853.450683717077</v>
      </c>
      <c r="AZ36" s="396">
        <f t="shared" si="65"/>
        <v>79146.912476191486</v>
      </c>
      <c r="BA36" s="396">
        <f>SUM(AO36:AZ36)</f>
        <v>933789.49742334895</v>
      </c>
      <c r="BB36" s="396">
        <f t="shared" ref="BB36:BM36" si="66">BB9+BB23</f>
        <v>73398.912238520395</v>
      </c>
      <c r="BC36" s="396">
        <f t="shared" si="66"/>
        <v>72944.519444333899</v>
      </c>
      <c r="BD36" s="396">
        <f t="shared" si="66"/>
        <v>77689.875018898078</v>
      </c>
      <c r="BE36" s="396">
        <f t="shared" si="66"/>
        <v>86532.359351052321</v>
      </c>
      <c r="BF36" s="396">
        <f t="shared" si="66"/>
        <v>71151.255962454423</v>
      </c>
      <c r="BG36" s="396">
        <f t="shared" si="66"/>
        <v>70730.325343353164</v>
      </c>
      <c r="BH36" s="396">
        <f t="shared" si="66"/>
        <v>70911.837616339617</v>
      </c>
      <c r="BI36" s="396">
        <f t="shared" si="66"/>
        <v>70984.267242412257</v>
      </c>
      <c r="BJ36" s="396">
        <f t="shared" si="66"/>
        <v>71017.849062330119</v>
      </c>
      <c r="BK36" s="396">
        <f t="shared" si="66"/>
        <v>87262.212136172922</v>
      </c>
      <c r="BL36" s="396">
        <f t="shared" si="66"/>
        <v>150728.71291318108</v>
      </c>
      <c r="BM36" s="396">
        <f t="shared" si="66"/>
        <v>110791.30833977848</v>
      </c>
      <c r="BN36" s="396">
        <f>SUM(BB36:BM36)</f>
        <v>1014143.4346688266</v>
      </c>
      <c r="BO36" s="396"/>
    </row>
    <row r="37" spans="1:68" x14ac:dyDescent="0.25">
      <c r="A37" s="315" t="s">
        <v>419</v>
      </c>
      <c r="B37" s="396">
        <f t="shared" ref="B37:M37" si="67">B11+B24</f>
        <v>0</v>
      </c>
      <c r="C37" s="396">
        <f t="shared" si="67"/>
        <v>0</v>
      </c>
      <c r="D37" s="396">
        <f t="shared" si="67"/>
        <v>0</v>
      </c>
      <c r="E37" s="396">
        <f t="shared" si="67"/>
        <v>0</v>
      </c>
      <c r="F37" s="396">
        <f t="shared" si="67"/>
        <v>0</v>
      </c>
      <c r="G37" s="396">
        <f t="shared" si="67"/>
        <v>0</v>
      </c>
      <c r="H37" s="396">
        <f t="shared" si="67"/>
        <v>0</v>
      </c>
      <c r="I37" s="396">
        <f t="shared" si="67"/>
        <v>0</v>
      </c>
      <c r="J37" s="396">
        <f t="shared" si="67"/>
        <v>91.41</v>
      </c>
      <c r="K37" s="396">
        <f t="shared" si="67"/>
        <v>-623.06999999999994</v>
      </c>
      <c r="L37" s="396">
        <f t="shared" si="67"/>
        <v>1189.01</v>
      </c>
      <c r="M37" s="396">
        <f t="shared" si="67"/>
        <v>1298.8500000000001</v>
      </c>
      <c r="N37" s="396">
        <f t="shared" ref="N37:N38" si="68">SUM(B37:M37)</f>
        <v>1956.2000000000003</v>
      </c>
      <c r="O37" s="396">
        <f t="shared" ref="O37:Z37" si="69">O11+O24</f>
        <v>1024.83</v>
      </c>
      <c r="P37" s="396">
        <f t="shared" si="69"/>
        <v>2284.04</v>
      </c>
      <c r="Q37" s="396">
        <f t="shared" si="69"/>
        <v>4741.6400000000003</v>
      </c>
      <c r="R37" s="396">
        <f t="shared" si="69"/>
        <v>5275.01</v>
      </c>
      <c r="S37" s="396">
        <f t="shared" si="69"/>
        <v>4351.8699999999972</v>
      </c>
      <c r="T37" s="396">
        <f t="shared" si="69"/>
        <v>3174.8799999999974</v>
      </c>
      <c r="U37" s="396">
        <f t="shared" si="69"/>
        <v>1841.9799999999996</v>
      </c>
      <c r="V37" s="396">
        <f t="shared" si="69"/>
        <v>1807.2099999999973</v>
      </c>
      <c r="W37" s="396">
        <f t="shared" si="69"/>
        <v>1681.3899999999994</v>
      </c>
      <c r="X37" s="396">
        <f t="shared" si="69"/>
        <v>2164.4899999999998</v>
      </c>
      <c r="Y37" s="396">
        <f t="shared" si="69"/>
        <v>6130.6299999999974</v>
      </c>
      <c r="Z37" s="396">
        <f t="shared" si="69"/>
        <v>15922.41</v>
      </c>
      <c r="AA37" s="396">
        <f>SUM(O37:Z37)</f>
        <v>50400.37999999999</v>
      </c>
      <c r="AB37" s="396">
        <f t="shared" ref="AB37:AM37" si="70">AB11+AB24</f>
        <v>24609.420000000002</v>
      </c>
      <c r="AC37" s="396">
        <f t="shared" si="70"/>
        <v>30340.729999999996</v>
      </c>
      <c r="AD37" s="396">
        <f t="shared" si="70"/>
        <v>29514.519999999997</v>
      </c>
      <c r="AE37" s="396">
        <f t="shared" si="70"/>
        <v>28633.589999999997</v>
      </c>
      <c r="AF37" s="396">
        <f t="shared" si="70"/>
        <v>19523.62</v>
      </c>
      <c r="AG37" s="396">
        <f t="shared" si="70"/>
        <v>19181.62</v>
      </c>
      <c r="AH37" s="396">
        <f t="shared" si="70"/>
        <v>8178.619999999999</v>
      </c>
      <c r="AI37" s="396">
        <f t="shared" si="70"/>
        <v>23850.219999999994</v>
      </c>
      <c r="AJ37" s="396">
        <f t="shared" si="70"/>
        <v>4150</v>
      </c>
      <c r="AK37" s="396">
        <f t="shared" si="70"/>
        <v>6224.32</v>
      </c>
      <c r="AL37" s="396">
        <f t="shared" si="70"/>
        <v>27121.760000000097</v>
      </c>
      <c r="AM37" s="396">
        <f t="shared" si="70"/>
        <v>27459.480000000898</v>
      </c>
      <c r="AN37" s="396">
        <f>SUM(AB37:AM37)</f>
        <v>248787.90000000095</v>
      </c>
      <c r="AO37" s="396">
        <f t="shared" ref="AO37:AZ37" si="71">AO11+AO24</f>
        <v>50156.259999999995</v>
      </c>
      <c r="AP37" s="396">
        <f t="shared" si="71"/>
        <v>43403.850000000006</v>
      </c>
      <c r="AQ37" s="396">
        <f t="shared" si="71"/>
        <v>45752.4</v>
      </c>
      <c r="AR37" s="396">
        <f t="shared" si="71"/>
        <v>46239.950000000004</v>
      </c>
      <c r="AS37" s="396">
        <f t="shared" si="71"/>
        <v>29191.27</v>
      </c>
      <c r="AT37" s="396">
        <f t="shared" si="71"/>
        <v>17799.73</v>
      </c>
      <c r="AU37" s="396">
        <f t="shared" si="71"/>
        <v>6818.339999999951</v>
      </c>
      <c r="AV37" s="396">
        <f t="shared" si="71"/>
        <v>4626.4399999999896</v>
      </c>
      <c r="AW37" s="396">
        <f t="shared" si="71"/>
        <v>8256.08</v>
      </c>
      <c r="AX37" s="396">
        <f t="shared" si="71"/>
        <v>6925.8799999999992</v>
      </c>
      <c r="AY37" s="396">
        <f t="shared" si="71"/>
        <v>26633.199999999782</v>
      </c>
      <c r="AZ37" s="396">
        <f t="shared" si="71"/>
        <v>64651.709999999817</v>
      </c>
      <c r="BA37" s="396">
        <f>SUM(AO37:AZ37)</f>
        <v>350455.10999999952</v>
      </c>
      <c r="BB37" s="396">
        <f t="shared" ref="BB37:BM37" si="72">BB11+BB24</f>
        <v>60347</v>
      </c>
      <c r="BC37" s="396">
        <f t="shared" si="72"/>
        <v>83384</v>
      </c>
      <c r="BD37" s="396">
        <f t="shared" si="72"/>
        <v>66041</v>
      </c>
      <c r="BE37" s="396">
        <f t="shared" si="72"/>
        <v>63815.169999999896</v>
      </c>
      <c r="BF37" s="396">
        <f t="shared" si="72"/>
        <v>34643.189999999639</v>
      </c>
      <c r="BG37" s="396">
        <f t="shared" si="72"/>
        <v>16739.889999999818</v>
      </c>
      <c r="BH37" s="396">
        <f t="shared" si="72"/>
        <v>8685.6399999999903</v>
      </c>
      <c r="BI37" s="396">
        <f t="shared" si="72"/>
        <v>8845.3699999999826</v>
      </c>
      <c r="BJ37" s="396">
        <f t="shared" si="72"/>
        <v>8979.7999999999829</v>
      </c>
      <c r="BK37" s="396">
        <f t="shared" si="72"/>
        <v>8270.8999999999742</v>
      </c>
      <c r="BL37" s="396">
        <f t="shared" si="72"/>
        <v>41097.259999999776</v>
      </c>
      <c r="BM37" s="396">
        <f t="shared" si="72"/>
        <v>53737.469999999754</v>
      </c>
      <c r="BN37" s="396">
        <f>SUM(BB37:BM37)</f>
        <v>454586.6899999989</v>
      </c>
      <c r="BO37" s="396"/>
    </row>
    <row r="38" spans="1:68" x14ac:dyDescent="0.25">
      <c r="A38" s="315" t="s">
        <v>417</v>
      </c>
      <c r="B38" s="396">
        <f>B36-B37</f>
        <v>40775.223207613286</v>
      </c>
      <c r="C38" s="396">
        <f t="shared" ref="C38:M38" si="73">C36-C37</f>
        <v>40775.223207613286</v>
      </c>
      <c r="D38" s="396">
        <f t="shared" si="73"/>
        <v>40775.223207613286</v>
      </c>
      <c r="E38" s="396">
        <f t="shared" si="73"/>
        <v>40775.223207613286</v>
      </c>
      <c r="F38" s="396">
        <f t="shared" si="73"/>
        <v>44388.509207613286</v>
      </c>
      <c r="G38" s="396">
        <f t="shared" si="73"/>
        <v>62992.342207613285</v>
      </c>
      <c r="H38" s="396">
        <f t="shared" si="73"/>
        <v>64663.373207613287</v>
      </c>
      <c r="I38" s="396">
        <f t="shared" si="73"/>
        <v>61070.2805532739</v>
      </c>
      <c r="J38" s="396">
        <f t="shared" si="73"/>
        <v>59940.115651054686</v>
      </c>
      <c r="K38" s="396">
        <f t="shared" si="73"/>
        <v>60652.990383066754</v>
      </c>
      <c r="L38" s="396">
        <f t="shared" si="73"/>
        <v>65032.317607605619</v>
      </c>
      <c r="M38" s="396">
        <f t="shared" si="73"/>
        <v>73795.249989544071</v>
      </c>
      <c r="N38" s="396">
        <f t="shared" si="68"/>
        <v>655636.07163783803</v>
      </c>
      <c r="O38" s="396">
        <f>O36-O37</f>
        <v>72190.099725676439</v>
      </c>
      <c r="P38" s="396">
        <f t="shared" ref="P38:Z38" si="74">P36-P37</f>
        <v>71357.308487949631</v>
      </c>
      <c r="Q38" s="396">
        <f t="shared" si="74"/>
        <v>68725.92083099953</v>
      </c>
      <c r="R38" s="396">
        <f t="shared" si="74"/>
        <v>67908.72387587883</v>
      </c>
      <c r="S38" s="396">
        <f t="shared" si="74"/>
        <v>68879.027036861909</v>
      </c>
      <c r="T38" s="396">
        <f t="shared" si="74"/>
        <v>70002.101482529717</v>
      </c>
      <c r="U38" s="396">
        <f t="shared" si="74"/>
        <v>71268.458984659752</v>
      </c>
      <c r="V38" s="396">
        <f t="shared" si="74"/>
        <v>71346.972914424507</v>
      </c>
      <c r="W38" s="396">
        <f t="shared" si="74"/>
        <v>71570.368114368728</v>
      </c>
      <c r="X38" s="396">
        <f t="shared" si="74"/>
        <v>71374.314779945067</v>
      </c>
      <c r="Y38" s="396">
        <f t="shared" si="74"/>
        <v>68113.683821863349</v>
      </c>
      <c r="Z38" s="396">
        <f t="shared" si="74"/>
        <v>38649.533768433655</v>
      </c>
      <c r="AA38" s="396">
        <f>SUM(O38:Z38)</f>
        <v>811386.51382359117</v>
      </c>
      <c r="AB38" s="396">
        <f>AB36-AB37</f>
        <v>47150.931790254472</v>
      </c>
      <c r="AC38" s="396">
        <f t="shared" ref="AC38:AM38" si="75">AC36-AC37</f>
        <v>41185.313619363369</v>
      </c>
      <c r="AD38" s="396">
        <f t="shared" si="75"/>
        <v>41818.738313986272</v>
      </c>
      <c r="AE38" s="396">
        <f t="shared" si="75"/>
        <v>42306.986634491361</v>
      </c>
      <c r="AF38" s="396">
        <f t="shared" si="75"/>
        <v>51039.331145689212</v>
      </c>
      <c r="AG38" s="396">
        <f t="shared" si="75"/>
        <v>51068.910503260413</v>
      </c>
      <c r="AH38" s="396">
        <f t="shared" si="75"/>
        <v>62059.149427954369</v>
      </c>
      <c r="AI38" s="396">
        <f t="shared" si="75"/>
        <v>46626.402884146875</v>
      </c>
      <c r="AJ38" s="396">
        <f t="shared" si="75"/>
        <v>66336.719101618219</v>
      </c>
      <c r="AK38" s="396">
        <f t="shared" si="75"/>
        <v>84362.396969866706</v>
      </c>
      <c r="AL38" s="396">
        <f t="shared" si="75"/>
        <v>63964.561416774784</v>
      </c>
      <c r="AM38" s="396">
        <f t="shared" si="75"/>
        <v>63913.597453853305</v>
      </c>
      <c r="AN38" s="396">
        <f>SUM(AB38:AM38)</f>
        <v>661833.03926125937</v>
      </c>
      <c r="AO38" s="396">
        <f>AO36-AO37</f>
        <v>37411.047827153714</v>
      </c>
      <c r="AP38" s="396">
        <f t="shared" ref="AP38:AZ38" si="76">AP36-AP37</f>
        <v>34131.534598236191</v>
      </c>
      <c r="AQ38" s="396">
        <f t="shared" si="76"/>
        <v>31646.354307195572</v>
      </c>
      <c r="AR38" s="396">
        <f t="shared" si="76"/>
        <v>30022.578388985938</v>
      </c>
      <c r="AS38" s="396">
        <f t="shared" si="76"/>
        <v>46675.060831265364</v>
      </c>
      <c r="AT38" s="396">
        <f t="shared" si="76"/>
        <v>57495.263480544367</v>
      </c>
      <c r="AU38" s="396">
        <f t="shared" si="76"/>
        <v>68370.386096153306</v>
      </c>
      <c r="AV38" s="396">
        <f t="shared" si="76"/>
        <v>71157.463791189221</v>
      </c>
      <c r="AW38" s="396">
        <f t="shared" si="76"/>
        <v>67300.050732511751</v>
      </c>
      <c r="AX38" s="396">
        <f t="shared" si="76"/>
        <v>70409.194210205082</v>
      </c>
      <c r="AY38" s="396">
        <f t="shared" si="76"/>
        <v>54220.250683717299</v>
      </c>
      <c r="AZ38" s="396">
        <f t="shared" si="76"/>
        <v>14495.202476191669</v>
      </c>
      <c r="BA38" s="396">
        <f>SUM(AO38:AZ38)</f>
        <v>583334.38742334943</v>
      </c>
      <c r="BB38" s="396">
        <f>BB36-BB37</f>
        <v>13051.912238520395</v>
      </c>
      <c r="BC38" s="396">
        <f t="shared" ref="BC38:BM38" si="77">BC36-BC37</f>
        <v>-10439.480555666101</v>
      </c>
      <c r="BD38" s="396">
        <f t="shared" si="77"/>
        <v>11648.875018898078</v>
      </c>
      <c r="BE38" s="396">
        <f t="shared" si="77"/>
        <v>22717.189351052424</v>
      </c>
      <c r="BF38" s="396">
        <f t="shared" si="77"/>
        <v>36508.065962454784</v>
      </c>
      <c r="BG38" s="396">
        <f t="shared" si="77"/>
        <v>53990.435343353347</v>
      </c>
      <c r="BH38" s="396">
        <f t="shared" si="77"/>
        <v>62226.197616339625</v>
      </c>
      <c r="BI38" s="396">
        <f t="shared" si="77"/>
        <v>62138.897242412277</v>
      </c>
      <c r="BJ38" s="396">
        <f t="shared" si="77"/>
        <v>62038.049062330138</v>
      </c>
      <c r="BK38" s="396">
        <f t="shared" si="77"/>
        <v>78991.312136172943</v>
      </c>
      <c r="BL38" s="396">
        <f t="shared" si="77"/>
        <v>109631.4529131813</v>
      </c>
      <c r="BM38" s="396">
        <f t="shared" si="77"/>
        <v>57053.838339778726</v>
      </c>
      <c r="BN38" s="396">
        <f>SUM(BB38:BM38)</f>
        <v>559556.74466882797</v>
      </c>
      <c r="BO38" s="396"/>
    </row>
    <row r="39" spans="1:68" x14ac:dyDescent="0.25">
      <c r="B39" s="396"/>
      <c r="C39" s="396"/>
      <c r="D39" s="396"/>
      <c r="E39" s="396"/>
      <c r="F39" s="396"/>
      <c r="G39" s="396"/>
      <c r="H39" s="396"/>
      <c r="I39" s="396"/>
      <c r="J39" s="396"/>
      <c r="K39" s="396"/>
      <c r="L39" s="396"/>
      <c r="M39" s="396"/>
      <c r="N39" s="396"/>
      <c r="O39" s="396"/>
      <c r="P39" s="396"/>
      <c r="Q39" s="396"/>
      <c r="R39" s="396"/>
      <c r="S39" s="396"/>
      <c r="T39" s="396"/>
      <c r="U39" s="396"/>
      <c r="V39" s="396"/>
      <c r="W39" s="396"/>
      <c r="X39" s="396"/>
      <c r="Y39" s="396"/>
      <c r="Z39" s="396"/>
      <c r="AA39" s="396"/>
      <c r="AB39" s="396"/>
      <c r="AC39" s="396"/>
      <c r="AD39" s="396"/>
      <c r="AE39" s="396"/>
      <c r="AF39" s="396"/>
      <c r="AG39" s="396"/>
      <c r="AH39" s="396"/>
      <c r="AI39" s="396"/>
      <c r="AJ39" s="396"/>
      <c r="AK39" s="396"/>
      <c r="AL39" s="396"/>
      <c r="AM39" s="396"/>
      <c r="AN39" s="396"/>
      <c r="AO39" s="396"/>
      <c r="AP39" s="396"/>
      <c r="AQ39" s="396"/>
      <c r="AR39" s="396"/>
      <c r="AS39" s="396"/>
      <c r="AT39" s="396"/>
      <c r="AU39" s="396"/>
      <c r="AV39" s="396"/>
      <c r="AW39" s="396"/>
      <c r="AX39" s="396"/>
      <c r="AY39" s="396"/>
      <c r="AZ39" s="396"/>
      <c r="BA39" s="396"/>
      <c r="BB39" s="396"/>
      <c r="BC39" s="396"/>
      <c r="BD39" s="396"/>
      <c r="BE39" s="396"/>
      <c r="BF39" s="396"/>
      <c r="BG39" s="396"/>
      <c r="BH39" s="396"/>
      <c r="BI39" s="396"/>
      <c r="BJ39" s="396"/>
      <c r="BK39" s="396"/>
      <c r="BL39" s="396"/>
      <c r="BM39" s="396"/>
      <c r="BN39" s="396"/>
      <c r="BO39" s="396"/>
    </row>
    <row r="40" spans="1:68" x14ac:dyDescent="0.25">
      <c r="A40" s="315" t="s">
        <v>433</v>
      </c>
      <c r="B40" s="396">
        <f t="shared" ref="B40:M40" si="78">B16+B29</f>
        <v>0</v>
      </c>
      <c r="C40" s="396">
        <f t="shared" si="78"/>
        <v>113.69979611026785</v>
      </c>
      <c r="D40" s="396">
        <f t="shared" si="78"/>
        <v>227.39959222053571</v>
      </c>
      <c r="E40" s="396">
        <f t="shared" si="78"/>
        <v>341.09938833080361</v>
      </c>
      <c r="F40" s="396">
        <f t="shared" si="78"/>
        <v>454.79918444107142</v>
      </c>
      <c r="G40" s="396">
        <f t="shared" si="78"/>
        <v>575.0631167846725</v>
      </c>
      <c r="H40" s="396">
        <f t="shared" si="78"/>
        <v>614.99633879910709</v>
      </c>
      <c r="I40" s="396">
        <f t="shared" si="78"/>
        <v>726.84665049270825</v>
      </c>
      <c r="J40" s="396">
        <f t="shared" si="78"/>
        <v>836.9812604438622</v>
      </c>
      <c r="K40" s="396">
        <f t="shared" si="78"/>
        <v>946.12598101723381</v>
      </c>
      <c r="L40" s="396">
        <f t="shared" si="78"/>
        <v>1056.6860886191753</v>
      </c>
      <c r="M40" s="396">
        <f t="shared" si="78"/>
        <v>1168.5678566527729</v>
      </c>
      <c r="N40" s="396">
        <f>SUM(B40:M40)</f>
        <v>7062.2652539122109</v>
      </c>
      <c r="O40" s="396">
        <f t="shared" ref="O40:BO40" si="79">O16+O29</f>
        <v>1284.4904275677914</v>
      </c>
      <c r="P40" s="396">
        <f t="shared" si="79"/>
        <v>1370.8135530414643</v>
      </c>
      <c r="Q40" s="396">
        <f t="shared" si="79"/>
        <v>1455.5728201772167</v>
      </c>
      <c r="R40" s="396">
        <f t="shared" si="79"/>
        <v>1536.820478175918</v>
      </c>
      <c r="S40" s="396">
        <f t="shared" si="79"/>
        <v>1617.214712620937</v>
      </c>
      <c r="T40" s="396">
        <f t="shared" si="79"/>
        <v>1698.919789817423</v>
      </c>
      <c r="U40" s="396">
        <f t="shared" si="79"/>
        <v>1782.275711125601</v>
      </c>
      <c r="V40" s="396">
        <f t="shared" si="79"/>
        <v>1867.4332759972908</v>
      </c>
      <c r="W40" s="396">
        <f t="shared" si="79"/>
        <v>1952.8691099856192</v>
      </c>
      <c r="X40" s="396">
        <f t="shared" si="79"/>
        <v>2038.3492379439208</v>
      </c>
      <c r="Y40" s="396">
        <f t="shared" si="79"/>
        <v>2123.2747393183713</v>
      </c>
      <c r="Z40" s="396">
        <f t="shared" si="79"/>
        <v>2204.1634922377325</v>
      </c>
      <c r="AA40" s="396">
        <f t="shared" si="79"/>
        <v>20932.197348009286</v>
      </c>
      <c r="AB40" s="396">
        <f t="shared" si="79"/>
        <v>2262.8040101317151</v>
      </c>
      <c r="AC40" s="396">
        <f t="shared" si="79"/>
        <v>2314.636310470908</v>
      </c>
      <c r="AD40" s="396">
        <f t="shared" si="79"/>
        <v>2357.5849209289277</v>
      </c>
      <c r="AE40" s="396">
        <f t="shared" si="79"/>
        <v>2765.8190315249954</v>
      </c>
      <c r="AF40" s="396">
        <f t="shared" si="79"/>
        <v>2823.2166310833027</v>
      </c>
      <c r="AG40" s="396">
        <f t="shared" si="79"/>
        <v>2895.2074059761289</v>
      </c>
      <c r="AH40" s="396">
        <f t="shared" si="79"/>
        <v>4030.2828905890638</v>
      </c>
      <c r="AI40" s="396">
        <f t="shared" si="79"/>
        <v>4165.2434726873016</v>
      </c>
      <c r="AJ40" s="396">
        <f t="shared" si="79"/>
        <v>4271.3573681218913</v>
      </c>
      <c r="AK40" s="396">
        <f t="shared" si="79"/>
        <v>6091.9701322433148</v>
      </c>
      <c r="AL40" s="396">
        <f t="shared" si="79"/>
        <v>6361.7670381145235</v>
      </c>
      <c r="AM40" s="396">
        <f t="shared" si="79"/>
        <v>6566.1282543270117</v>
      </c>
      <c r="AN40" s="396">
        <f t="shared" si="79"/>
        <v>46906.017466199082</v>
      </c>
      <c r="AO40" s="396">
        <f t="shared" si="79"/>
        <v>7753.4602658565527</v>
      </c>
      <c r="AP40" s="396">
        <f t="shared" si="79"/>
        <v>7898.1908030824234</v>
      </c>
      <c r="AQ40" s="396">
        <f t="shared" si="79"/>
        <v>8029.0936891643105</v>
      </c>
      <c r="AR40" s="396">
        <f t="shared" si="79"/>
        <v>8455.7669867296245</v>
      </c>
      <c r="AS40" s="396">
        <f t="shared" si="79"/>
        <v>8576.9053680944489</v>
      </c>
      <c r="AT40" s="396">
        <f t="shared" si="79"/>
        <v>8760.7489350947326</v>
      </c>
      <c r="AU40" s="396">
        <f t="shared" si="79"/>
        <v>8985.4505250895236</v>
      </c>
      <c r="AV40" s="396">
        <f t="shared" si="79"/>
        <v>9251.2149139390949</v>
      </c>
      <c r="AW40" s="396">
        <f t="shared" si="79"/>
        <v>9527.7373642230632</v>
      </c>
      <c r="AX40" s="396">
        <f t="shared" si="79"/>
        <v>10522.543910923961</v>
      </c>
      <c r="AY40" s="396">
        <f t="shared" si="79"/>
        <v>10819.437618756638</v>
      </c>
      <c r="AZ40" s="396">
        <f t="shared" si="79"/>
        <v>11048.655931455629</v>
      </c>
      <c r="BA40" s="396">
        <f t="shared" si="79"/>
        <v>109629.20631241</v>
      </c>
      <c r="BB40" s="396">
        <f t="shared" si="79"/>
        <v>11109.069093355192</v>
      </c>
      <c r="BC40" s="396">
        <f t="shared" si="79"/>
        <v>11168.709250396401</v>
      </c>
      <c r="BD40" s="396">
        <f t="shared" si="79"/>
        <v>11135.509760404208</v>
      </c>
      <c r="BE40" s="396">
        <f t="shared" si="79"/>
        <v>11194.513022165644</v>
      </c>
      <c r="BF40" s="396">
        <f t="shared" si="79"/>
        <v>11303.023971996685</v>
      </c>
      <c r="BG40" s="396">
        <f t="shared" si="79"/>
        <v>11459.607991824894</v>
      </c>
      <c r="BH40" s="396">
        <f t="shared" si="79"/>
        <v>11214.433264869684</v>
      </c>
      <c r="BI40" s="396">
        <f t="shared" si="79"/>
        <v>11464.185609644424</v>
      </c>
      <c r="BJ40" s="396">
        <f t="shared" si="79"/>
        <v>11713.218105798813</v>
      </c>
      <c r="BK40" s="396">
        <f t="shared" si="79"/>
        <v>10573.831531040245</v>
      </c>
      <c r="BL40" s="396">
        <f t="shared" si="79"/>
        <v>10854.400442301008</v>
      </c>
      <c r="BM40" s="396">
        <f t="shared" si="79"/>
        <v>11250.788715413391</v>
      </c>
      <c r="BN40" s="396">
        <f t="shared" si="79"/>
        <v>134441.29075921059</v>
      </c>
      <c r="BO40" s="396">
        <f t="shared" si="79"/>
        <v>108684.762870298</v>
      </c>
    </row>
    <row r="41" spans="1:68" x14ac:dyDescent="0.25">
      <c r="B41" s="396"/>
      <c r="C41" s="396"/>
      <c r="D41" s="396"/>
      <c r="E41" s="396"/>
      <c r="F41" s="396"/>
      <c r="G41" s="396"/>
      <c r="H41" s="396"/>
      <c r="I41" s="396"/>
      <c r="J41" s="396"/>
      <c r="K41" s="396"/>
      <c r="L41" s="396"/>
      <c r="M41" s="396"/>
      <c r="N41" s="396"/>
      <c r="O41" s="396"/>
      <c r="P41" s="396"/>
      <c r="Q41" s="396"/>
      <c r="R41" s="396"/>
      <c r="S41" s="396"/>
      <c r="T41" s="396"/>
      <c r="U41" s="396"/>
      <c r="V41" s="396"/>
      <c r="W41" s="396"/>
      <c r="X41" s="396"/>
      <c r="Y41" s="396"/>
      <c r="Z41" s="396"/>
      <c r="AA41" s="396"/>
      <c r="AB41" s="396"/>
      <c r="AC41" s="396"/>
      <c r="AD41" s="396"/>
      <c r="AE41" s="396"/>
      <c r="AF41" s="396"/>
      <c r="AG41" s="396"/>
      <c r="AH41" s="396"/>
      <c r="AI41" s="396"/>
      <c r="AJ41" s="396"/>
      <c r="AK41" s="396"/>
      <c r="AL41" s="396"/>
      <c r="AM41" s="396"/>
      <c r="AN41" s="396"/>
      <c r="AO41" s="396"/>
      <c r="AP41" s="396"/>
      <c r="AQ41" s="396"/>
      <c r="AR41" s="396"/>
      <c r="AS41" s="396"/>
      <c r="AT41" s="396"/>
      <c r="AU41" s="396"/>
      <c r="AV41" s="396"/>
      <c r="AW41" s="396"/>
      <c r="AX41" s="396"/>
      <c r="AY41" s="396"/>
      <c r="AZ41" s="396"/>
      <c r="BA41" s="396"/>
      <c r="BB41" s="396"/>
      <c r="BC41" s="396"/>
      <c r="BD41" s="396"/>
      <c r="BE41" s="396"/>
      <c r="BF41" s="396"/>
      <c r="BG41" s="396"/>
      <c r="BH41" s="396"/>
      <c r="BI41" s="396"/>
      <c r="BJ41" s="396"/>
      <c r="BK41" s="396"/>
      <c r="BL41" s="396"/>
      <c r="BM41" s="396"/>
      <c r="BN41" s="396"/>
      <c r="BO41" s="396"/>
    </row>
    <row r="42" spans="1:68" s="315" customFormat="1" x14ac:dyDescent="0.25">
      <c r="A42" s="315" t="s">
        <v>435</v>
      </c>
      <c r="B42" s="400">
        <f>B38+B40</f>
        <v>40775.223207613286</v>
      </c>
      <c r="C42" s="400">
        <f t="shared" ref="C42:M42" si="80">C38+C40</f>
        <v>40888.923003723554</v>
      </c>
      <c r="D42" s="400">
        <f t="shared" si="80"/>
        <v>41002.622799833822</v>
      </c>
      <c r="E42" s="400">
        <f t="shared" si="80"/>
        <v>41116.32259594409</v>
      </c>
      <c r="F42" s="400">
        <f t="shared" si="80"/>
        <v>44843.308392054358</v>
      </c>
      <c r="G42" s="400">
        <f t="shared" si="80"/>
        <v>63567.405324397958</v>
      </c>
      <c r="H42" s="400">
        <f t="shared" si="80"/>
        <v>65278.369546412396</v>
      </c>
      <c r="I42" s="400">
        <f t="shared" si="80"/>
        <v>61797.127203766606</v>
      </c>
      <c r="J42" s="400">
        <f t="shared" si="80"/>
        <v>60777.096911498549</v>
      </c>
      <c r="K42" s="400">
        <f t="shared" si="80"/>
        <v>61599.116364083988</v>
      </c>
      <c r="L42" s="400">
        <f t="shared" si="80"/>
        <v>66089.003696224798</v>
      </c>
      <c r="M42" s="400">
        <f t="shared" si="80"/>
        <v>74963.817846196849</v>
      </c>
      <c r="N42" s="400">
        <f>SUM(B42:M42)</f>
        <v>662698.33689175022</v>
      </c>
      <c r="O42" s="400">
        <f>O38+O40</f>
        <v>73474.590153244237</v>
      </c>
      <c r="P42" s="400">
        <f t="shared" ref="P42:AA42" si="81">P38+P40</f>
        <v>72728.122040991089</v>
      </c>
      <c r="Q42" s="400">
        <f t="shared" si="81"/>
        <v>70181.493651176745</v>
      </c>
      <c r="R42" s="400">
        <f t="shared" si="81"/>
        <v>69445.544354054742</v>
      </c>
      <c r="S42" s="400">
        <f t="shared" si="81"/>
        <v>70496.241749482841</v>
      </c>
      <c r="T42" s="400">
        <f t="shared" si="81"/>
        <v>71701.021272347134</v>
      </c>
      <c r="U42" s="400">
        <f t="shared" si="81"/>
        <v>73050.734695785359</v>
      </c>
      <c r="V42" s="400">
        <f t="shared" si="81"/>
        <v>73214.406190421796</v>
      </c>
      <c r="W42" s="400">
        <f t="shared" si="81"/>
        <v>73523.23722435435</v>
      </c>
      <c r="X42" s="400">
        <f t="shared" si="81"/>
        <v>73412.664017888994</v>
      </c>
      <c r="Y42" s="400">
        <f t="shared" si="81"/>
        <v>70236.958561181717</v>
      </c>
      <c r="Z42" s="400">
        <f t="shared" si="81"/>
        <v>40853.69726067139</v>
      </c>
      <c r="AA42" s="400">
        <f t="shared" si="81"/>
        <v>832318.7111716005</v>
      </c>
      <c r="AB42" s="400">
        <f>AB38+AB40</f>
        <v>49413.735800386188</v>
      </c>
      <c r="AC42" s="400">
        <f t="shared" ref="AC42:AN42" si="82">AC38+AC40</f>
        <v>43499.949929834278</v>
      </c>
      <c r="AD42" s="400">
        <f t="shared" si="82"/>
        <v>44176.323234915202</v>
      </c>
      <c r="AE42" s="400">
        <f t="shared" si="82"/>
        <v>45072.805666016357</v>
      </c>
      <c r="AF42" s="400">
        <f t="shared" si="82"/>
        <v>53862.547776772517</v>
      </c>
      <c r="AG42" s="400">
        <f t="shared" si="82"/>
        <v>53964.117909236542</v>
      </c>
      <c r="AH42" s="400">
        <f t="shared" si="82"/>
        <v>66089.432318543433</v>
      </c>
      <c r="AI42" s="400">
        <f t="shared" si="82"/>
        <v>50791.646356834179</v>
      </c>
      <c r="AJ42" s="400">
        <f t="shared" si="82"/>
        <v>70608.076469740103</v>
      </c>
      <c r="AK42" s="400">
        <f t="shared" si="82"/>
        <v>90454.367102110016</v>
      </c>
      <c r="AL42" s="400">
        <f t="shared" si="82"/>
        <v>70326.328454889313</v>
      </c>
      <c r="AM42" s="400">
        <f t="shared" si="82"/>
        <v>70479.725708180311</v>
      </c>
      <c r="AN42" s="400">
        <f t="shared" si="82"/>
        <v>708739.05672745849</v>
      </c>
      <c r="AO42" s="400">
        <f>AO38+AO40</f>
        <v>45164.50809301027</v>
      </c>
      <c r="AP42" s="400">
        <f t="shared" ref="AP42:BA42" si="83">AP38+AP40</f>
        <v>42029.725401318618</v>
      </c>
      <c r="AQ42" s="400">
        <f t="shared" si="83"/>
        <v>39675.447996359886</v>
      </c>
      <c r="AR42" s="400">
        <f t="shared" si="83"/>
        <v>38478.345375715566</v>
      </c>
      <c r="AS42" s="400">
        <f t="shared" si="83"/>
        <v>55251.966199359813</v>
      </c>
      <c r="AT42" s="400">
        <f t="shared" si="83"/>
        <v>66256.012415639096</v>
      </c>
      <c r="AU42" s="400">
        <f t="shared" si="83"/>
        <v>77355.836621242837</v>
      </c>
      <c r="AV42" s="400">
        <f t="shared" si="83"/>
        <v>80408.678705128317</v>
      </c>
      <c r="AW42" s="400">
        <f t="shared" si="83"/>
        <v>76827.788096734817</v>
      </c>
      <c r="AX42" s="400">
        <f t="shared" si="83"/>
        <v>80931.738121129049</v>
      </c>
      <c r="AY42" s="400">
        <f t="shared" si="83"/>
        <v>65039.688302473936</v>
      </c>
      <c r="AZ42" s="400">
        <f t="shared" si="83"/>
        <v>25543.858407647298</v>
      </c>
      <c r="BA42" s="400">
        <f t="shared" si="83"/>
        <v>692963.59373575938</v>
      </c>
      <c r="BB42" s="400">
        <f>BB38+BB40</f>
        <v>24160.981331875588</v>
      </c>
      <c r="BC42" s="400">
        <f t="shared" ref="BC42:BO42" si="84">BC38+BC40</f>
        <v>729.22869473030005</v>
      </c>
      <c r="BD42" s="400">
        <f t="shared" si="84"/>
        <v>22784.384779302287</v>
      </c>
      <c r="BE42" s="400">
        <f t="shared" si="84"/>
        <v>33911.702373218068</v>
      </c>
      <c r="BF42" s="400">
        <f t="shared" si="84"/>
        <v>47811.089934451469</v>
      </c>
      <c r="BG42" s="400">
        <f t="shared" si="84"/>
        <v>65450.043335178241</v>
      </c>
      <c r="BH42" s="400">
        <f t="shared" si="84"/>
        <v>73440.630881209305</v>
      </c>
      <c r="BI42" s="400">
        <f t="shared" si="84"/>
        <v>73603.082852056701</v>
      </c>
      <c r="BJ42" s="400">
        <f t="shared" si="84"/>
        <v>73751.26716812895</v>
      </c>
      <c r="BK42" s="400">
        <f t="shared" si="84"/>
        <v>89565.143667213182</v>
      </c>
      <c r="BL42" s="400">
        <f t="shared" si="84"/>
        <v>120485.85335548231</v>
      </c>
      <c r="BM42" s="400">
        <f t="shared" si="84"/>
        <v>68304.627055192119</v>
      </c>
      <c r="BN42" s="400">
        <f t="shared" si="84"/>
        <v>693998.03542803857</v>
      </c>
      <c r="BO42" s="400">
        <f t="shared" si="84"/>
        <v>108684.762870298</v>
      </c>
    </row>
    <row r="43" spans="1:68" s="315" customFormat="1" x14ac:dyDescent="0.25">
      <c r="A43" s="394" t="s">
        <v>452</v>
      </c>
      <c r="B43" s="409">
        <f>B42</f>
        <v>40775.223207613286</v>
      </c>
      <c r="C43" s="409">
        <f>C42+B43</f>
        <v>81664.146211336832</v>
      </c>
      <c r="D43" s="409">
        <f t="shared" ref="D43:M43" si="85">D42+C43</f>
        <v>122666.76901117066</v>
      </c>
      <c r="E43" s="409">
        <f t="shared" si="85"/>
        <v>163783.09160711477</v>
      </c>
      <c r="F43" s="409">
        <f t="shared" si="85"/>
        <v>208626.39999916911</v>
      </c>
      <c r="G43" s="409">
        <f t="shared" si="85"/>
        <v>272193.80532356707</v>
      </c>
      <c r="H43" s="409">
        <f t="shared" si="85"/>
        <v>337472.17486997944</v>
      </c>
      <c r="I43" s="409">
        <f t="shared" si="85"/>
        <v>399269.30207374605</v>
      </c>
      <c r="J43" s="409">
        <f t="shared" si="85"/>
        <v>460046.39898524457</v>
      </c>
      <c r="K43" s="409">
        <f t="shared" si="85"/>
        <v>521645.51534932858</v>
      </c>
      <c r="L43" s="409">
        <f t="shared" si="85"/>
        <v>587734.5190455534</v>
      </c>
      <c r="M43" s="409">
        <f t="shared" si="85"/>
        <v>662698.33689175022</v>
      </c>
      <c r="N43" s="410">
        <f>M43</f>
        <v>662698.33689175022</v>
      </c>
      <c r="O43" s="409">
        <f>O42+N43</f>
        <v>736172.92704499443</v>
      </c>
      <c r="P43" s="409">
        <f t="shared" ref="P43:Z43" si="86">P42+O43</f>
        <v>808901.04908598552</v>
      </c>
      <c r="Q43" s="409">
        <f t="shared" si="86"/>
        <v>879082.54273716221</v>
      </c>
      <c r="R43" s="409">
        <f t="shared" si="86"/>
        <v>948528.08709121693</v>
      </c>
      <c r="S43" s="409">
        <f t="shared" si="86"/>
        <v>1019024.3288406997</v>
      </c>
      <c r="T43" s="409">
        <f t="shared" si="86"/>
        <v>1090725.3501130468</v>
      </c>
      <c r="U43" s="409">
        <f t="shared" si="86"/>
        <v>1163776.0848088323</v>
      </c>
      <c r="V43" s="409">
        <f t="shared" si="86"/>
        <v>1236990.4909992542</v>
      </c>
      <c r="W43" s="409">
        <f t="shared" si="86"/>
        <v>1310513.7282236086</v>
      </c>
      <c r="X43" s="409">
        <f t="shared" si="86"/>
        <v>1383926.3922414975</v>
      </c>
      <c r="Y43" s="409">
        <f t="shared" si="86"/>
        <v>1454163.3508026793</v>
      </c>
      <c r="Z43" s="409">
        <f t="shared" si="86"/>
        <v>1495017.0480633506</v>
      </c>
      <c r="AA43" s="410">
        <f>Z43</f>
        <v>1495017.0480633506</v>
      </c>
      <c r="AB43" s="409">
        <f>AB42+AA43</f>
        <v>1544430.7838637368</v>
      </c>
      <c r="AC43" s="409">
        <f t="shared" ref="AC43:AM43" si="87">AC42+AB43</f>
        <v>1587930.7337935711</v>
      </c>
      <c r="AD43" s="409">
        <f t="shared" si="87"/>
        <v>1632107.0570284864</v>
      </c>
      <c r="AE43" s="409">
        <f t="shared" si="87"/>
        <v>1677179.8626945028</v>
      </c>
      <c r="AF43" s="409">
        <f t="shared" si="87"/>
        <v>1731042.4104712752</v>
      </c>
      <c r="AG43" s="409">
        <f t="shared" si="87"/>
        <v>1785006.5283805118</v>
      </c>
      <c r="AH43" s="409">
        <f t="shared" si="87"/>
        <v>1851095.9606990553</v>
      </c>
      <c r="AI43" s="409">
        <f t="shared" si="87"/>
        <v>1901887.6070558894</v>
      </c>
      <c r="AJ43" s="409">
        <f t="shared" si="87"/>
        <v>1972495.6835256296</v>
      </c>
      <c r="AK43" s="409">
        <f t="shared" si="87"/>
        <v>2062950.0506277396</v>
      </c>
      <c r="AL43" s="409">
        <f t="shared" si="87"/>
        <v>2133276.379082629</v>
      </c>
      <c r="AM43" s="409">
        <f t="shared" si="87"/>
        <v>2203756.1047908091</v>
      </c>
      <c r="AN43" s="410">
        <f>AM43</f>
        <v>2203756.1047908091</v>
      </c>
      <c r="AO43" s="409">
        <f>AO42+AN43</f>
        <v>2248920.6128838193</v>
      </c>
      <c r="AP43" s="409">
        <f t="shared" ref="AP43:AZ43" si="88">AP42+AO43</f>
        <v>2290950.3382851379</v>
      </c>
      <c r="AQ43" s="409">
        <f t="shared" si="88"/>
        <v>2330625.7862814977</v>
      </c>
      <c r="AR43" s="409">
        <f t="shared" si="88"/>
        <v>2369104.1316572134</v>
      </c>
      <c r="AS43" s="409">
        <f t="shared" si="88"/>
        <v>2424356.0978565733</v>
      </c>
      <c r="AT43" s="409">
        <f t="shared" si="88"/>
        <v>2490612.1102722124</v>
      </c>
      <c r="AU43" s="409">
        <f t="shared" si="88"/>
        <v>2567967.9468934555</v>
      </c>
      <c r="AV43" s="409">
        <f t="shared" si="88"/>
        <v>2648376.6255985838</v>
      </c>
      <c r="AW43" s="409">
        <f t="shared" si="88"/>
        <v>2725204.4136953186</v>
      </c>
      <c r="AX43" s="409">
        <f t="shared" si="88"/>
        <v>2806136.1518164477</v>
      </c>
      <c r="AY43" s="409">
        <f t="shared" si="88"/>
        <v>2871175.8401189218</v>
      </c>
      <c r="AZ43" s="409">
        <f t="shared" si="88"/>
        <v>2896719.6985265692</v>
      </c>
      <c r="BA43" s="410">
        <f>AZ43</f>
        <v>2896719.6985265692</v>
      </c>
      <c r="BB43" s="409">
        <f>BB42+BA43</f>
        <v>2920880.6798584447</v>
      </c>
      <c r="BC43" s="409">
        <f t="shared" ref="BC43:BO43" si="89">BC42+BB43</f>
        <v>2921609.9085531752</v>
      </c>
      <c r="BD43" s="409">
        <f t="shared" si="89"/>
        <v>2944394.2933324776</v>
      </c>
      <c r="BE43" s="409">
        <f t="shared" si="89"/>
        <v>2978305.9957056958</v>
      </c>
      <c r="BF43" s="409">
        <f t="shared" si="89"/>
        <v>3026117.0856401473</v>
      </c>
      <c r="BG43" s="409">
        <f t="shared" si="89"/>
        <v>3091567.1289753257</v>
      </c>
      <c r="BH43" s="409">
        <f t="shared" si="89"/>
        <v>3165007.7598565351</v>
      </c>
      <c r="BI43" s="409">
        <f t="shared" si="89"/>
        <v>3238610.8427085918</v>
      </c>
      <c r="BJ43" s="409">
        <f t="shared" si="89"/>
        <v>3312362.1098767207</v>
      </c>
      <c r="BK43" s="409">
        <f t="shared" si="89"/>
        <v>3401927.2535439339</v>
      </c>
      <c r="BL43" s="409">
        <f t="shared" si="89"/>
        <v>3522413.1068994161</v>
      </c>
      <c r="BM43" s="409">
        <f t="shared" si="89"/>
        <v>3590717.733954608</v>
      </c>
      <c r="BN43" s="410">
        <f>BM43</f>
        <v>3590717.733954608</v>
      </c>
      <c r="BO43" s="409">
        <f t="shared" si="89"/>
        <v>3699402.4968249062</v>
      </c>
      <c r="BP43" s="411"/>
    </row>
    <row r="46" spans="1:68" x14ac:dyDescent="0.25">
      <c r="N46" s="393"/>
      <c r="AA46" s="393"/>
      <c r="AN46" s="393"/>
      <c r="BA46" s="393"/>
      <c r="BN46" s="393"/>
      <c r="BO46" s="393"/>
    </row>
  </sheetData>
  <mergeCells count="1">
    <mergeCell ref="A1:A2"/>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9C660-660F-4B92-B598-BAD45DA02078}">
  <sheetPr>
    <tabColor rgb="FF00B0F0"/>
  </sheetPr>
  <dimension ref="A1:AA31"/>
  <sheetViews>
    <sheetView showGridLines="0" workbookViewId="0">
      <selection activeCell="H27" sqref="H27"/>
    </sheetView>
  </sheetViews>
  <sheetFormatPr defaultRowHeight="15" x14ac:dyDescent="0.25"/>
  <cols>
    <col min="1" max="1" width="20.85546875" customWidth="1"/>
    <col min="2" max="2" width="14.85546875" bestFit="1" customWidth="1"/>
    <col min="3" max="3" width="13" customWidth="1"/>
    <col min="4" max="4" width="10.7109375" customWidth="1"/>
    <col min="5" max="5" width="10.7109375" bestFit="1" customWidth="1"/>
  </cols>
  <sheetData>
    <row r="1" spans="1:27" ht="15" customHeight="1" x14ac:dyDescent="0.25">
      <c r="A1" s="58" t="s">
        <v>501</v>
      </c>
    </row>
    <row r="2" spans="1:27" ht="15" customHeight="1" x14ac:dyDescent="0.25">
      <c r="A2" s="446" t="s">
        <v>500</v>
      </c>
      <c r="B2" s="446" t="s">
        <v>499</v>
      </c>
      <c r="C2" s="446" t="s">
        <v>498</v>
      </c>
      <c r="D2" s="446" t="s">
        <v>497</v>
      </c>
      <c r="E2" s="446" t="s">
        <v>496</v>
      </c>
      <c r="F2" s="446" t="s">
        <v>495</v>
      </c>
      <c r="G2" s="446" t="s">
        <v>494</v>
      </c>
      <c r="H2" s="446" t="s">
        <v>493</v>
      </c>
      <c r="I2" s="446" t="s">
        <v>492</v>
      </c>
      <c r="J2" s="446" t="s">
        <v>491</v>
      </c>
      <c r="K2" s="446" t="s">
        <v>490</v>
      </c>
      <c r="L2" s="446" t="s">
        <v>489</v>
      </c>
      <c r="M2" s="446" t="s">
        <v>488</v>
      </c>
      <c r="N2" s="446" t="s">
        <v>487</v>
      </c>
      <c r="O2" s="446" t="s">
        <v>486</v>
      </c>
      <c r="P2" s="446" t="s">
        <v>485</v>
      </c>
      <c r="Q2" s="446" t="s">
        <v>484</v>
      </c>
      <c r="R2" s="446" t="s">
        <v>483</v>
      </c>
      <c r="S2" s="446" t="s">
        <v>482</v>
      </c>
      <c r="T2" s="446" t="s">
        <v>481</v>
      </c>
      <c r="U2" s="446" t="s">
        <v>480</v>
      </c>
      <c r="V2" s="446" t="s">
        <v>479</v>
      </c>
      <c r="W2" s="446" t="s">
        <v>478</v>
      </c>
      <c r="X2" s="446" t="s">
        <v>477</v>
      </c>
      <c r="Y2" s="446" t="s">
        <v>476</v>
      </c>
      <c r="Z2" s="446" t="s">
        <v>475</v>
      </c>
      <c r="AA2" s="446" t="s">
        <v>474</v>
      </c>
    </row>
    <row r="3" spans="1:27" x14ac:dyDescent="0.25">
      <c r="A3" s="444" t="s">
        <v>526</v>
      </c>
      <c r="B3" s="445">
        <v>2.18E-2</v>
      </c>
      <c r="C3" s="445">
        <v>2.18E-2</v>
      </c>
      <c r="D3" s="445">
        <v>2.18E-2</v>
      </c>
      <c r="E3" s="445">
        <v>2.18E-2</v>
      </c>
      <c r="F3" s="445">
        <v>5.7299999999999999E-3</v>
      </c>
      <c r="G3" s="445">
        <v>5.6999999999999993E-3</v>
      </c>
      <c r="H3" s="445">
        <v>5.6999999999999993E-3</v>
      </c>
      <c r="I3" s="445">
        <v>5.6999999999999993E-3</v>
      </c>
      <c r="J3" s="445">
        <v>5.6999999999999993E-3</v>
      </c>
      <c r="K3" s="445">
        <v>5.6999999999999993E-3</v>
      </c>
      <c r="L3" s="445">
        <v>5.6999999999999993E-3</v>
      </c>
      <c r="M3" s="445">
        <v>1.0200000000000001E-2</v>
      </c>
      <c r="N3" s="445">
        <v>2.2000000000000002E-2</v>
      </c>
      <c r="O3" s="445">
        <v>3.8699999999999998E-2</v>
      </c>
      <c r="P3" s="445">
        <v>4.7300000000000002E-2</v>
      </c>
      <c r="Q3" s="445">
        <v>4.9800000000000004E-2</v>
      </c>
      <c r="R3" s="445">
        <v>4.9800000000000004E-2</v>
      </c>
      <c r="S3" s="445">
        <v>5.4900000000000004E-2</v>
      </c>
      <c r="T3" s="445">
        <v>5.4900000000000004E-2</v>
      </c>
      <c r="U3" s="445">
        <v>5.4900000000000004E-2</v>
      </c>
      <c r="V3" s="445">
        <v>5.2000000000000005E-2</v>
      </c>
      <c r="W3" s="445">
        <v>4.4039999999999996E-2</v>
      </c>
      <c r="X3" s="445">
        <v>3.6400000000000002E-2</v>
      </c>
      <c r="Y3" s="445">
        <v>3.1649999999999998E-2</v>
      </c>
      <c r="Z3" s="445">
        <v>2.9100000000000001E-2</v>
      </c>
      <c r="AA3" s="445">
        <v>2.9100000000000001E-2</v>
      </c>
    </row>
    <row r="4" spans="1:27" x14ac:dyDescent="0.25">
      <c r="A4" s="444" t="s">
        <v>138</v>
      </c>
      <c r="B4" s="445">
        <v>3.7199999999999997E-2</v>
      </c>
      <c r="C4" s="445">
        <v>3.7199999999999997E-2</v>
      </c>
      <c r="D4" s="445">
        <v>3.7199999999999997E-2</v>
      </c>
      <c r="E4" s="445">
        <v>3.7199999999999997E-2</v>
      </c>
      <c r="F4" s="445">
        <v>3.7199999999999997E-2</v>
      </c>
      <c r="G4" s="445">
        <v>3.7199999999999997E-2</v>
      </c>
      <c r="H4" s="445">
        <v>3.7199999999999997E-2</v>
      </c>
      <c r="I4" s="445">
        <v>3.7199999999999997E-2</v>
      </c>
      <c r="J4" s="445">
        <v>3.7199999999999997E-2</v>
      </c>
      <c r="K4" s="445">
        <v>3.7199999999999997E-2</v>
      </c>
      <c r="L4" s="445">
        <v>3.7199999999999997E-2</v>
      </c>
      <c r="M4" s="445">
        <v>3.7199999999999997E-2</v>
      </c>
      <c r="N4" s="445">
        <v>3.7199999999999997E-2</v>
      </c>
      <c r="O4" s="445">
        <v>3.7199999999999997E-2</v>
      </c>
      <c r="P4" s="445">
        <v>3.7199999999999997E-2</v>
      </c>
      <c r="Q4" s="445">
        <v>3.7199999999999997E-2</v>
      </c>
      <c r="R4" s="445">
        <v>3.7199999999999997E-2</v>
      </c>
      <c r="S4" s="445">
        <v>3.7199999999999997E-2</v>
      </c>
      <c r="T4" s="445">
        <v>3.7199999999999997E-2</v>
      </c>
      <c r="U4" s="445">
        <v>3.7199999999999997E-2</v>
      </c>
      <c r="V4" s="445">
        <v>3.7199999999999997E-2</v>
      </c>
      <c r="W4" s="445">
        <v>3.7199999999999997E-2</v>
      </c>
      <c r="X4" s="445">
        <v>3.7199999999999997E-2</v>
      </c>
      <c r="Y4" s="445">
        <v>3.7199999999999997E-2</v>
      </c>
      <c r="Z4" s="445">
        <v>3.7199999999999997E-2</v>
      </c>
      <c r="AA4" s="445">
        <v>3.7199999999999997E-2</v>
      </c>
    </row>
    <row r="6" spans="1:27" s="448" customFormat="1" ht="30" x14ac:dyDescent="0.25">
      <c r="A6" s="451" t="s">
        <v>433</v>
      </c>
      <c r="B6" s="449" t="s">
        <v>504</v>
      </c>
      <c r="C6" s="449" t="s">
        <v>505</v>
      </c>
      <c r="D6" s="452" t="s">
        <v>506</v>
      </c>
      <c r="E6" s="452" t="s">
        <v>507</v>
      </c>
    </row>
    <row r="7" spans="1:27" x14ac:dyDescent="0.25">
      <c r="A7" s="392" t="s">
        <v>503</v>
      </c>
      <c r="B7" s="396">
        <f>'TVA - Continuity'!BO42</f>
        <v>15080.335782702965</v>
      </c>
      <c r="C7" s="396">
        <f>Staff16_TVA!BO42</f>
        <v>12955.397115306045</v>
      </c>
      <c r="D7" s="396">
        <f>B7-C7</f>
        <v>2124.9386673969202</v>
      </c>
      <c r="E7" s="453">
        <f>D7/B7</f>
        <v>0.14090791465228575</v>
      </c>
    </row>
    <row r="8" spans="1:27" x14ac:dyDescent="0.25">
      <c r="A8" s="392" t="s">
        <v>502</v>
      </c>
      <c r="B8" s="450">
        <f>'S&amp;TVA - Continuity'!BO43</f>
        <v>122927.8912321541</v>
      </c>
      <c r="C8" s="450">
        <f>Staff16_STVA!BO42</f>
        <v>108684.762870298</v>
      </c>
      <c r="D8" s="450">
        <f t="shared" ref="D8:D9" si="0">B8-C8</f>
        <v>14243.128361856099</v>
      </c>
      <c r="E8" s="454">
        <f t="shared" ref="E8:E9" si="1">D8/B8</f>
        <v>0.11586571785370822</v>
      </c>
    </row>
    <row r="9" spans="1:27" x14ac:dyDescent="0.25">
      <c r="A9" s="394" t="s">
        <v>343</v>
      </c>
      <c r="B9" s="409">
        <f>SUM(B7:B8)</f>
        <v>138008.22701485705</v>
      </c>
      <c r="C9" s="409">
        <f>SUM(C7:C8)</f>
        <v>121640.15998560404</v>
      </c>
      <c r="D9" s="409">
        <f t="shared" si="0"/>
        <v>16368.067029253012</v>
      </c>
      <c r="E9" s="455">
        <f t="shared" si="1"/>
        <v>0.11860211078206906</v>
      </c>
    </row>
    <row r="11" spans="1:27" x14ac:dyDescent="0.25">
      <c r="A11" s="446" t="s">
        <v>508</v>
      </c>
      <c r="B11" s="456">
        <f>'TVA - Continuity'!$BO$21+'TVA - Continuity'!$BO$34-B7+'S&amp;TVA - Continuity'!$BO$44-B8</f>
        <v>4070047.9871109826</v>
      </c>
      <c r="C11" s="456">
        <f>B11</f>
        <v>4070047.9871109826</v>
      </c>
      <c r="D11" s="456">
        <f>C11</f>
        <v>4070047.9871109826</v>
      </c>
    </row>
    <row r="12" spans="1:27" x14ac:dyDescent="0.25">
      <c r="A12" s="446" t="s">
        <v>509</v>
      </c>
      <c r="B12" s="445">
        <f>B9/B11</f>
        <v>3.3908255492785623E-2</v>
      </c>
      <c r="C12" s="445">
        <f>C9/C11</f>
        <v>2.9886664818403564E-2</v>
      </c>
      <c r="D12" s="445">
        <f>D9/D11</f>
        <v>4.0215906743820626E-3</v>
      </c>
    </row>
    <row r="14" spans="1:27" x14ac:dyDescent="0.25">
      <c r="A14" s="315" t="s">
        <v>527</v>
      </c>
    </row>
    <row r="15" spans="1:27" x14ac:dyDescent="0.25">
      <c r="A15" s="446" t="s">
        <v>446</v>
      </c>
      <c r="B15" s="505" t="s">
        <v>529</v>
      </c>
      <c r="C15" s="505" t="s">
        <v>530</v>
      </c>
      <c r="D15" s="444" t="s">
        <v>506</v>
      </c>
    </row>
    <row r="16" spans="1:27" x14ac:dyDescent="0.25">
      <c r="A16" s="506">
        <v>2019</v>
      </c>
      <c r="B16" s="396">
        <v>0</v>
      </c>
      <c r="C16" s="396">
        <v>0</v>
      </c>
      <c r="D16" s="396">
        <f>C16-B16</f>
        <v>0</v>
      </c>
    </row>
    <row r="17" spans="1:4" x14ac:dyDescent="0.25">
      <c r="A17" s="506">
        <v>2020</v>
      </c>
      <c r="B17" s="396">
        <f>'TVA - Continuity'!N16</f>
        <v>66.916765962015646</v>
      </c>
      <c r="C17" s="396">
        <f>Staff16_TVA!N16</f>
        <v>10.275187471299537</v>
      </c>
      <c r="D17" s="396">
        <f t="shared" ref="D17:D22" si="2">C17-B17</f>
        <v>-56.641578490716107</v>
      </c>
    </row>
    <row r="18" spans="1:4" x14ac:dyDescent="0.25">
      <c r="A18" s="506">
        <v>2021</v>
      </c>
      <c r="B18" s="396">
        <f>'TVA - Continuity'!AA16</f>
        <v>1089.4352046962981</v>
      </c>
      <c r="C18" s="396">
        <f>Staff16_TVA!AA16</f>
        <v>166.92958781636821</v>
      </c>
      <c r="D18" s="396">
        <f t="shared" si="2"/>
        <v>-922.5056168799299</v>
      </c>
    </row>
    <row r="19" spans="1:4" x14ac:dyDescent="0.25">
      <c r="A19" s="506">
        <v>2022</v>
      </c>
      <c r="B19" s="396">
        <f>'TVA - Continuity'!AN16</f>
        <v>3333.2331346401343</v>
      </c>
      <c r="C19" s="396">
        <f>Staff16_TVA!AN16</f>
        <v>1940.6778103271122</v>
      </c>
      <c r="D19" s="396">
        <f t="shared" si="2"/>
        <v>-1392.5553243130221</v>
      </c>
    </row>
    <row r="20" spans="1:4" x14ac:dyDescent="0.25">
      <c r="A20" s="506">
        <v>2023</v>
      </c>
      <c r="B20" s="396">
        <f>'TVA - Continuity'!BA16</f>
        <v>5535.8372041329258</v>
      </c>
      <c r="C20" s="396">
        <f>Staff16_TVA!BA16</f>
        <v>6364.6185429303232</v>
      </c>
      <c r="D20" s="396">
        <f t="shared" si="2"/>
        <v>828.78133879739744</v>
      </c>
    </row>
    <row r="21" spans="1:4" x14ac:dyDescent="0.25">
      <c r="A21" s="506">
        <v>2024</v>
      </c>
      <c r="B21" s="450">
        <f>'TVA - Continuity'!BN16</f>
        <v>7830.522659230287</v>
      </c>
      <c r="C21" s="450">
        <f>Staff16_TVA!BN16</f>
        <v>9550.3464555859373</v>
      </c>
      <c r="D21" s="450">
        <f t="shared" si="2"/>
        <v>1719.8237963556503</v>
      </c>
    </row>
    <row r="22" spans="1:4" x14ac:dyDescent="0.25">
      <c r="A22" s="507" t="s">
        <v>343</v>
      </c>
      <c r="B22" s="409">
        <f>SUM(B16:B21)</f>
        <v>17855.944968661661</v>
      </c>
      <c r="C22" s="409">
        <f t="shared" ref="C22" si="3">SUM(C16:C21)</f>
        <v>18032.847584131043</v>
      </c>
      <c r="D22" s="409">
        <f t="shared" si="2"/>
        <v>176.902615469382</v>
      </c>
    </row>
    <row r="24" spans="1:4" x14ac:dyDescent="0.25">
      <c r="A24" s="446" t="s">
        <v>528</v>
      </c>
      <c r="B24" s="505" t="s">
        <v>529</v>
      </c>
      <c r="C24" s="505" t="s">
        <v>530</v>
      </c>
      <c r="D24" s="444" t="s">
        <v>506</v>
      </c>
    </row>
    <row r="25" spans="1:4" x14ac:dyDescent="0.25">
      <c r="A25" s="506">
        <v>2019</v>
      </c>
      <c r="B25" s="396">
        <v>0</v>
      </c>
      <c r="C25" s="396">
        <v>0</v>
      </c>
      <c r="D25" s="396">
        <f>C25-B25</f>
        <v>0</v>
      </c>
    </row>
    <row r="26" spans="1:4" x14ac:dyDescent="0.25">
      <c r="A26" s="506">
        <v>2020</v>
      </c>
      <c r="B26" s="396">
        <f>'S&amp;TVA - Continuity'!N17</f>
        <v>3513.9634645379847</v>
      </c>
      <c r="C26" s="396">
        <f>Staff16_STVA!N16</f>
        <v>743.37364563453377</v>
      </c>
      <c r="D26" s="396">
        <f t="shared" ref="D26:D31" si="4">C26-B26</f>
        <v>-2770.589818903451</v>
      </c>
    </row>
    <row r="27" spans="1:4" x14ac:dyDescent="0.25">
      <c r="A27" s="506">
        <v>2021</v>
      </c>
      <c r="B27" s="396">
        <f>'S&amp;TVA - Continuity'!AA17</f>
        <v>21078.95742287469</v>
      </c>
      <c r="C27" s="396">
        <f>Staff16_STVA!AA16</f>
        <v>3227.859002483633</v>
      </c>
      <c r="D27" s="396">
        <f t="shared" si="4"/>
        <v>-17851.098420391056</v>
      </c>
    </row>
    <row r="28" spans="1:4" x14ac:dyDescent="0.25">
      <c r="A28" s="506">
        <v>2022</v>
      </c>
      <c r="B28" s="396">
        <f>'S&amp;TVA - Continuity'!AN17</f>
        <v>40104.325944546486</v>
      </c>
      <c r="C28" s="396">
        <f>Staff16_STVA!AN16</f>
        <v>22249.105819281227</v>
      </c>
      <c r="D28" s="396">
        <f t="shared" si="4"/>
        <v>-17855.220125265259</v>
      </c>
    </row>
    <row r="29" spans="1:4" x14ac:dyDescent="0.25">
      <c r="A29" s="506">
        <v>2023</v>
      </c>
      <c r="B29" s="396">
        <f>'S&amp;TVA - Continuity'!BA17</f>
        <v>59167.85415471717</v>
      </c>
      <c r="C29" s="396">
        <f>Staff16_STVA!BA16</f>
        <v>79774.990299911326</v>
      </c>
      <c r="D29" s="396">
        <f t="shared" si="4"/>
        <v>20607.136145194156</v>
      </c>
    </row>
    <row r="30" spans="1:4" x14ac:dyDescent="0.25">
      <c r="A30" s="506">
        <v>2024</v>
      </c>
      <c r="B30" s="450">
        <f>'S&amp;TVA - Continuity'!BN17</f>
        <v>74470.445845828057</v>
      </c>
      <c r="C30" s="450">
        <f>Staff16_STVA!BN16</f>
        <v>101025.72133994248</v>
      </c>
      <c r="D30" s="450">
        <f t="shared" si="4"/>
        <v>26555.275494114423</v>
      </c>
    </row>
    <row r="31" spans="1:4" x14ac:dyDescent="0.25">
      <c r="A31" s="507" t="s">
        <v>343</v>
      </c>
      <c r="B31" s="409">
        <f>SUM(B25:B30)</f>
        <v>198335.54683250439</v>
      </c>
      <c r="C31" s="409">
        <f t="shared" ref="C31" si="5">SUM(C25:C30)</f>
        <v>207021.05010725319</v>
      </c>
      <c r="D31" s="409">
        <f t="shared" si="4"/>
        <v>8685.5032747488003</v>
      </c>
    </row>
  </sheetData>
  <hyperlinks>
    <hyperlink ref="A1" r:id="rId1" xr:uid="{9265BAA8-DE77-4836-9A15-F0B16A62C617}"/>
  </hyperlinks>
  <pageMargins left="0.7" right="0.7" top="0.75" bottom="0.75" header="0.3" footer="0.3"/>
  <pageSetup orientation="portrait"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5"/>
  <sheetViews>
    <sheetView workbookViewId="0">
      <selection activeCell="I36" sqref="I36"/>
    </sheetView>
  </sheetViews>
  <sheetFormatPr defaultRowHeight="15" x14ac:dyDescent="0.25"/>
  <sheetData>
    <row r="1" spans="1:8" x14ac:dyDescent="0.25">
      <c r="A1" s="2" t="s">
        <v>12</v>
      </c>
      <c r="B1" s="18"/>
      <c r="C1" s="18"/>
      <c r="D1" s="18"/>
      <c r="E1" s="18"/>
      <c r="F1" s="18"/>
      <c r="G1" s="18"/>
      <c r="H1" s="18"/>
    </row>
    <row r="2" spans="1:8" x14ac:dyDescent="0.25">
      <c r="A2" s="2" t="s">
        <v>13</v>
      </c>
      <c r="B2" s="18"/>
      <c r="C2" s="18"/>
      <c r="D2" s="18"/>
      <c r="E2" s="18"/>
      <c r="F2" s="18"/>
      <c r="G2" s="18"/>
      <c r="H2" s="18"/>
    </row>
    <row r="3" spans="1:8" x14ac:dyDescent="0.25">
      <c r="A3" s="1"/>
      <c r="B3" s="4">
        <v>2020</v>
      </c>
      <c r="C3" s="4">
        <v>2020</v>
      </c>
      <c r="D3" s="4">
        <v>2020</v>
      </c>
      <c r="E3" s="4">
        <v>2020</v>
      </c>
      <c r="F3" s="4">
        <v>2020</v>
      </c>
      <c r="G3" s="4">
        <v>2020</v>
      </c>
      <c r="H3" s="4">
        <v>2020</v>
      </c>
    </row>
    <row r="4" spans="1:8" x14ac:dyDescent="0.25">
      <c r="A4" s="5"/>
      <c r="B4" s="6" t="s">
        <v>3</v>
      </c>
      <c r="C4" s="6" t="s">
        <v>4</v>
      </c>
      <c r="D4" s="6" t="s">
        <v>5</v>
      </c>
      <c r="E4" s="6" t="s">
        <v>6</v>
      </c>
      <c r="F4" s="6" t="s">
        <v>7</v>
      </c>
      <c r="G4" s="6" t="s">
        <v>8</v>
      </c>
      <c r="H4" s="6" t="s">
        <v>9</v>
      </c>
    </row>
    <row r="5" spans="1:8" x14ac:dyDescent="0.25">
      <c r="A5" s="31" t="s">
        <v>37</v>
      </c>
      <c r="B5" s="310">
        <v>15000</v>
      </c>
      <c r="C5" s="310">
        <v>3000</v>
      </c>
      <c r="D5" s="310">
        <v>3000</v>
      </c>
      <c r="E5" s="310">
        <v>3000</v>
      </c>
      <c r="F5" s="310">
        <v>3000</v>
      </c>
      <c r="G5" s="310">
        <v>3000</v>
      </c>
      <c r="H5" s="310">
        <v>3000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dimension ref="A1:Q135"/>
  <sheetViews>
    <sheetView zoomScale="85" zoomScaleNormal="85" workbookViewId="0">
      <pane xSplit="1" ySplit="5" topLeftCell="B15" activePane="bottomRight" state="frozen"/>
      <selection pane="topRight" activeCell="B1" sqref="B1"/>
      <selection pane="bottomLeft" activeCell="A6" sqref="A6"/>
      <selection pane="bottomRight" activeCell="A31" sqref="A31"/>
    </sheetView>
  </sheetViews>
  <sheetFormatPr defaultColWidth="12.42578125" defaultRowHeight="12.75" x14ac:dyDescent="0.2"/>
  <cols>
    <col min="1" max="1" width="59.28515625" style="18" customWidth="1"/>
    <col min="2" max="13" width="16.7109375" style="18" customWidth="1"/>
    <col min="14" max="16384" width="12.42578125" style="18"/>
  </cols>
  <sheetData>
    <row r="1" spans="1:13" ht="20.25" x14ac:dyDescent="0.3">
      <c r="A1" s="2" t="s">
        <v>12</v>
      </c>
      <c r="B1" s="46"/>
    </row>
    <row r="2" spans="1:13" x14ac:dyDescent="0.2">
      <c r="A2" s="2" t="s">
        <v>91</v>
      </c>
    </row>
    <row r="3" spans="1:13" s="4" customFormat="1" x14ac:dyDescent="0.2">
      <c r="A3" s="1"/>
      <c r="B3" s="4">
        <v>2024</v>
      </c>
      <c r="C3" s="4">
        <v>2024</v>
      </c>
      <c r="D3" s="4">
        <v>2024</v>
      </c>
      <c r="E3" s="4">
        <v>2024</v>
      </c>
      <c r="F3" s="4">
        <v>2024</v>
      </c>
      <c r="G3" s="4">
        <v>2024</v>
      </c>
      <c r="H3" s="4">
        <v>2024</v>
      </c>
      <c r="I3" s="4">
        <v>2024</v>
      </c>
      <c r="J3" s="4">
        <v>2024</v>
      </c>
      <c r="K3" s="4">
        <v>2024</v>
      </c>
      <c r="L3" s="4">
        <v>2024</v>
      </c>
      <c r="M3" s="4">
        <v>2024</v>
      </c>
    </row>
    <row r="4" spans="1:13" s="3" customFormat="1" x14ac:dyDescent="0.2">
      <c r="A4" s="5"/>
      <c r="B4" s="6" t="s">
        <v>3</v>
      </c>
      <c r="C4" s="6" t="s">
        <v>4</v>
      </c>
      <c r="D4" s="6" t="s">
        <v>5</v>
      </c>
      <c r="E4" s="6" t="s">
        <v>6</v>
      </c>
      <c r="F4" s="6" t="s">
        <v>7</v>
      </c>
      <c r="G4" s="6" t="s">
        <v>8</v>
      </c>
      <c r="H4" s="6" t="s">
        <v>9</v>
      </c>
      <c r="I4" s="6" t="s">
        <v>10</v>
      </c>
      <c r="J4" s="6" t="s">
        <v>11</v>
      </c>
      <c r="K4" s="6" t="s">
        <v>0</v>
      </c>
      <c r="L4" s="6" t="s">
        <v>1</v>
      </c>
      <c r="M4" s="16" t="s">
        <v>2</v>
      </c>
    </row>
    <row r="5" spans="1:13" x14ac:dyDescent="0.2">
      <c r="A5" s="3"/>
    </row>
    <row r="6" spans="1:13" hidden="1" x14ac:dyDescent="0.2">
      <c r="A6" s="3" t="s">
        <v>94</v>
      </c>
    </row>
    <row r="7" spans="1:13" hidden="1" x14ac:dyDescent="0.2">
      <c r="A7" s="3" t="s">
        <v>95</v>
      </c>
    </row>
    <row r="8" spans="1:13" hidden="1" x14ac:dyDescent="0.2">
      <c r="A8" s="3" t="s">
        <v>96</v>
      </c>
    </row>
    <row r="9" spans="1:13" hidden="1" x14ac:dyDescent="0.2">
      <c r="A9" s="18" t="s">
        <v>97</v>
      </c>
    </row>
    <row r="10" spans="1:13" hidden="1" x14ac:dyDescent="0.2">
      <c r="A10" s="18" t="s">
        <v>98</v>
      </c>
    </row>
    <row r="11" spans="1:13" hidden="1" x14ac:dyDescent="0.2">
      <c r="A11" s="18" t="s">
        <v>99</v>
      </c>
    </row>
    <row r="12" spans="1:13" hidden="1" x14ac:dyDescent="0.2">
      <c r="A12" s="18" t="s">
        <v>100</v>
      </c>
    </row>
    <row r="13" spans="1:13" hidden="1" x14ac:dyDescent="0.2"/>
    <row r="14" spans="1:13" hidden="1" x14ac:dyDescent="0.2">
      <c r="A14" s="3"/>
    </row>
    <row r="15" spans="1:13" x14ac:dyDescent="0.2">
      <c r="A15" s="3" t="s">
        <v>14</v>
      </c>
    </row>
    <row r="16" spans="1:13" hidden="1" x14ac:dyDescent="0.2">
      <c r="A16" s="3"/>
    </row>
    <row r="17" spans="1:14" hidden="1" x14ac:dyDescent="0.2">
      <c r="A17" s="3" t="s">
        <v>15</v>
      </c>
    </row>
    <row r="18" spans="1:14" hidden="1" x14ac:dyDescent="0.2">
      <c r="A18" s="18" t="s">
        <v>16</v>
      </c>
      <c r="B18" s="40"/>
      <c r="C18" s="40"/>
      <c r="D18" s="40"/>
      <c r="E18" s="40"/>
      <c r="F18" s="41"/>
      <c r="G18" s="41"/>
      <c r="H18" s="41"/>
      <c r="I18" s="41"/>
      <c r="J18" s="41"/>
      <c r="K18" s="41"/>
      <c r="L18" s="41"/>
      <c r="M18" s="41"/>
    </row>
    <row r="19" spans="1:14" hidden="1" x14ac:dyDescent="0.2">
      <c r="A19" s="18" t="s">
        <v>17</v>
      </c>
      <c r="B19" s="40"/>
      <c r="C19" s="40"/>
      <c r="D19" s="40"/>
      <c r="E19" s="40"/>
      <c r="F19" s="41"/>
      <c r="G19" s="41"/>
      <c r="H19" s="41"/>
      <c r="I19" s="41"/>
      <c r="J19" s="41"/>
      <c r="K19" s="41"/>
      <c r="L19" s="41"/>
      <c r="M19" s="41"/>
    </row>
    <row r="20" spans="1:14" hidden="1" x14ac:dyDescent="0.2">
      <c r="A20" s="18" t="s">
        <v>18</v>
      </c>
      <c r="B20" s="40"/>
      <c r="C20" s="40"/>
      <c r="D20" s="40"/>
      <c r="E20" s="40"/>
      <c r="F20" s="41"/>
      <c r="G20" s="41"/>
      <c r="H20" s="41"/>
      <c r="I20" s="41"/>
      <c r="J20" s="41"/>
      <c r="K20" s="41"/>
      <c r="L20" s="41"/>
      <c r="M20" s="41"/>
    </row>
    <row r="21" spans="1:14" hidden="1" x14ac:dyDescent="0.2">
      <c r="A21" s="18" t="s">
        <v>21</v>
      </c>
      <c r="B21" s="40"/>
      <c r="C21" s="40"/>
      <c r="D21" s="40"/>
      <c r="E21" s="40"/>
      <c r="F21" s="41"/>
      <c r="G21" s="41"/>
      <c r="H21" s="41"/>
      <c r="I21" s="41"/>
      <c r="J21" s="41"/>
      <c r="K21" s="41"/>
      <c r="L21" s="41"/>
      <c r="M21" s="41"/>
    </row>
    <row r="22" spans="1:14" hidden="1" x14ac:dyDescent="0.2">
      <c r="A22" s="18" t="s">
        <v>22</v>
      </c>
      <c r="B22" s="40"/>
      <c r="C22" s="40"/>
      <c r="D22" s="40"/>
      <c r="E22" s="40"/>
      <c r="F22" s="41"/>
      <c r="G22" s="41"/>
      <c r="H22" s="41"/>
      <c r="I22" s="41"/>
      <c r="J22" s="41"/>
      <c r="K22" s="41"/>
      <c r="L22" s="41"/>
      <c r="M22" s="41"/>
    </row>
    <row r="23" spans="1:14" hidden="1" x14ac:dyDescent="0.2">
      <c r="A23" s="3"/>
      <c r="F23" s="24"/>
      <c r="G23" s="24"/>
      <c r="H23" s="24"/>
      <c r="I23" s="24"/>
      <c r="J23" s="24"/>
      <c r="K23" s="24"/>
      <c r="L23" s="24"/>
      <c r="M23" s="24"/>
    </row>
    <row r="24" spans="1:14" hidden="1" x14ac:dyDescent="0.2">
      <c r="A24" s="3"/>
      <c r="F24" s="24"/>
      <c r="G24" s="24"/>
      <c r="H24" s="24"/>
      <c r="I24" s="24"/>
      <c r="J24" s="24"/>
      <c r="K24" s="24"/>
      <c r="L24" s="24"/>
      <c r="M24" s="24"/>
    </row>
    <row r="25" spans="1:14" hidden="1" x14ac:dyDescent="0.2">
      <c r="A25" s="3"/>
      <c r="F25" s="24"/>
      <c r="G25" s="24"/>
      <c r="H25" s="24"/>
      <c r="I25" s="24"/>
      <c r="J25" s="24"/>
      <c r="K25" s="24"/>
      <c r="L25" s="24"/>
      <c r="M25" s="24"/>
    </row>
    <row r="26" spans="1:14" x14ac:dyDescent="0.2">
      <c r="A26" s="3" t="s">
        <v>15</v>
      </c>
      <c r="F26" s="24"/>
      <c r="G26" s="24"/>
      <c r="H26" s="24"/>
      <c r="I26" s="24"/>
      <c r="J26" s="24"/>
      <c r="K26" s="24"/>
      <c r="L26" s="24"/>
      <c r="M26" s="24"/>
    </row>
    <row r="27" spans="1:14" x14ac:dyDescent="0.2">
      <c r="A27" s="18" t="s">
        <v>16</v>
      </c>
      <c r="B27" s="44">
        <v>7083.33</v>
      </c>
      <c r="C27" s="44">
        <f>B27</f>
        <v>7083.33</v>
      </c>
      <c r="D27" s="44">
        <f>C27</f>
        <v>7083.33</v>
      </c>
      <c r="E27" s="44">
        <f>D27</f>
        <v>7083.33</v>
      </c>
      <c r="F27" s="44">
        <f t="shared" ref="F27:H27" si="0">E27</f>
        <v>7083.33</v>
      </c>
      <c r="G27" s="44">
        <f t="shared" si="0"/>
        <v>7083.33</v>
      </c>
      <c r="H27" s="44">
        <f t="shared" si="0"/>
        <v>7083.33</v>
      </c>
      <c r="I27" s="44">
        <v>7083.33</v>
      </c>
      <c r="J27" s="44">
        <v>7083.33</v>
      </c>
      <c r="K27" s="44">
        <v>7083.33</v>
      </c>
      <c r="L27" s="44">
        <v>7083.33</v>
      </c>
      <c r="M27" s="44">
        <v>7083.33</v>
      </c>
      <c r="N27" s="18" t="s">
        <v>62</v>
      </c>
    </row>
    <row r="28" spans="1:14" x14ac:dyDescent="0.2">
      <c r="A28" s="18" t="s">
        <v>56</v>
      </c>
      <c r="B28" s="44">
        <v>5.41</v>
      </c>
      <c r="C28" s="44">
        <v>5.07</v>
      </c>
      <c r="D28" s="44">
        <v>0</v>
      </c>
      <c r="E28" s="44">
        <v>41.38</v>
      </c>
      <c r="F28" s="44">
        <v>128.16</v>
      </c>
      <c r="G28" s="44">
        <v>53.64</v>
      </c>
      <c r="H28" s="44">
        <v>39.76</v>
      </c>
      <c r="I28" s="44">
        <v>72.59</v>
      </c>
      <c r="J28" s="44">
        <v>72.180000000000007</v>
      </c>
      <c r="K28" s="44">
        <v>0</v>
      </c>
      <c r="L28" s="44">
        <v>28.8</v>
      </c>
      <c r="M28" s="44">
        <v>114</v>
      </c>
      <c r="N28" s="18" t="s">
        <v>62</v>
      </c>
    </row>
    <row r="29" spans="1:14" x14ac:dyDescent="0.2">
      <c r="A29" s="18" t="s">
        <v>17</v>
      </c>
      <c r="B29" s="44">
        <v>88.33</v>
      </c>
      <c r="C29" s="44">
        <v>95.48</v>
      </c>
      <c r="D29" s="44">
        <v>103.63</v>
      </c>
      <c r="E29" s="44">
        <v>60.23</v>
      </c>
      <c r="F29" s="44"/>
      <c r="G29" s="44"/>
      <c r="H29" s="44"/>
      <c r="I29" s="44"/>
      <c r="J29" s="44"/>
      <c r="K29" s="44"/>
      <c r="L29" s="44"/>
      <c r="M29" s="44"/>
    </row>
    <row r="30" spans="1:14" x14ac:dyDescent="0.2">
      <c r="A30" s="18" t="s">
        <v>21</v>
      </c>
      <c r="B30" s="44"/>
      <c r="C30" s="44"/>
      <c r="D30" s="44"/>
      <c r="E30" s="44"/>
      <c r="F30" s="44"/>
      <c r="G30" s="44"/>
      <c r="H30" s="44"/>
      <c r="I30" s="44"/>
      <c r="J30" s="44"/>
      <c r="K30" s="44"/>
      <c r="L30" s="44"/>
      <c r="M30" s="44"/>
    </row>
    <row r="31" spans="1:14" x14ac:dyDescent="0.2">
      <c r="F31" s="24"/>
      <c r="G31" s="24"/>
      <c r="H31" s="24"/>
      <c r="I31" s="24"/>
      <c r="J31" s="24"/>
      <c r="K31" s="24"/>
      <c r="L31" s="24"/>
      <c r="M31" s="24"/>
    </row>
    <row r="32" spans="1:14" x14ac:dyDescent="0.2">
      <c r="F32" s="24"/>
      <c r="G32" s="24"/>
      <c r="H32" s="24"/>
      <c r="I32" s="24"/>
      <c r="J32" s="24"/>
      <c r="K32" s="24"/>
      <c r="L32" s="24"/>
      <c r="M32" s="24"/>
    </row>
    <row r="33" spans="1:14" x14ac:dyDescent="0.2">
      <c r="A33" s="3" t="s">
        <v>20</v>
      </c>
      <c r="F33" s="24"/>
      <c r="G33" s="24"/>
      <c r="H33" s="24"/>
      <c r="I33" s="24"/>
      <c r="J33" s="24"/>
      <c r="K33" s="24"/>
      <c r="L33" s="24"/>
      <c r="M33" s="24"/>
    </row>
    <row r="34" spans="1:14" x14ac:dyDescent="0.2">
      <c r="A34" s="17" t="s">
        <v>26</v>
      </c>
      <c r="B34" s="44"/>
      <c r="C34" s="44"/>
      <c r="D34" s="44"/>
      <c r="E34" s="44"/>
      <c r="F34" s="44"/>
      <c r="G34" s="44"/>
      <c r="H34" s="44"/>
      <c r="I34" s="44"/>
      <c r="J34" s="44"/>
      <c r="K34" s="44"/>
      <c r="L34" s="44"/>
      <c r="M34" s="44"/>
    </row>
    <row r="35" spans="1:14" x14ac:dyDescent="0.2">
      <c r="A35" s="17" t="s">
        <v>27</v>
      </c>
      <c r="B35" s="44">
        <v>2135.35</v>
      </c>
      <c r="C35" s="44">
        <f>B35</f>
        <v>2135.35</v>
      </c>
      <c r="D35" s="44">
        <f>C35</f>
        <v>2135.35</v>
      </c>
      <c r="E35" s="44">
        <f t="shared" ref="E35:H35" si="1">D35</f>
        <v>2135.35</v>
      </c>
      <c r="F35" s="44">
        <v>2192.9299999999998</v>
      </c>
      <c r="G35" s="44">
        <f t="shared" si="1"/>
        <v>2192.9299999999998</v>
      </c>
      <c r="H35" s="44">
        <f t="shared" si="1"/>
        <v>2192.9299999999998</v>
      </c>
      <c r="I35" s="44">
        <f t="shared" ref="I35" si="2">H35</f>
        <v>2192.9299999999998</v>
      </c>
      <c r="J35" s="44">
        <f t="shared" ref="J35" si="3">I35</f>
        <v>2192.9299999999998</v>
      </c>
      <c r="K35" s="44">
        <f t="shared" ref="K35" si="4">J35</f>
        <v>2192.9299999999998</v>
      </c>
      <c r="L35" s="44">
        <f t="shared" ref="L35" si="5">K35</f>
        <v>2192.9299999999998</v>
      </c>
      <c r="M35" s="44">
        <f t="shared" ref="M35" si="6">L35</f>
        <v>2192.9299999999998</v>
      </c>
      <c r="N35" s="18" t="s">
        <v>62</v>
      </c>
    </row>
    <row r="36" spans="1:14" x14ac:dyDescent="0.2">
      <c r="A36" s="17" t="s">
        <v>28</v>
      </c>
      <c r="B36" s="44"/>
      <c r="C36" s="44"/>
      <c r="D36" s="44"/>
      <c r="E36" s="44"/>
      <c r="F36" s="44"/>
      <c r="G36" s="44"/>
      <c r="H36" s="44"/>
      <c r="I36" s="44"/>
      <c r="J36" s="44"/>
      <c r="K36" s="44"/>
      <c r="L36" s="44"/>
      <c r="M36" s="44"/>
    </row>
    <row r="37" spans="1:14" ht="15" x14ac:dyDescent="0.25">
      <c r="A37" s="17" t="s">
        <v>29</v>
      </c>
      <c r="B37" s="44">
        <v>41957.440000000002</v>
      </c>
      <c r="C37" s="44">
        <f>B37</f>
        <v>41957.440000000002</v>
      </c>
      <c r="D37" s="44">
        <f>C37</f>
        <v>41957.440000000002</v>
      </c>
      <c r="E37" s="44">
        <f t="shared" ref="E37:H37" si="7">D37</f>
        <v>41957.440000000002</v>
      </c>
      <c r="F37" s="44">
        <v>43091.91</v>
      </c>
      <c r="G37" s="44">
        <f t="shared" si="7"/>
        <v>43091.91</v>
      </c>
      <c r="H37" s="44">
        <f t="shared" si="7"/>
        <v>43091.91</v>
      </c>
      <c r="I37" s="44">
        <f t="shared" ref="I37" si="8">H37</f>
        <v>43091.91</v>
      </c>
      <c r="J37" s="44">
        <f t="shared" ref="J37" si="9">I37</f>
        <v>43091.91</v>
      </c>
      <c r="K37" s="44">
        <f t="shared" ref="K37" si="10">J37</f>
        <v>43091.91</v>
      </c>
      <c r="L37" s="44">
        <f t="shared" ref="L37" si="11">K37</f>
        <v>43091.91</v>
      </c>
      <c r="M37" s="44">
        <f t="shared" ref="M37" si="12">L37</f>
        <v>43091.91</v>
      </c>
      <c r="N37" s="58" t="s">
        <v>62</v>
      </c>
    </row>
    <row r="38" spans="1:14" x14ac:dyDescent="0.2">
      <c r="A38" s="17" t="s">
        <v>23</v>
      </c>
      <c r="B38" s="44">
        <v>574.21</v>
      </c>
      <c r="C38" s="44">
        <v>463.9</v>
      </c>
      <c r="D38" s="44">
        <v>447.31</v>
      </c>
      <c r="E38" s="44">
        <v>361.46</v>
      </c>
      <c r="F38" s="44">
        <v>315.27999999999997</v>
      </c>
      <c r="G38" s="44">
        <v>200.7</v>
      </c>
      <c r="H38" s="44">
        <v>255.45</v>
      </c>
      <c r="I38" s="44">
        <v>256.64</v>
      </c>
      <c r="J38" s="44">
        <v>249.93</v>
      </c>
      <c r="K38" s="44">
        <v>471.55</v>
      </c>
      <c r="L38" s="44">
        <v>435.09</v>
      </c>
      <c r="M38" s="44">
        <v>574.30999999999995</v>
      </c>
      <c r="N38" s="18" t="s">
        <v>62</v>
      </c>
    </row>
    <row r="39" spans="1:14" x14ac:dyDescent="0.2">
      <c r="A39" s="17" t="s">
        <v>23</v>
      </c>
      <c r="B39" s="44"/>
      <c r="C39" s="44"/>
      <c r="D39" s="44"/>
      <c r="E39" s="44"/>
      <c r="F39" s="44">
        <v>5150.74</v>
      </c>
      <c r="G39" s="44"/>
      <c r="H39" s="44"/>
      <c r="I39" s="44"/>
      <c r="J39" s="44"/>
      <c r="K39" s="44"/>
      <c r="L39" s="44"/>
      <c r="M39" s="44"/>
    </row>
    <row r="40" spans="1:14" x14ac:dyDescent="0.2">
      <c r="A40" s="17" t="s">
        <v>57</v>
      </c>
      <c r="B40" s="44"/>
      <c r="C40" s="44">
        <v>28.9</v>
      </c>
      <c r="D40" s="44"/>
      <c r="E40" s="44">
        <v>24094.03</v>
      </c>
      <c r="F40" s="44"/>
      <c r="G40" s="44"/>
      <c r="H40" s="44"/>
      <c r="I40" s="44"/>
      <c r="J40" s="44"/>
      <c r="K40" s="44"/>
      <c r="L40" s="44"/>
      <c r="M40" s="44"/>
    </row>
    <row r="41" spans="1:14" x14ac:dyDescent="0.2">
      <c r="A41" s="17" t="s">
        <v>58</v>
      </c>
      <c r="B41" s="44"/>
      <c r="C41" s="44"/>
      <c r="D41" s="44"/>
      <c r="E41" s="44"/>
      <c r="F41" s="44"/>
      <c r="G41" s="44"/>
      <c r="H41" s="44"/>
      <c r="I41" s="44"/>
      <c r="J41" s="44"/>
      <c r="K41" s="44"/>
      <c r="L41" s="44"/>
      <c r="M41" s="44"/>
    </row>
    <row r="42" spans="1:14" x14ac:dyDescent="0.2">
      <c r="A42" s="17" t="s">
        <v>25</v>
      </c>
      <c r="B42" s="44"/>
      <c r="C42" s="44"/>
      <c r="D42" s="44"/>
      <c r="E42" s="44"/>
      <c r="F42" s="44"/>
      <c r="G42" s="44"/>
      <c r="H42" s="44"/>
      <c r="I42" s="44"/>
      <c r="J42" s="44"/>
      <c r="K42" s="44"/>
      <c r="L42" s="44"/>
      <c r="M42" s="44"/>
    </row>
    <row r="43" spans="1:14" ht="25.5" x14ac:dyDescent="0.2">
      <c r="A43" s="56" t="s">
        <v>87</v>
      </c>
      <c r="B43" s="44"/>
      <c r="C43" s="44"/>
      <c r="D43" s="44"/>
      <c r="E43" s="44"/>
      <c r="F43" s="44"/>
      <c r="G43" s="44"/>
      <c r="H43" s="44"/>
      <c r="I43" s="44"/>
      <c r="J43" s="44"/>
      <c r="K43" s="44"/>
      <c r="L43" s="44"/>
      <c r="M43" s="44"/>
    </row>
    <row r="44" spans="1:14" x14ac:dyDescent="0.2">
      <c r="A44" s="32" t="s">
        <v>19</v>
      </c>
      <c r="B44" s="24">
        <f t="shared" ref="B44:M44" si="13">ROUND(SUM(B27:B43)*0.13,2)</f>
        <v>6739.73</v>
      </c>
      <c r="C44" s="24">
        <f t="shared" si="13"/>
        <v>6730.03</v>
      </c>
      <c r="D44" s="24">
        <f t="shared" si="13"/>
        <v>6724.52</v>
      </c>
      <c r="E44" s="24">
        <f t="shared" si="13"/>
        <v>9845.32</v>
      </c>
      <c r="F44" s="24">
        <f t="shared" si="13"/>
        <v>7535.11</v>
      </c>
      <c r="G44" s="24">
        <f t="shared" si="13"/>
        <v>6840.93</v>
      </c>
      <c r="H44" s="24">
        <f t="shared" si="13"/>
        <v>6846.24</v>
      </c>
      <c r="I44" s="24">
        <f t="shared" si="13"/>
        <v>6850.66</v>
      </c>
      <c r="J44" s="24">
        <f t="shared" si="13"/>
        <v>6849.74</v>
      </c>
      <c r="K44" s="24">
        <f t="shared" si="13"/>
        <v>6869.16</v>
      </c>
      <c r="L44" s="24">
        <f t="shared" si="13"/>
        <v>6868.17</v>
      </c>
      <c r="M44" s="24">
        <f t="shared" si="13"/>
        <v>6897.34</v>
      </c>
    </row>
    <row r="45" spans="1:14" x14ac:dyDescent="0.2">
      <c r="A45" s="29" t="s">
        <v>35</v>
      </c>
      <c r="B45" s="36">
        <f t="shared" ref="B45:M45" si="14">SUM(B27:B44)</f>
        <v>58583.8</v>
      </c>
      <c r="C45" s="36">
        <f t="shared" si="14"/>
        <v>58499.5</v>
      </c>
      <c r="D45" s="36">
        <f t="shared" si="14"/>
        <v>58451.58</v>
      </c>
      <c r="E45" s="36">
        <f t="shared" si="14"/>
        <v>85578.540000000008</v>
      </c>
      <c r="F45" s="36">
        <f t="shared" si="14"/>
        <v>65497.46</v>
      </c>
      <c r="G45" s="36">
        <f t="shared" si="14"/>
        <v>59463.44</v>
      </c>
      <c r="H45" s="36">
        <f t="shared" si="14"/>
        <v>59509.62</v>
      </c>
      <c r="I45" s="36">
        <f t="shared" si="14"/>
        <v>59548.06</v>
      </c>
      <c r="J45" s="36">
        <f t="shared" si="14"/>
        <v>59540.020000000004</v>
      </c>
      <c r="K45" s="36">
        <f t="shared" si="14"/>
        <v>59708.880000000005</v>
      </c>
      <c r="L45" s="36">
        <f t="shared" si="14"/>
        <v>59700.229999999996</v>
      </c>
      <c r="M45" s="36">
        <f t="shared" si="14"/>
        <v>59953.820000000007</v>
      </c>
    </row>
    <row r="46" spans="1:14" x14ac:dyDescent="0.2">
      <c r="A46" s="29" t="s">
        <v>38</v>
      </c>
      <c r="B46" s="37">
        <f t="shared" ref="B46:M46" si="15">SUM(B27:B30,B34:B43)</f>
        <v>51844.07</v>
      </c>
      <c r="C46" s="37">
        <f t="shared" si="15"/>
        <v>51769.47</v>
      </c>
      <c r="D46" s="37">
        <f t="shared" si="15"/>
        <v>51727.06</v>
      </c>
      <c r="E46" s="37">
        <f t="shared" si="15"/>
        <v>75733.22</v>
      </c>
      <c r="F46" s="37">
        <f t="shared" si="15"/>
        <v>57962.35</v>
      </c>
      <c r="G46" s="37">
        <f t="shared" si="15"/>
        <v>52622.51</v>
      </c>
      <c r="H46" s="37">
        <f t="shared" si="15"/>
        <v>52663.380000000005</v>
      </c>
      <c r="I46" s="37">
        <f t="shared" si="15"/>
        <v>52697.4</v>
      </c>
      <c r="J46" s="37">
        <f t="shared" si="15"/>
        <v>52690.280000000006</v>
      </c>
      <c r="K46" s="37">
        <f t="shared" si="15"/>
        <v>52839.720000000008</v>
      </c>
      <c r="L46" s="37">
        <f t="shared" si="15"/>
        <v>52832.06</v>
      </c>
      <c r="M46" s="37">
        <f t="shared" si="15"/>
        <v>53056.480000000003</v>
      </c>
    </row>
    <row r="47" spans="1:14" x14ac:dyDescent="0.2">
      <c r="A47" s="31" t="s">
        <v>37</v>
      </c>
      <c r="B47" s="52">
        <v>9128.84</v>
      </c>
      <c r="C47" s="52">
        <v>8087.96</v>
      </c>
      <c r="D47" s="52">
        <v>7885.48</v>
      </c>
      <c r="E47" s="52">
        <v>6962.16</v>
      </c>
      <c r="F47" s="52">
        <v>6521</v>
      </c>
      <c r="G47" s="52">
        <v>5503.92</v>
      </c>
      <c r="H47" s="52">
        <v>5933.2</v>
      </c>
      <c r="I47" s="52">
        <v>6073.02</v>
      </c>
      <c r="J47" s="52">
        <v>6015.74</v>
      </c>
      <c r="K47" s="53">
        <v>8236.18</v>
      </c>
      <c r="L47" s="53">
        <v>7943.42</v>
      </c>
      <c r="M47" s="41">
        <f>Allocation!BN10</f>
        <v>9198.66</v>
      </c>
    </row>
    <row r="48" spans="1:14" x14ac:dyDescent="0.2">
      <c r="A48" s="31" t="s">
        <v>346</v>
      </c>
      <c r="B48" s="44"/>
      <c r="C48" s="44"/>
      <c r="D48" s="44"/>
      <c r="E48" s="44"/>
      <c r="F48" s="44"/>
      <c r="G48" s="44"/>
      <c r="H48" s="44"/>
      <c r="I48" s="44"/>
      <c r="J48" s="44"/>
      <c r="K48" s="41">
        <f>CNG!AE5</f>
        <v>13603.79</v>
      </c>
      <c r="L48" s="41">
        <f>CNG!AF5</f>
        <v>77424.139684399997</v>
      </c>
      <c r="M48" s="41">
        <f>CNG!AG5</f>
        <v>36305.248688</v>
      </c>
    </row>
    <row r="49" spans="1:17" x14ac:dyDescent="0.2">
      <c r="A49" s="31" t="s">
        <v>36</v>
      </c>
      <c r="B49" s="42">
        <f>189003/12</f>
        <v>15750.25</v>
      </c>
      <c r="C49" s="42">
        <f t="shared" ref="C49:M49" si="16">189003/12</f>
        <v>15750.25</v>
      </c>
      <c r="D49" s="42">
        <f t="shared" si="16"/>
        <v>15750.25</v>
      </c>
      <c r="E49" s="42">
        <f t="shared" si="16"/>
        <v>15750.25</v>
      </c>
      <c r="F49" s="42">
        <f t="shared" si="16"/>
        <v>15750.25</v>
      </c>
      <c r="G49" s="42">
        <f t="shared" si="16"/>
        <v>15750.25</v>
      </c>
      <c r="H49" s="42">
        <f t="shared" si="16"/>
        <v>15750.25</v>
      </c>
      <c r="I49" s="42">
        <f t="shared" si="16"/>
        <v>15750.25</v>
      </c>
      <c r="J49" s="42">
        <f t="shared" si="16"/>
        <v>15750.25</v>
      </c>
      <c r="K49" s="42">
        <f t="shared" si="16"/>
        <v>15750.25</v>
      </c>
      <c r="L49" s="42">
        <f t="shared" si="16"/>
        <v>15750.25</v>
      </c>
      <c r="M49" s="42">
        <f t="shared" si="16"/>
        <v>15750.25</v>
      </c>
      <c r="P49" s="59">
        <f>B132</f>
        <v>231765</v>
      </c>
      <c r="Q49" s="48" t="s">
        <v>66</v>
      </c>
    </row>
    <row r="50" spans="1:17" x14ac:dyDescent="0.2">
      <c r="A50" s="31"/>
      <c r="B50" s="33">
        <f>SUM(B46:B49)</f>
        <v>76723.16</v>
      </c>
      <c r="C50" s="33">
        <f>SUM(C46:C49)</f>
        <v>75607.679999999993</v>
      </c>
      <c r="D50" s="33">
        <f t="shared" ref="D50:M50" si="17">SUM(D46:D49)</f>
        <v>75362.789999999994</v>
      </c>
      <c r="E50" s="33">
        <f t="shared" si="17"/>
        <v>98445.63</v>
      </c>
      <c r="F50" s="33">
        <f t="shared" si="17"/>
        <v>80233.600000000006</v>
      </c>
      <c r="G50" s="33">
        <f>SUM(G46:G49)</f>
        <v>73876.679999999993</v>
      </c>
      <c r="H50" s="33">
        <f t="shared" si="17"/>
        <v>74346.83</v>
      </c>
      <c r="I50" s="33">
        <f t="shared" si="17"/>
        <v>74520.67</v>
      </c>
      <c r="J50" s="33">
        <f t="shared" si="17"/>
        <v>74456.27</v>
      </c>
      <c r="K50" s="33">
        <f t="shared" si="17"/>
        <v>90429.94</v>
      </c>
      <c r="L50" s="33">
        <f t="shared" si="17"/>
        <v>153949.86968439998</v>
      </c>
      <c r="M50" s="33">
        <f t="shared" si="17"/>
        <v>114310.63868800001</v>
      </c>
      <c r="N50" s="39">
        <f>SUM(B50:M50)</f>
        <v>1062263.7583724</v>
      </c>
      <c r="P50" s="59">
        <f>P49/12</f>
        <v>19313.75</v>
      </c>
      <c r="Q50" s="48" t="s">
        <v>75</v>
      </c>
    </row>
    <row r="51" spans="1:17" x14ac:dyDescent="0.2">
      <c r="A51" s="31"/>
      <c r="B51" s="19"/>
      <c r="C51" s="19"/>
      <c r="D51" s="19"/>
      <c r="E51" s="19"/>
      <c r="F51" s="19"/>
      <c r="G51" s="19"/>
      <c r="H51" s="19"/>
      <c r="I51" s="19"/>
      <c r="J51" s="19"/>
      <c r="K51" s="19"/>
      <c r="L51" s="19"/>
      <c r="M51" s="19"/>
      <c r="P51" s="59">
        <f>SUM(B49:J49)</f>
        <v>141752.25</v>
      </c>
      <c r="Q51" s="48" t="s">
        <v>76</v>
      </c>
    </row>
    <row r="52" spans="1:17" x14ac:dyDescent="0.2">
      <c r="A52" s="17" t="s">
        <v>39</v>
      </c>
      <c r="B52" s="118">
        <f>Allocation!BC3+Allocation!BC8+B49</f>
        <v>54235.867187658107</v>
      </c>
      <c r="C52" s="118">
        <f>Allocation!BD3+Allocation!BD8+C49</f>
        <v>53781.474393471603</v>
      </c>
      <c r="D52" s="118">
        <f>Allocation!BE3+Allocation!BE8+D49</f>
        <v>58526.829968035781</v>
      </c>
      <c r="E52" s="118">
        <f>Allocation!BF3+Allocation!BF8+E49+E40*Allocation!BB14</f>
        <v>67369.314300190017</v>
      </c>
      <c r="F52" s="118">
        <f>Allocation!BG3+Allocation!BG8+F49</f>
        <v>51988.210911592127</v>
      </c>
      <c r="G52" s="118">
        <f>Allocation!BH3+Allocation!BH8+G49</f>
        <v>51567.280292490868</v>
      </c>
      <c r="H52" s="118">
        <f>Allocation!BI3+Allocation!BI8+H49</f>
        <v>51748.792565477313</v>
      </c>
      <c r="I52" s="118">
        <f>Allocation!BJ3+Allocation!BJ8+I49</f>
        <v>51821.222191549969</v>
      </c>
      <c r="J52" s="118">
        <f>Allocation!BK3+Allocation!BK8+J49</f>
        <v>51854.804011467815</v>
      </c>
      <c r="K52" s="118">
        <f>Allocation!BL3+Allocation!BL8+K49+K48</f>
        <v>68099.167085310633</v>
      </c>
      <c r="L52" s="118">
        <f>Allocation!BM3+Allocation!BM8+L49+L48</f>
        <v>131565.66786231878</v>
      </c>
      <c r="M52" s="118">
        <f>Allocation!BN3+Allocation!BN8+M49+M48</f>
        <v>91628.263288916176</v>
      </c>
      <c r="P52" s="59">
        <f>P132-P51</f>
        <v>115421.65</v>
      </c>
      <c r="Q52" s="48" t="s">
        <v>77</v>
      </c>
    </row>
    <row r="53" spans="1:17" x14ac:dyDescent="0.2">
      <c r="A53" s="17" t="s">
        <v>40</v>
      </c>
      <c r="B53" s="19">
        <f>Allocation!BC4+Allocation!BC9</f>
        <v>22487.300812341902</v>
      </c>
      <c r="C53" s="19">
        <f>Allocation!BD4+Allocation!BD9</f>
        <v>21826.209606528409</v>
      </c>
      <c r="D53" s="19">
        <f>Allocation!BE4+Allocation!BE9</f>
        <v>21981.696031964224</v>
      </c>
      <c r="E53" s="19">
        <f>Allocation!BF4+Allocation!BF9+E40*Allocation!BB15</f>
        <v>31076.308699809982</v>
      </c>
      <c r="F53" s="19">
        <f>Allocation!BG4+Allocation!BG9</f>
        <v>23094.649088407878</v>
      </c>
      <c r="G53" s="19">
        <f>Allocation!BH4+Allocation!BH9</f>
        <v>22309.391707509141</v>
      </c>
      <c r="H53" s="19">
        <f>Allocation!BI4+Allocation!BI9</f>
        <v>22598.063434522683</v>
      </c>
      <c r="I53" s="19">
        <f>Allocation!BJ4+Allocation!BJ9</f>
        <v>22699.441808450028</v>
      </c>
      <c r="J53" s="19">
        <f>Allocation!BK4+Allocation!BK9</f>
        <v>22601.463988532178</v>
      </c>
      <c r="K53" s="19">
        <f>Allocation!BL4+Allocation!BL9</f>
        <v>22330.770914689358</v>
      </c>
      <c r="L53" s="19">
        <f>Allocation!BM4+Allocation!BM9</f>
        <v>22384.195822081212</v>
      </c>
      <c r="M53" s="19">
        <f>Allocation!BN4+Allocation!BN9</f>
        <v>22682.369399083815</v>
      </c>
      <c r="P53" s="59">
        <f>P52/3</f>
        <v>38473.883333333331</v>
      </c>
      <c r="Q53" s="48" t="s">
        <v>78</v>
      </c>
    </row>
    <row r="54" spans="1:17" x14ac:dyDescent="0.2">
      <c r="A54" s="17"/>
      <c r="B54" s="33">
        <f>SUM(B52:B53)</f>
        <v>76723.168000000005</v>
      </c>
      <c r="C54" s="33">
        <f t="shared" ref="C54:M54" si="18">SUM(C52:C53)</f>
        <v>75607.684000000008</v>
      </c>
      <c r="D54" s="33">
        <f t="shared" si="18"/>
        <v>80508.526000000013</v>
      </c>
      <c r="E54" s="33">
        <f t="shared" si="18"/>
        <v>98445.622999999992</v>
      </c>
      <c r="F54" s="33">
        <f t="shared" si="18"/>
        <v>75082.86</v>
      </c>
      <c r="G54" s="33">
        <f t="shared" si="18"/>
        <v>73876.672000000006</v>
      </c>
      <c r="H54" s="33">
        <f t="shared" si="18"/>
        <v>74346.856</v>
      </c>
      <c r="I54" s="33">
        <f t="shared" si="18"/>
        <v>74520.66399999999</v>
      </c>
      <c r="J54" s="33">
        <f t="shared" si="18"/>
        <v>74456.267999999996</v>
      </c>
      <c r="K54" s="33">
        <f t="shared" si="18"/>
        <v>90429.937999999995</v>
      </c>
      <c r="L54" s="33">
        <f t="shared" si="18"/>
        <v>153949.86368439998</v>
      </c>
      <c r="M54" s="33">
        <f t="shared" si="18"/>
        <v>114310.63268799998</v>
      </c>
      <c r="Q54" s="3"/>
    </row>
    <row r="55" spans="1:17" x14ac:dyDescent="0.2">
      <c r="A55" s="17"/>
      <c r="B55" s="344">
        <f>B50-B54</f>
        <v>-8.0000000016298145E-3</v>
      </c>
      <c r="C55" s="344">
        <f t="shared" ref="C55:M55" si="19">C50-C54</f>
        <v>-4.0000000153668225E-3</v>
      </c>
      <c r="D55" s="344">
        <f t="shared" si="19"/>
        <v>-5145.736000000019</v>
      </c>
      <c r="E55" s="344">
        <f t="shared" si="19"/>
        <v>7.0000000123400241E-3</v>
      </c>
      <c r="F55" s="344">
        <f t="shared" si="19"/>
        <v>5150.7400000000052</v>
      </c>
      <c r="G55" s="344">
        <f t="shared" si="19"/>
        <v>7.9999999870778993E-3</v>
      </c>
      <c r="H55" s="344">
        <f t="shared" si="19"/>
        <v>-2.599999999802094E-2</v>
      </c>
      <c r="I55" s="344">
        <f t="shared" si="19"/>
        <v>6.0000000084983185E-3</v>
      </c>
      <c r="J55" s="344">
        <f t="shared" si="19"/>
        <v>2.0000000076834112E-3</v>
      </c>
      <c r="K55" s="344">
        <f t="shared" si="19"/>
        <v>2.0000000076834112E-3</v>
      </c>
      <c r="L55" s="344">
        <f t="shared" si="19"/>
        <v>5.9999999939464033E-3</v>
      </c>
      <c r="M55" s="344">
        <f t="shared" si="19"/>
        <v>6.0000000230502337E-3</v>
      </c>
    </row>
    <row r="56" spans="1:17" x14ac:dyDescent="0.2">
      <c r="A56" s="29" t="s">
        <v>34</v>
      </c>
      <c r="B56" s="19"/>
      <c r="C56" s="19"/>
      <c r="D56" s="19"/>
      <c r="E56" s="20"/>
      <c r="F56" s="24"/>
      <c r="G56" s="24"/>
      <c r="H56" s="24"/>
      <c r="I56" s="24"/>
      <c r="J56" s="24"/>
      <c r="K56" s="24"/>
      <c r="L56" s="24"/>
      <c r="M56" s="24"/>
    </row>
    <row r="57" spans="1:17" x14ac:dyDescent="0.2">
      <c r="A57" s="38" t="s">
        <v>30</v>
      </c>
      <c r="B57" s="42">
        <v>13648.6</v>
      </c>
      <c r="C57" s="42">
        <v>13648.6</v>
      </c>
      <c r="D57" s="42">
        <v>13648.6</v>
      </c>
      <c r="E57" s="42">
        <v>13648.6</v>
      </c>
      <c r="F57" s="42">
        <v>13648.6</v>
      </c>
      <c r="G57" s="42">
        <v>13648.6</v>
      </c>
      <c r="H57" s="42">
        <v>13648.6</v>
      </c>
      <c r="I57" s="42">
        <v>13648.6</v>
      </c>
      <c r="J57" s="42">
        <v>13648.6</v>
      </c>
      <c r="K57" s="42">
        <v>13648.6</v>
      </c>
      <c r="L57" s="42">
        <v>13648.6</v>
      </c>
      <c r="M57" s="42">
        <v>13648.6</v>
      </c>
      <c r="N57" s="18" t="s">
        <v>93</v>
      </c>
    </row>
    <row r="58" spans="1:17" x14ac:dyDescent="0.2">
      <c r="A58" s="38" t="s">
        <v>32</v>
      </c>
      <c r="B58" s="42">
        <v>17535.699999999997</v>
      </c>
      <c r="C58" s="42">
        <v>17535.699999999997</v>
      </c>
      <c r="D58" s="42">
        <v>17535.699999999997</v>
      </c>
      <c r="E58" s="42">
        <v>17535.699999999997</v>
      </c>
      <c r="F58" s="42">
        <v>17535.699999999997</v>
      </c>
      <c r="G58" s="42">
        <v>17535.699999999997</v>
      </c>
      <c r="H58" s="42">
        <v>17535.699999999997</v>
      </c>
      <c r="I58" s="42">
        <v>17535.699999999997</v>
      </c>
      <c r="J58" s="42">
        <v>17535.699999999997</v>
      </c>
      <c r="K58" s="42">
        <v>17535.699999999997</v>
      </c>
      <c r="L58" s="42">
        <v>17535.699999999997</v>
      </c>
      <c r="M58" s="42">
        <v>17535.699999999997</v>
      </c>
      <c r="N58" s="18" t="s">
        <v>93</v>
      </c>
    </row>
    <row r="59" spans="1:17" x14ac:dyDescent="0.2">
      <c r="A59" s="17" t="s">
        <v>43</v>
      </c>
      <c r="B59" s="33">
        <f>SUM(B57:B58)</f>
        <v>31184.299999999996</v>
      </c>
      <c r="C59" s="33">
        <f t="shared" ref="C59:M59" si="20">SUM(C57:C58)</f>
        <v>31184.299999999996</v>
      </c>
      <c r="D59" s="33">
        <f t="shared" si="20"/>
        <v>31184.299999999996</v>
      </c>
      <c r="E59" s="33">
        <f t="shared" si="20"/>
        <v>31184.299999999996</v>
      </c>
      <c r="F59" s="33">
        <f t="shared" si="20"/>
        <v>31184.299999999996</v>
      </c>
      <c r="G59" s="33">
        <f t="shared" si="20"/>
        <v>31184.299999999996</v>
      </c>
      <c r="H59" s="33">
        <f t="shared" si="20"/>
        <v>31184.299999999996</v>
      </c>
      <c r="I59" s="33">
        <f t="shared" si="20"/>
        <v>31184.299999999996</v>
      </c>
      <c r="J59" s="33">
        <f t="shared" si="20"/>
        <v>31184.299999999996</v>
      </c>
      <c r="K59" s="33">
        <f t="shared" si="20"/>
        <v>31184.299999999996</v>
      </c>
      <c r="L59" s="33">
        <f t="shared" si="20"/>
        <v>31184.299999999996</v>
      </c>
      <c r="M59" s="33">
        <f t="shared" si="20"/>
        <v>31184.299999999996</v>
      </c>
      <c r="N59" s="39">
        <f>SUM(B59:M59)</f>
        <v>374211.59999999992</v>
      </c>
    </row>
    <row r="60" spans="1:17" x14ac:dyDescent="0.2">
      <c r="A60" s="17"/>
      <c r="B60" s="19"/>
      <c r="C60" s="19"/>
      <c r="D60" s="19"/>
      <c r="E60" s="19"/>
      <c r="F60" s="19"/>
      <c r="G60" s="19"/>
      <c r="H60" s="19"/>
      <c r="I60" s="19"/>
      <c r="J60" s="19"/>
      <c r="K60" s="19"/>
      <c r="L60" s="19"/>
      <c r="M60" s="19"/>
    </row>
    <row r="61" spans="1:17" x14ac:dyDescent="0.2">
      <c r="A61" s="38" t="s">
        <v>31</v>
      </c>
      <c r="B61" s="42">
        <v>19114</v>
      </c>
      <c r="C61" s="42">
        <v>29035</v>
      </c>
      <c r="D61" s="42">
        <v>23034</v>
      </c>
      <c r="E61" s="43">
        <v>22267.999999999967</v>
      </c>
      <c r="F61" s="41">
        <v>12084.819999999636</v>
      </c>
      <c r="G61" s="41">
        <v>5831.4699999998793</v>
      </c>
      <c r="H61" s="41">
        <v>3032.3599999999601</v>
      </c>
      <c r="I61" s="41">
        <v>2755.4299999999771</v>
      </c>
      <c r="J61" s="42">
        <v>3062.9899999999684</v>
      </c>
      <c r="K61" s="42">
        <v>2796.0199999999654</v>
      </c>
      <c r="L61" s="42">
        <v>8708.3799999997937</v>
      </c>
      <c r="M61" s="42">
        <v>17583.319999999851</v>
      </c>
      <c r="N61" s="18" t="s">
        <v>93</v>
      </c>
    </row>
    <row r="62" spans="1:17" x14ac:dyDescent="0.2">
      <c r="A62" s="38" t="s">
        <v>33</v>
      </c>
      <c r="B62" s="42">
        <v>41233</v>
      </c>
      <c r="C62" s="42">
        <v>54349</v>
      </c>
      <c r="D62" s="42">
        <v>43007</v>
      </c>
      <c r="E62" s="43">
        <v>41547.169999999933</v>
      </c>
      <c r="F62" s="41">
        <v>22558.370000000003</v>
      </c>
      <c r="G62" s="41">
        <v>10908.41999999994</v>
      </c>
      <c r="H62" s="41">
        <v>5653.2800000000307</v>
      </c>
      <c r="I62" s="41">
        <v>6089.9400000000051</v>
      </c>
      <c r="J62" s="42">
        <v>5916.810000000014</v>
      </c>
      <c r="K62" s="42">
        <v>5474.8800000000083</v>
      </c>
      <c r="L62" s="42">
        <v>32388.879999999979</v>
      </c>
      <c r="M62" s="42">
        <v>36154.1499999999</v>
      </c>
      <c r="N62" s="18" t="s">
        <v>93</v>
      </c>
    </row>
    <row r="63" spans="1:17" x14ac:dyDescent="0.2">
      <c r="A63" s="17" t="s">
        <v>44</v>
      </c>
      <c r="B63" s="28">
        <f>SUM(B61:B62)</f>
        <v>60347</v>
      </c>
      <c r="C63" s="28">
        <f t="shared" ref="C63:M63" si="21">SUM(C61:C62)</f>
        <v>83384</v>
      </c>
      <c r="D63" s="28">
        <f t="shared" si="21"/>
        <v>66041</v>
      </c>
      <c r="E63" s="28">
        <f t="shared" si="21"/>
        <v>63815.169999999896</v>
      </c>
      <c r="F63" s="28">
        <f t="shared" si="21"/>
        <v>34643.189999999639</v>
      </c>
      <c r="G63" s="28">
        <f t="shared" si="21"/>
        <v>16739.889999999818</v>
      </c>
      <c r="H63" s="28">
        <f t="shared" si="21"/>
        <v>8685.6399999999903</v>
      </c>
      <c r="I63" s="28">
        <f t="shared" si="21"/>
        <v>8845.3699999999826</v>
      </c>
      <c r="J63" s="28">
        <f t="shared" si="21"/>
        <v>8979.7999999999829</v>
      </c>
      <c r="K63" s="28">
        <f>SUM(K61:K62)</f>
        <v>8270.8999999999742</v>
      </c>
      <c r="L63" s="28">
        <f t="shared" si="21"/>
        <v>41097.259999999776</v>
      </c>
      <c r="M63" s="28">
        <f t="shared" si="21"/>
        <v>53737.469999999754</v>
      </c>
      <c r="N63" s="39">
        <f>SUM(B63:M63)</f>
        <v>454586.6899999989</v>
      </c>
    </row>
    <row r="64" spans="1:17" x14ac:dyDescent="0.2">
      <c r="A64" s="17" t="s">
        <v>84</v>
      </c>
      <c r="B64" s="55">
        <f>+B59+B63</f>
        <v>91531.299999999988</v>
      </c>
      <c r="C64" s="55">
        <f t="shared" ref="C64:M64" si="22">+C59+C63</f>
        <v>114568.29999999999</v>
      </c>
      <c r="D64" s="55">
        <f t="shared" si="22"/>
        <v>97225.299999999988</v>
      </c>
      <c r="E64" s="55">
        <f t="shared" si="22"/>
        <v>94999.469999999885</v>
      </c>
      <c r="F64" s="55">
        <f t="shared" si="22"/>
        <v>65827.489999999641</v>
      </c>
      <c r="G64" s="55">
        <f t="shared" si="22"/>
        <v>47924.189999999813</v>
      </c>
      <c r="H64" s="55">
        <f t="shared" si="22"/>
        <v>39869.939999999988</v>
      </c>
      <c r="I64" s="55">
        <f t="shared" si="22"/>
        <v>40029.669999999976</v>
      </c>
      <c r="J64" s="55">
        <f t="shared" si="22"/>
        <v>40164.099999999977</v>
      </c>
      <c r="K64" s="55">
        <f t="shared" si="22"/>
        <v>39455.199999999968</v>
      </c>
      <c r="L64" s="55">
        <f t="shared" si="22"/>
        <v>72281.559999999765</v>
      </c>
      <c r="M64" s="55">
        <f t="shared" si="22"/>
        <v>84921.769999999757</v>
      </c>
    </row>
    <row r="65" spans="1:17" x14ac:dyDescent="0.2">
      <c r="A65" s="17" t="s">
        <v>45</v>
      </c>
      <c r="B65" s="21">
        <f>B52-B63</f>
        <v>-6111.1328123418934</v>
      </c>
      <c r="C65" s="21">
        <f t="shared" ref="C65:M65" si="23">C52-C63</f>
        <v>-29602.525606528397</v>
      </c>
      <c r="D65" s="21">
        <f t="shared" si="23"/>
        <v>-7514.1700319642187</v>
      </c>
      <c r="E65" s="21">
        <f t="shared" si="23"/>
        <v>3554.1443001901207</v>
      </c>
      <c r="F65" s="21">
        <f t="shared" si="23"/>
        <v>17345.020911592488</v>
      </c>
      <c r="G65" s="21">
        <f t="shared" si="23"/>
        <v>34827.390292491051</v>
      </c>
      <c r="H65" s="21">
        <f>H52-H63</f>
        <v>43063.152565477321</v>
      </c>
      <c r="I65" s="21">
        <f t="shared" si="23"/>
        <v>42975.852191549988</v>
      </c>
      <c r="J65" s="21">
        <f t="shared" si="23"/>
        <v>42875.004011467834</v>
      </c>
      <c r="K65" s="21">
        <f t="shared" si="23"/>
        <v>59828.267085310661</v>
      </c>
      <c r="L65" s="21">
        <f t="shared" si="23"/>
        <v>90468.407862319</v>
      </c>
      <c r="M65" s="21">
        <f t="shared" si="23"/>
        <v>37890.793288916422</v>
      </c>
      <c r="N65" s="27">
        <f>SUM(B65:M65)</f>
        <v>329600.20405848039</v>
      </c>
    </row>
    <row r="66" spans="1:17" x14ac:dyDescent="0.2">
      <c r="A66" s="17" t="s">
        <v>46</v>
      </c>
      <c r="B66" s="21">
        <f>B53-B59</f>
        <v>-8696.9991876580934</v>
      </c>
      <c r="C66" s="21">
        <f t="shared" ref="C66:M66" si="24">C53-C59</f>
        <v>-9358.0903934715861</v>
      </c>
      <c r="D66" s="21">
        <f t="shared" si="24"/>
        <v>-9202.6039680357717</v>
      </c>
      <c r="E66" s="21">
        <f t="shared" si="24"/>
        <v>-107.99130019001313</v>
      </c>
      <c r="F66" s="21">
        <f>F53-F59</f>
        <v>-8089.6509115921181</v>
      </c>
      <c r="G66" s="21">
        <f>G53-G59</f>
        <v>-8874.9082924908544</v>
      </c>
      <c r="H66" s="21">
        <f>H53-H59</f>
        <v>-8586.236565477313</v>
      </c>
      <c r="I66" s="21">
        <f>I53-I59</f>
        <v>-8484.8581915499672</v>
      </c>
      <c r="J66" s="21">
        <f>J53-J59</f>
        <v>-8582.836011467818</v>
      </c>
      <c r="K66" s="21">
        <f t="shared" si="24"/>
        <v>-8853.529085310638</v>
      </c>
      <c r="L66" s="21">
        <f t="shared" si="24"/>
        <v>-8800.1041779187835</v>
      </c>
      <c r="M66" s="21">
        <f t="shared" si="24"/>
        <v>-8501.930600916181</v>
      </c>
      <c r="N66" s="27">
        <f>SUM(B66:M66)</f>
        <v>-96139.738686079145</v>
      </c>
      <c r="Q66" s="54" t="s">
        <v>84</v>
      </c>
    </row>
    <row r="67" spans="1:17" x14ac:dyDescent="0.2">
      <c r="A67" s="17" t="s">
        <v>84</v>
      </c>
      <c r="B67" s="19"/>
      <c r="C67" s="19"/>
      <c r="D67" s="19"/>
      <c r="E67" s="20"/>
      <c r="F67" s="24"/>
      <c r="G67" s="24"/>
      <c r="H67" s="24"/>
      <c r="I67" s="24"/>
      <c r="J67" s="30"/>
      <c r="K67" s="24"/>
      <c r="L67" s="24"/>
      <c r="M67" s="24"/>
      <c r="N67" s="57">
        <f>N50-N59-N63-SUM(N65:N66)</f>
        <v>5.0029999999678694</v>
      </c>
      <c r="O67" s="18" t="s">
        <v>55</v>
      </c>
      <c r="P67" s="19"/>
    </row>
    <row r="68" spans="1:17" x14ac:dyDescent="0.2">
      <c r="A68" s="17"/>
      <c r="B68" s="19"/>
      <c r="C68" s="19"/>
      <c r="D68" s="19"/>
      <c r="E68" s="20"/>
      <c r="F68" s="24"/>
      <c r="G68" s="24"/>
      <c r="H68" s="24"/>
      <c r="I68" s="24"/>
      <c r="J68" s="30"/>
      <c r="K68" s="24"/>
      <c r="L68" s="24"/>
      <c r="M68" s="24"/>
      <c r="N68" s="39"/>
      <c r="P68" s="54"/>
    </row>
    <row r="69" spans="1:17" x14ac:dyDescent="0.2">
      <c r="A69" s="7" t="s">
        <v>41</v>
      </c>
      <c r="B69" s="119">
        <f>'S&amp;TVA 2023'!M60</f>
        <v>1627243.1589508308</v>
      </c>
      <c r="C69" s="119">
        <f>B70</f>
        <v>1621132.0261384889</v>
      </c>
      <c r="D69" s="119">
        <f t="shared" ref="D69:M69" si="25">C70</f>
        <v>1591529.5005319605</v>
      </c>
      <c r="E69" s="119">
        <f t="shared" si="25"/>
        <v>1584015.3304999962</v>
      </c>
      <c r="F69" s="119">
        <f t="shared" si="25"/>
        <v>1587569.4748001862</v>
      </c>
      <c r="G69" s="119">
        <f t="shared" si="25"/>
        <v>1604914.4957117788</v>
      </c>
      <c r="H69" s="119">
        <f t="shared" si="25"/>
        <v>1639741.8860042698</v>
      </c>
      <c r="I69" s="119">
        <f t="shared" si="25"/>
        <v>1682805.0385697472</v>
      </c>
      <c r="J69" s="119">
        <f>I70</f>
        <v>1725780.8907612972</v>
      </c>
      <c r="K69" s="119">
        <f t="shared" si="25"/>
        <v>1768655.894772765</v>
      </c>
      <c r="L69" s="119">
        <f t="shared" si="25"/>
        <v>1828484.1618580758</v>
      </c>
      <c r="M69" s="119">
        <f t="shared" si="25"/>
        <v>1918952.5697203947</v>
      </c>
      <c r="Q69" s="18" t="s">
        <v>84</v>
      </c>
    </row>
    <row r="70" spans="1:17" x14ac:dyDescent="0.2">
      <c r="A70" s="7" t="s">
        <v>42</v>
      </c>
      <c r="B70" s="120">
        <f>B69+B65</f>
        <v>1621132.0261384889</v>
      </c>
      <c r="C70" s="120">
        <f t="shared" ref="C70:M70" si="26">C69+C65</f>
        <v>1591529.5005319605</v>
      </c>
      <c r="D70" s="120">
        <f t="shared" si="26"/>
        <v>1584015.3304999962</v>
      </c>
      <c r="E70" s="120">
        <f t="shared" si="26"/>
        <v>1587569.4748001862</v>
      </c>
      <c r="F70" s="120">
        <f t="shared" si="26"/>
        <v>1604914.4957117788</v>
      </c>
      <c r="G70" s="120">
        <f t="shared" si="26"/>
        <v>1639741.8860042698</v>
      </c>
      <c r="H70" s="120">
        <f t="shared" si="26"/>
        <v>1682805.0385697472</v>
      </c>
      <c r="I70" s="120">
        <f t="shared" si="26"/>
        <v>1725780.8907612972</v>
      </c>
      <c r="J70" s="120">
        <f t="shared" si="26"/>
        <v>1768655.894772765</v>
      </c>
      <c r="K70" s="120">
        <f t="shared" si="26"/>
        <v>1828484.1618580758</v>
      </c>
      <c r="L70" s="120">
        <f t="shared" si="26"/>
        <v>1918952.5697203947</v>
      </c>
      <c r="M70" s="120">
        <f t="shared" si="26"/>
        <v>1956843.363009311</v>
      </c>
    </row>
    <row r="71" spans="1:17" x14ac:dyDescent="0.2">
      <c r="A71" s="7"/>
      <c r="B71" s="30"/>
      <c r="C71" s="30"/>
      <c r="D71" s="30"/>
      <c r="E71" s="30"/>
      <c r="F71" s="30"/>
      <c r="G71" s="30"/>
      <c r="H71" s="30"/>
      <c r="I71" s="30"/>
      <c r="J71" s="30"/>
      <c r="K71" s="30"/>
      <c r="L71" s="30"/>
      <c r="M71" s="30"/>
    </row>
    <row r="72" spans="1:17" x14ac:dyDescent="0.2">
      <c r="A72" s="7" t="s">
        <v>47</v>
      </c>
      <c r="B72" s="119">
        <f>'S&amp;TVA 2023'!M63</f>
        <v>-375482.66295083117</v>
      </c>
      <c r="C72" s="119">
        <f>B73</f>
        <v>-384179.66213848925</v>
      </c>
      <c r="D72" s="119">
        <f t="shared" ref="D72:M72" si="27">C73</f>
        <v>-393537.75253196084</v>
      </c>
      <c r="E72" s="119">
        <f t="shared" si="27"/>
        <v>-402740.35649999662</v>
      </c>
      <c r="F72" s="119">
        <f t="shared" si="27"/>
        <v>-402848.3478001866</v>
      </c>
      <c r="G72" s="119">
        <f>F73</f>
        <v>-410937.99871177872</v>
      </c>
      <c r="H72" s="119">
        <f t="shared" si="27"/>
        <v>-419812.9070042696</v>
      </c>
      <c r="I72" s="119">
        <f t="shared" si="27"/>
        <v>-428399.14356974693</v>
      </c>
      <c r="J72" s="119">
        <f t="shared" si="27"/>
        <v>-436884.00176129688</v>
      </c>
      <c r="K72" s="119">
        <f t="shared" si="27"/>
        <v>-445466.83777276467</v>
      </c>
      <c r="L72" s="119">
        <f t="shared" si="27"/>
        <v>-454320.36685807531</v>
      </c>
      <c r="M72" s="119">
        <f t="shared" si="27"/>
        <v>-463120.47103599412</v>
      </c>
    </row>
    <row r="73" spans="1:17" x14ac:dyDescent="0.2">
      <c r="A73" s="7" t="s">
        <v>48</v>
      </c>
      <c r="B73" s="120">
        <f>B66+B72</f>
        <v>-384179.66213848925</v>
      </c>
      <c r="C73" s="120">
        <f t="shared" ref="C73:M73" si="28">C72+C66</f>
        <v>-393537.75253196084</v>
      </c>
      <c r="D73" s="120">
        <f t="shared" si="28"/>
        <v>-402740.35649999662</v>
      </c>
      <c r="E73" s="120">
        <f t="shared" si="28"/>
        <v>-402848.3478001866</v>
      </c>
      <c r="F73" s="120">
        <f t="shared" si="28"/>
        <v>-410937.99871177872</v>
      </c>
      <c r="G73" s="120">
        <f t="shared" si="28"/>
        <v>-419812.9070042696</v>
      </c>
      <c r="H73" s="120">
        <f t="shared" si="28"/>
        <v>-428399.14356974693</v>
      </c>
      <c r="I73" s="120">
        <f t="shared" si="28"/>
        <v>-436884.00176129688</v>
      </c>
      <c r="J73" s="120">
        <f t="shared" si="28"/>
        <v>-445466.83777276467</v>
      </c>
      <c r="K73" s="120">
        <f t="shared" si="28"/>
        <v>-454320.36685807531</v>
      </c>
      <c r="L73" s="120">
        <f t="shared" si="28"/>
        <v>-463120.47103599412</v>
      </c>
      <c r="M73" s="120">
        <f t="shared" si="28"/>
        <v>-471622.40163691028</v>
      </c>
    </row>
    <row r="74" spans="1:17" x14ac:dyDescent="0.2">
      <c r="A74" s="7"/>
      <c r="B74" s="21"/>
      <c r="C74" s="21"/>
      <c r="D74" s="21"/>
      <c r="E74" s="21"/>
      <c r="F74" s="21"/>
      <c r="G74" s="21"/>
      <c r="H74" s="21"/>
      <c r="I74" s="21"/>
      <c r="J74" s="21"/>
      <c r="K74" s="21"/>
      <c r="L74" s="21"/>
      <c r="M74" s="21"/>
    </row>
    <row r="75" spans="1:17" s="9" customFormat="1" x14ac:dyDescent="0.2">
      <c r="A75" s="8" t="s">
        <v>344</v>
      </c>
      <c r="B75" s="23" t="e">
        <f>#REF!</f>
        <v>#REF!</v>
      </c>
      <c r="C75" s="23" t="e">
        <f>#REF!</f>
        <v>#REF!</v>
      </c>
      <c r="D75" s="23" t="e">
        <f>#REF!</f>
        <v>#REF!</v>
      </c>
      <c r="E75" s="23" t="e">
        <f>#REF!</f>
        <v>#REF!</v>
      </c>
      <c r="F75" s="23" t="e">
        <f>#REF!</f>
        <v>#REF!</v>
      </c>
      <c r="G75" s="23" t="e">
        <f>#REF!</f>
        <v>#REF!</v>
      </c>
      <c r="H75" s="23" t="e">
        <f>#REF!</f>
        <v>#REF!</v>
      </c>
      <c r="I75" s="23" t="e">
        <f>#REF!</f>
        <v>#REF!</v>
      </c>
      <c r="J75" s="23" t="e">
        <f>#REF!</f>
        <v>#REF!</v>
      </c>
      <c r="K75" s="23" t="e">
        <f>#REF!</f>
        <v>#REF!</v>
      </c>
      <c r="L75" s="23" t="e">
        <f>#REF!</f>
        <v>#REF!</v>
      </c>
      <c r="M75" s="23" t="e">
        <f>#REF!</f>
        <v>#REF!</v>
      </c>
    </row>
    <row r="76" spans="1:17" s="9" customFormat="1" x14ac:dyDescent="0.2">
      <c r="A76" s="8"/>
      <c r="B76" s="23"/>
      <c r="C76" s="23"/>
      <c r="D76" s="23"/>
      <c r="E76" s="23"/>
      <c r="F76" s="23"/>
      <c r="G76" s="23"/>
      <c r="H76" s="23"/>
      <c r="I76" s="23"/>
      <c r="J76" s="23"/>
      <c r="K76" s="23"/>
      <c r="L76" s="23"/>
      <c r="M76" s="23"/>
    </row>
    <row r="77" spans="1:17" x14ac:dyDescent="0.2">
      <c r="A77" s="10" t="s">
        <v>49</v>
      </c>
      <c r="B77" s="22" t="e">
        <f>B69*B75/12</f>
        <v>#REF!</v>
      </c>
      <c r="C77" s="22" t="e">
        <f>C69*C75/12</f>
        <v>#REF!</v>
      </c>
      <c r="D77" s="22" t="e">
        <f>D69*D75/12</f>
        <v>#REF!</v>
      </c>
      <c r="E77" s="22" t="e">
        <f t="shared" ref="E77:M77" si="29">E69*E75/12</f>
        <v>#REF!</v>
      </c>
      <c r="F77" s="22" t="e">
        <f t="shared" si="29"/>
        <v>#REF!</v>
      </c>
      <c r="G77" s="22" t="e">
        <f t="shared" si="29"/>
        <v>#REF!</v>
      </c>
      <c r="H77" s="22" t="e">
        <f>H69*H75/12</f>
        <v>#REF!</v>
      </c>
      <c r="I77" s="22" t="e">
        <f>I69*I75/12</f>
        <v>#REF!</v>
      </c>
      <c r="J77" s="22" t="e">
        <f t="shared" si="29"/>
        <v>#REF!</v>
      </c>
      <c r="K77" s="22" t="e">
        <f t="shared" si="29"/>
        <v>#REF!</v>
      </c>
      <c r="L77" s="22" t="e">
        <f t="shared" si="29"/>
        <v>#REF!</v>
      </c>
      <c r="M77" s="22" t="e">
        <f t="shared" si="29"/>
        <v>#REF!</v>
      </c>
      <c r="N77" s="25" t="e">
        <f>SUM(B77:M77)</f>
        <v>#REF!</v>
      </c>
    </row>
    <row r="78" spans="1:17" x14ac:dyDescent="0.2">
      <c r="A78" s="10" t="s">
        <v>50</v>
      </c>
      <c r="B78" s="22" t="e">
        <f>B72*B75/12</f>
        <v>#REF!</v>
      </c>
      <c r="C78" s="22" t="e">
        <f t="shared" ref="C78:M78" si="30">C72*C75/12</f>
        <v>#REF!</v>
      </c>
      <c r="D78" s="22" t="e">
        <f t="shared" si="30"/>
        <v>#REF!</v>
      </c>
      <c r="E78" s="22" t="e">
        <f t="shared" si="30"/>
        <v>#REF!</v>
      </c>
      <c r="F78" s="22" t="e">
        <f t="shared" si="30"/>
        <v>#REF!</v>
      </c>
      <c r="G78" s="22" t="e">
        <f t="shared" si="30"/>
        <v>#REF!</v>
      </c>
      <c r="H78" s="22" t="e">
        <f t="shared" si="30"/>
        <v>#REF!</v>
      </c>
      <c r="I78" s="22" t="e">
        <f t="shared" si="30"/>
        <v>#REF!</v>
      </c>
      <c r="J78" s="22" t="e">
        <f t="shared" si="30"/>
        <v>#REF!</v>
      </c>
      <c r="K78" s="22" t="e">
        <f t="shared" si="30"/>
        <v>#REF!</v>
      </c>
      <c r="L78" s="22" t="e">
        <f t="shared" si="30"/>
        <v>#REF!</v>
      </c>
      <c r="M78" s="22" t="e">
        <f t="shared" si="30"/>
        <v>#REF!</v>
      </c>
      <c r="N78" s="25" t="e">
        <f>SUM(B78:M78)</f>
        <v>#REF!</v>
      </c>
    </row>
    <row r="79" spans="1:17" x14ac:dyDescent="0.2">
      <c r="A79" s="10"/>
      <c r="B79" s="22"/>
      <c r="C79" s="22"/>
      <c r="D79" s="22"/>
      <c r="E79" s="22"/>
      <c r="F79" s="22"/>
      <c r="G79" s="22"/>
      <c r="H79" s="22"/>
      <c r="I79" s="22"/>
      <c r="J79" s="22"/>
      <c r="K79" s="22"/>
      <c r="L79" s="22"/>
      <c r="M79" s="22"/>
    </row>
    <row r="80" spans="1:17" x14ac:dyDescent="0.2">
      <c r="A80" s="17" t="s">
        <v>51</v>
      </c>
      <c r="B80" s="21" t="e">
        <f>'S&amp;TVA 2023'!M71</f>
        <v>#REF!</v>
      </c>
      <c r="C80" s="21" t="e">
        <f>B81</f>
        <v>#REF!</v>
      </c>
      <c r="D80" s="21" t="e">
        <f t="shared" ref="D80:M80" si="31">C81</f>
        <v>#REF!</v>
      </c>
      <c r="E80" s="21" t="e">
        <f t="shared" si="31"/>
        <v>#REF!</v>
      </c>
      <c r="F80" s="21" t="e">
        <f t="shared" si="31"/>
        <v>#REF!</v>
      </c>
      <c r="G80" s="21" t="e">
        <f t="shared" si="31"/>
        <v>#REF!</v>
      </c>
      <c r="H80" s="21" t="e">
        <f t="shared" si="31"/>
        <v>#REF!</v>
      </c>
      <c r="I80" s="21" t="e">
        <f t="shared" si="31"/>
        <v>#REF!</v>
      </c>
      <c r="J80" s="21" t="e">
        <f t="shared" si="31"/>
        <v>#REF!</v>
      </c>
      <c r="K80" s="21" t="e">
        <f t="shared" si="31"/>
        <v>#REF!</v>
      </c>
      <c r="L80" s="21" t="e">
        <f t="shared" si="31"/>
        <v>#REF!</v>
      </c>
      <c r="M80" s="21" t="e">
        <f t="shared" si="31"/>
        <v>#REF!</v>
      </c>
    </row>
    <row r="81" spans="1:13" x14ac:dyDescent="0.2">
      <c r="A81" s="17" t="s">
        <v>52</v>
      </c>
      <c r="B81" s="26" t="e">
        <f>SUM(B77,B80)</f>
        <v>#REF!</v>
      </c>
      <c r="C81" s="26" t="e">
        <f>SUM(C77,C80)</f>
        <v>#REF!</v>
      </c>
      <c r="D81" s="26" t="e">
        <f>SUM(D77,D80)</f>
        <v>#REF!</v>
      </c>
      <c r="E81" s="26" t="e">
        <f t="shared" ref="E81:M81" si="32">SUM(E77,E80)</f>
        <v>#REF!</v>
      </c>
      <c r="F81" s="26" t="e">
        <f t="shared" si="32"/>
        <v>#REF!</v>
      </c>
      <c r="G81" s="26" t="e">
        <f t="shared" si="32"/>
        <v>#REF!</v>
      </c>
      <c r="H81" s="26" t="e">
        <f t="shared" si="32"/>
        <v>#REF!</v>
      </c>
      <c r="I81" s="26" t="e">
        <f t="shared" si="32"/>
        <v>#REF!</v>
      </c>
      <c r="J81" s="26" t="e">
        <f t="shared" si="32"/>
        <v>#REF!</v>
      </c>
      <c r="K81" s="26" t="e">
        <f t="shared" si="32"/>
        <v>#REF!</v>
      </c>
      <c r="L81" s="26" t="e">
        <f t="shared" si="32"/>
        <v>#REF!</v>
      </c>
      <c r="M81" s="26" t="e">
        <f t="shared" si="32"/>
        <v>#REF!</v>
      </c>
    </row>
    <row r="82" spans="1:13" x14ac:dyDescent="0.2">
      <c r="A82" s="11"/>
    </row>
    <row r="83" spans="1:13" x14ac:dyDescent="0.2">
      <c r="A83" s="17" t="s">
        <v>53</v>
      </c>
      <c r="B83" s="21" t="e">
        <f>'S&amp;TVA 2023'!M74</f>
        <v>#REF!</v>
      </c>
      <c r="C83" s="21" t="e">
        <f>B84</f>
        <v>#REF!</v>
      </c>
      <c r="D83" s="21" t="e">
        <f t="shared" ref="D83:M83" si="33">C84</f>
        <v>#REF!</v>
      </c>
      <c r="E83" s="21" t="e">
        <f t="shared" si="33"/>
        <v>#REF!</v>
      </c>
      <c r="F83" s="21" t="e">
        <f t="shared" si="33"/>
        <v>#REF!</v>
      </c>
      <c r="G83" s="21" t="e">
        <f t="shared" si="33"/>
        <v>#REF!</v>
      </c>
      <c r="H83" s="21" t="e">
        <f t="shared" si="33"/>
        <v>#REF!</v>
      </c>
      <c r="I83" s="21" t="e">
        <f t="shared" si="33"/>
        <v>#REF!</v>
      </c>
      <c r="J83" s="21" t="e">
        <f t="shared" si="33"/>
        <v>#REF!</v>
      </c>
      <c r="K83" s="21" t="e">
        <f t="shared" si="33"/>
        <v>#REF!</v>
      </c>
      <c r="L83" s="21" t="e">
        <f t="shared" si="33"/>
        <v>#REF!</v>
      </c>
      <c r="M83" s="21" t="e">
        <f t="shared" si="33"/>
        <v>#REF!</v>
      </c>
    </row>
    <row r="84" spans="1:13" x14ac:dyDescent="0.2">
      <c r="A84" s="17" t="s">
        <v>54</v>
      </c>
      <c r="B84" s="26" t="e">
        <f>SUM(B78,B83)</f>
        <v>#REF!</v>
      </c>
      <c r="C84" s="26" t="e">
        <f>SUM(C78,C83)</f>
        <v>#REF!</v>
      </c>
      <c r="D84" s="26" t="e">
        <f>SUM(D78,D83)</f>
        <v>#REF!</v>
      </c>
      <c r="E84" s="26" t="e">
        <f t="shared" ref="E84:M84" si="34">SUM(E78,E83)</f>
        <v>#REF!</v>
      </c>
      <c r="F84" s="26" t="e">
        <f t="shared" si="34"/>
        <v>#REF!</v>
      </c>
      <c r="G84" s="26" t="e">
        <f t="shared" si="34"/>
        <v>#REF!</v>
      </c>
      <c r="H84" s="26" t="e">
        <f t="shared" si="34"/>
        <v>#REF!</v>
      </c>
      <c r="I84" s="26" t="e">
        <f t="shared" si="34"/>
        <v>#REF!</v>
      </c>
      <c r="J84" s="26" t="e">
        <f t="shared" si="34"/>
        <v>#REF!</v>
      </c>
      <c r="K84" s="26" t="e">
        <f t="shared" si="34"/>
        <v>#REF!</v>
      </c>
      <c r="L84" s="26" t="e">
        <f t="shared" si="34"/>
        <v>#REF!</v>
      </c>
      <c r="M84" s="26" t="e">
        <f t="shared" si="34"/>
        <v>#REF!</v>
      </c>
    </row>
    <row r="85" spans="1:13" x14ac:dyDescent="0.2">
      <c r="A85" s="11"/>
    </row>
    <row r="86" spans="1:13" x14ac:dyDescent="0.2">
      <c r="A86" s="12" t="s">
        <v>69</v>
      </c>
      <c r="D86" s="39">
        <f>SUM(B65:D65)</f>
        <v>-43227.82845083451</v>
      </c>
      <c r="G86" s="39">
        <f>SUM(E65:G65)</f>
        <v>55726.55550427366</v>
      </c>
      <c r="J86" s="39">
        <f>SUM(H65:J65)</f>
        <v>128914.00876849514</v>
      </c>
      <c r="M86" s="39">
        <f>SUM(K65:M65)</f>
        <v>188187.46823654609</v>
      </c>
    </row>
    <row r="87" spans="1:13" x14ac:dyDescent="0.2">
      <c r="A87" s="12" t="s">
        <v>70</v>
      </c>
      <c r="D87" s="39">
        <f>SUM(B66:D66)</f>
        <v>-27257.693549165451</v>
      </c>
      <c r="G87" s="39">
        <f>SUM(E66:G66)</f>
        <v>-17072.550504272986</v>
      </c>
      <c r="J87" s="39">
        <f>SUM(H66:J66)</f>
        <v>-25653.930768495098</v>
      </c>
      <c r="M87" s="39">
        <f>SUM(K66:M66)</f>
        <v>-26155.563864145603</v>
      </c>
    </row>
    <row r="88" spans="1:13" x14ac:dyDescent="0.2">
      <c r="A88" s="14"/>
    </row>
    <row r="89" spans="1:13" x14ac:dyDescent="0.2">
      <c r="A89" s="12" t="s">
        <v>71</v>
      </c>
      <c r="D89" s="25" t="e">
        <f>SUM(B77:D77)</f>
        <v>#REF!</v>
      </c>
      <c r="G89" s="25" t="e">
        <f>SUM(E77:G77)</f>
        <v>#REF!</v>
      </c>
      <c r="J89" s="25" t="e">
        <f>SUM(H77:J77)</f>
        <v>#REF!</v>
      </c>
      <c r="M89" s="25" t="e">
        <f>SUM(K77:M77)</f>
        <v>#REF!</v>
      </c>
    </row>
    <row r="90" spans="1:13" x14ac:dyDescent="0.2">
      <c r="A90" s="12" t="s">
        <v>72</v>
      </c>
      <c r="D90" s="25" t="e">
        <f>SUM(B78:D78)</f>
        <v>#REF!</v>
      </c>
      <c r="G90" s="25" t="e">
        <f>SUM(E78:G78)</f>
        <v>#REF!</v>
      </c>
      <c r="J90" s="25" t="e">
        <f>SUM(H78:J78)</f>
        <v>#REF!</v>
      </c>
      <c r="M90" s="25" t="e">
        <f>SUM(K78:M78)</f>
        <v>#REF!</v>
      </c>
    </row>
    <row r="91" spans="1:13" x14ac:dyDescent="0.2">
      <c r="A91" s="7"/>
    </row>
    <row r="92" spans="1:13" x14ac:dyDescent="0.2">
      <c r="A92" s="7"/>
    </row>
    <row r="93" spans="1:13" x14ac:dyDescent="0.2">
      <c r="A93" s="12"/>
    </row>
    <row r="94" spans="1:13" x14ac:dyDescent="0.2">
      <c r="A94" s="13"/>
    </row>
    <row r="95" spans="1:13" x14ac:dyDescent="0.2">
      <c r="A95" s="14"/>
    </row>
    <row r="96" spans="1:13" x14ac:dyDescent="0.2">
      <c r="A96" s="49" t="s">
        <v>79</v>
      </c>
    </row>
    <row r="97" spans="1:11" x14ac:dyDescent="0.2">
      <c r="A97" s="49" t="s">
        <v>80</v>
      </c>
    </row>
    <row r="98" spans="1:11" x14ac:dyDescent="0.2">
      <c r="A98" s="7"/>
      <c r="J98" s="18" t="s">
        <v>67</v>
      </c>
      <c r="K98" s="18" t="s">
        <v>88</v>
      </c>
    </row>
    <row r="99" spans="1:11" x14ac:dyDescent="0.2">
      <c r="A99" s="7"/>
    </row>
    <row r="100" spans="1:11" x14ac:dyDescent="0.2">
      <c r="A100" s="7"/>
    </row>
    <row r="101" spans="1:11" x14ac:dyDescent="0.2">
      <c r="A101" s="7"/>
    </row>
    <row r="102" spans="1:11" x14ac:dyDescent="0.2">
      <c r="A102" s="50" t="s">
        <v>81</v>
      </c>
    </row>
    <row r="103" spans="1:11" x14ac:dyDescent="0.2">
      <c r="A103" s="7"/>
    </row>
    <row r="131" spans="1:17" x14ac:dyDescent="0.2">
      <c r="B131" s="4" t="s">
        <v>85</v>
      </c>
      <c r="C131" s="4" t="s">
        <v>86</v>
      </c>
      <c r="P131" s="4" t="s">
        <v>85</v>
      </c>
      <c r="Q131" s="4" t="s">
        <v>86</v>
      </c>
    </row>
    <row r="132" spans="1:17" x14ac:dyDescent="0.2">
      <c r="A132" s="29" t="s">
        <v>82</v>
      </c>
      <c r="B132" s="51">
        <f>137544+94221</f>
        <v>231765</v>
      </c>
      <c r="C132" s="51">
        <f>B132/12</f>
        <v>19313.75</v>
      </c>
      <c r="P132" s="51">
        <f>153219.84+103954.06</f>
        <v>257173.9</v>
      </c>
      <c r="Q132" s="51">
        <f>P132/12</f>
        <v>21431.158333333333</v>
      </c>
    </row>
    <row r="135" spans="1:17" ht="15" x14ac:dyDescent="0.25">
      <c r="P135" s="58" t="s">
        <v>92</v>
      </c>
    </row>
  </sheetData>
  <hyperlinks>
    <hyperlink ref="N37" r:id="rId1" xr:uid="{00000000-0004-0000-0500-000001000000}"/>
    <hyperlink ref="P135" r:id="rId2" xr:uid="{00000000-0004-0000-0500-000000000000}"/>
  </hyperlinks>
  <pageMargins left="0.70866141732283472" right="0.70866141732283472" top="0.74803149606299213" bottom="0.74803149606299213" header="0.31496062992125984" footer="0.31496062992125984"/>
  <pageSetup orientation="portrait" r:id="rId3"/>
  <headerFooter>
    <oddHeader>&amp;R&amp;"Times New Roman,Regular"&amp;10Filed: 2019-01-31
EB-2018-0336
Exhibit 9
Page &amp;P of &amp;N</oddHeader>
  </headerFooter>
  <drawing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Q125"/>
  <sheetViews>
    <sheetView zoomScale="70" zoomScaleNormal="70" workbookViewId="0">
      <pane xSplit="1" ySplit="5" topLeftCell="B6" activePane="bottomRight" state="frozen"/>
      <selection pane="topRight" activeCell="B1" sqref="B1"/>
      <selection pane="bottomLeft" activeCell="A6" sqref="A6"/>
      <selection pane="bottomRight" activeCell="B44" sqref="B44:M44"/>
    </sheetView>
  </sheetViews>
  <sheetFormatPr defaultColWidth="12.42578125" defaultRowHeight="12.75" x14ac:dyDescent="0.2"/>
  <cols>
    <col min="1" max="1" width="59.28515625" style="18" customWidth="1"/>
    <col min="2" max="13" width="17.140625" style="18" customWidth="1"/>
    <col min="14" max="16384" width="12.42578125" style="18"/>
  </cols>
  <sheetData>
    <row r="1" spans="1:13" ht="20.25" x14ac:dyDescent="0.3">
      <c r="A1" s="2" t="s">
        <v>12</v>
      </c>
      <c r="B1" s="46"/>
    </row>
    <row r="2" spans="1:13" x14ac:dyDescent="0.2">
      <c r="A2" s="2" t="s">
        <v>91</v>
      </c>
    </row>
    <row r="3" spans="1:13" s="4" customFormat="1" x14ac:dyDescent="0.2">
      <c r="A3" s="1"/>
      <c r="B3" s="4">
        <v>2023</v>
      </c>
      <c r="C3" s="4">
        <v>2023</v>
      </c>
      <c r="D3" s="4">
        <v>2023</v>
      </c>
      <c r="E3" s="4">
        <v>2023</v>
      </c>
      <c r="F3" s="4">
        <v>2023</v>
      </c>
      <c r="G3" s="4">
        <v>2023</v>
      </c>
      <c r="H3" s="4">
        <v>2023</v>
      </c>
      <c r="I3" s="4">
        <v>2023</v>
      </c>
      <c r="J3" s="4">
        <v>2023</v>
      </c>
      <c r="K3" s="4">
        <v>2023</v>
      </c>
      <c r="L3" s="4">
        <v>2023</v>
      </c>
      <c r="M3" s="4">
        <v>2023</v>
      </c>
    </row>
    <row r="4" spans="1:13" s="3" customFormat="1" x14ac:dyDescent="0.2">
      <c r="A4" s="5"/>
      <c r="B4" s="6" t="s">
        <v>3</v>
      </c>
      <c r="C4" s="6" t="s">
        <v>4</v>
      </c>
      <c r="D4" s="6" t="s">
        <v>5</v>
      </c>
      <c r="E4" s="6" t="s">
        <v>6</v>
      </c>
      <c r="F4" s="6" t="s">
        <v>7</v>
      </c>
      <c r="G4" s="6" t="s">
        <v>8</v>
      </c>
      <c r="H4" s="6" t="s">
        <v>9</v>
      </c>
      <c r="I4" s="6" t="s">
        <v>10</v>
      </c>
      <c r="J4" s="6" t="s">
        <v>11</v>
      </c>
      <c r="K4" s="6" t="s">
        <v>0</v>
      </c>
      <c r="L4" s="6" t="s">
        <v>1</v>
      </c>
      <c r="M4" s="16" t="s">
        <v>2</v>
      </c>
    </row>
    <row r="5" spans="1:13" x14ac:dyDescent="0.2">
      <c r="A5" s="3"/>
    </row>
    <row r="6" spans="1:13" x14ac:dyDescent="0.2">
      <c r="A6" s="3" t="s">
        <v>14</v>
      </c>
    </row>
    <row r="7" spans="1:13" x14ac:dyDescent="0.2">
      <c r="A7" s="3"/>
    </row>
    <row r="8" spans="1:13" hidden="1" x14ac:dyDescent="0.2">
      <c r="A8" s="3" t="s">
        <v>15</v>
      </c>
    </row>
    <row r="9" spans="1:13" hidden="1" x14ac:dyDescent="0.2">
      <c r="A9" s="18" t="s">
        <v>16</v>
      </c>
      <c r="B9" s="40"/>
      <c r="C9" s="40"/>
      <c r="D9" s="40"/>
      <c r="E9" s="40"/>
      <c r="F9" s="41"/>
      <c r="G9" s="41"/>
      <c r="H9" s="41"/>
      <c r="I9" s="41"/>
      <c r="J9" s="41"/>
      <c r="K9" s="41"/>
      <c r="L9" s="41"/>
      <c r="M9" s="41"/>
    </row>
    <row r="10" spans="1:13" hidden="1" x14ac:dyDescent="0.2">
      <c r="A10" s="18" t="s">
        <v>17</v>
      </c>
      <c r="B10" s="40"/>
      <c r="C10" s="40"/>
      <c r="D10" s="40"/>
      <c r="E10" s="40"/>
      <c r="F10" s="41"/>
      <c r="G10" s="41"/>
      <c r="H10" s="41"/>
      <c r="I10" s="41"/>
      <c r="J10" s="41"/>
      <c r="K10" s="41"/>
      <c r="L10" s="41"/>
      <c r="M10" s="41"/>
    </row>
    <row r="11" spans="1:13" hidden="1" x14ac:dyDescent="0.2">
      <c r="A11" s="18" t="s">
        <v>18</v>
      </c>
      <c r="B11" s="40"/>
      <c r="C11" s="40"/>
      <c r="D11" s="40"/>
      <c r="E11" s="40"/>
      <c r="F11" s="41"/>
      <c r="G11" s="41"/>
      <c r="H11" s="41"/>
      <c r="I11" s="41"/>
      <c r="J11" s="41"/>
      <c r="K11" s="41"/>
      <c r="L11" s="41"/>
      <c r="M11" s="41"/>
    </row>
    <row r="12" spans="1:13" hidden="1" x14ac:dyDescent="0.2">
      <c r="A12" s="18" t="s">
        <v>21</v>
      </c>
      <c r="B12" s="40"/>
      <c r="C12" s="40"/>
      <c r="D12" s="40"/>
      <c r="E12" s="40"/>
      <c r="F12" s="41"/>
      <c r="G12" s="41"/>
      <c r="H12" s="41"/>
      <c r="I12" s="41"/>
      <c r="J12" s="41"/>
      <c r="K12" s="41"/>
      <c r="L12" s="41"/>
      <c r="M12" s="41"/>
    </row>
    <row r="13" spans="1:13" hidden="1" x14ac:dyDescent="0.2">
      <c r="A13" s="18" t="s">
        <v>22</v>
      </c>
      <c r="B13" s="40"/>
      <c r="C13" s="40"/>
      <c r="D13" s="40"/>
      <c r="E13" s="40"/>
      <c r="F13" s="41"/>
      <c r="G13" s="41"/>
      <c r="H13" s="41"/>
      <c r="I13" s="41"/>
      <c r="J13" s="41"/>
      <c r="K13" s="41"/>
      <c r="L13" s="41"/>
      <c r="M13" s="41"/>
    </row>
    <row r="14" spans="1:13" hidden="1" x14ac:dyDescent="0.2">
      <c r="A14" s="3"/>
      <c r="F14" s="24"/>
      <c r="G14" s="24"/>
      <c r="H14" s="24"/>
      <c r="I14" s="24"/>
      <c r="J14" s="24"/>
      <c r="K14" s="24"/>
      <c r="L14" s="24"/>
      <c r="M14" s="24"/>
    </row>
    <row r="15" spans="1:13" hidden="1" x14ac:dyDescent="0.2">
      <c r="A15" s="3"/>
      <c r="F15" s="24"/>
      <c r="G15" s="24"/>
      <c r="H15" s="24"/>
      <c r="I15" s="24"/>
      <c r="J15" s="24"/>
      <c r="K15" s="24"/>
      <c r="L15" s="24"/>
      <c r="M15" s="24"/>
    </row>
    <row r="16" spans="1:13" hidden="1" x14ac:dyDescent="0.2">
      <c r="A16" s="3"/>
      <c r="F16" s="24"/>
      <c r="G16" s="24"/>
      <c r="H16" s="24"/>
      <c r="I16" s="24"/>
      <c r="J16" s="24"/>
      <c r="K16" s="24"/>
      <c r="L16" s="24"/>
      <c r="M16" s="24"/>
    </row>
    <row r="17" spans="1:14" x14ac:dyDescent="0.2">
      <c r="A17" s="3" t="s">
        <v>15</v>
      </c>
      <c r="F17" s="24"/>
      <c r="G17" s="24"/>
      <c r="H17" s="24"/>
      <c r="I17" s="24"/>
      <c r="J17" s="24"/>
      <c r="K17" s="24"/>
      <c r="L17" s="24"/>
      <c r="M17" s="24"/>
    </row>
    <row r="18" spans="1:14" x14ac:dyDescent="0.2">
      <c r="A18" s="18" t="s">
        <v>16</v>
      </c>
      <c r="B18" s="44">
        <v>7083.33</v>
      </c>
      <c r="C18" s="44">
        <f>B18</f>
        <v>7083.33</v>
      </c>
      <c r="D18" s="44">
        <f>C18</f>
        <v>7083.33</v>
      </c>
      <c r="E18" s="44">
        <f>D18</f>
        <v>7083.33</v>
      </c>
      <c r="F18" s="44">
        <f t="shared" ref="F18:H18" si="0">E18</f>
        <v>7083.33</v>
      </c>
      <c r="G18" s="44">
        <f t="shared" si="0"/>
        <v>7083.33</v>
      </c>
      <c r="H18" s="44">
        <f t="shared" si="0"/>
        <v>7083.33</v>
      </c>
      <c r="I18" s="44">
        <v>7083.33</v>
      </c>
      <c r="J18" s="44">
        <v>7083.33</v>
      </c>
      <c r="K18" s="44">
        <v>7083.33</v>
      </c>
      <c r="L18" s="44">
        <v>7083.33</v>
      </c>
      <c r="M18" s="44">
        <v>7083.33</v>
      </c>
      <c r="N18" s="18" t="s">
        <v>62</v>
      </c>
    </row>
    <row r="19" spans="1:14" x14ac:dyDescent="0.2">
      <c r="A19" s="18" t="s">
        <v>56</v>
      </c>
      <c r="B19" s="44">
        <v>106.94</v>
      </c>
      <c r="C19" s="44">
        <f>140.15</f>
        <v>140.15</v>
      </c>
      <c r="D19" s="44">
        <v>110.55</v>
      </c>
      <c r="E19" s="44">
        <v>60.08</v>
      </c>
      <c r="F19" s="44">
        <v>108.75</v>
      </c>
      <c r="G19" s="44">
        <v>108.56</v>
      </c>
      <c r="H19" s="44">
        <v>74.75</v>
      </c>
      <c r="I19" s="44">
        <v>93</v>
      </c>
      <c r="J19" s="44">
        <v>74.569999999999993</v>
      </c>
      <c r="K19" s="44">
        <v>15.35</v>
      </c>
      <c r="L19" s="44">
        <v>78.489999999999995</v>
      </c>
      <c r="M19" s="44">
        <v>9</v>
      </c>
      <c r="N19" s="18" t="s">
        <v>62</v>
      </c>
    </row>
    <row r="20" spans="1:14" x14ac:dyDescent="0.2">
      <c r="A20" s="18" t="s">
        <v>17</v>
      </c>
      <c r="B20" s="44"/>
      <c r="C20" s="44"/>
      <c r="D20" s="44"/>
      <c r="E20" s="44"/>
      <c r="F20" s="44"/>
      <c r="G20" s="44"/>
      <c r="H20" s="44"/>
      <c r="I20" s="44"/>
      <c r="J20" s="44"/>
      <c r="K20" s="44"/>
      <c r="L20" s="44"/>
      <c r="M20" s="44">
        <v>34.57</v>
      </c>
    </row>
    <row r="21" spans="1:14" x14ac:dyDescent="0.2">
      <c r="A21" s="18" t="s">
        <v>21</v>
      </c>
      <c r="B21" s="44"/>
      <c r="C21" s="44"/>
      <c r="D21" s="44"/>
      <c r="E21" s="44"/>
      <c r="F21" s="44"/>
      <c r="G21" s="44"/>
      <c r="H21" s="44"/>
      <c r="I21" s="44"/>
      <c r="J21" s="44"/>
      <c r="K21" s="44"/>
      <c r="L21" s="44"/>
      <c r="M21" s="44"/>
    </row>
    <row r="22" spans="1:14" x14ac:dyDescent="0.2">
      <c r="F22" s="24"/>
      <c r="G22" s="24"/>
      <c r="H22" s="24"/>
      <c r="I22" s="24"/>
      <c r="J22" s="24"/>
      <c r="K22" s="24"/>
      <c r="L22" s="24"/>
      <c r="M22" s="24"/>
    </row>
    <row r="23" spans="1:14" x14ac:dyDescent="0.2">
      <c r="F23" s="24"/>
      <c r="G23" s="24"/>
      <c r="H23" s="24"/>
      <c r="I23" s="24"/>
      <c r="J23" s="24"/>
      <c r="K23" s="24"/>
      <c r="L23" s="24"/>
      <c r="M23" s="24"/>
    </row>
    <row r="24" spans="1:14" x14ac:dyDescent="0.2">
      <c r="A24" s="3" t="s">
        <v>20</v>
      </c>
      <c r="F24" s="24"/>
      <c r="G24" s="24"/>
      <c r="H24" s="24"/>
      <c r="I24" s="24"/>
      <c r="J24" s="24"/>
      <c r="K24" s="24"/>
      <c r="L24" s="24"/>
      <c r="M24" s="24"/>
    </row>
    <row r="25" spans="1:14" x14ac:dyDescent="0.2">
      <c r="A25" s="17" t="s">
        <v>26</v>
      </c>
      <c r="B25" s="44"/>
      <c r="C25" s="44"/>
      <c r="D25" s="44"/>
      <c r="E25" s="44"/>
      <c r="F25" s="44"/>
      <c r="G25" s="44"/>
      <c r="H25" s="44"/>
      <c r="I25" s="44"/>
      <c r="J25" s="44"/>
      <c r="K25" s="44"/>
      <c r="L25" s="44"/>
      <c r="M25" s="44"/>
    </row>
    <row r="26" spans="1:14" x14ac:dyDescent="0.2">
      <c r="A26" s="17" t="s">
        <v>27</v>
      </c>
      <c r="B26" s="44">
        <v>2135.35</v>
      </c>
      <c r="C26" s="44">
        <f>B26</f>
        <v>2135.35</v>
      </c>
      <c r="D26" s="44">
        <f>C26</f>
        <v>2135.35</v>
      </c>
      <c r="E26" s="44">
        <f t="shared" ref="E26:H26" si="1">D26</f>
        <v>2135.35</v>
      </c>
      <c r="F26" s="44">
        <f t="shared" si="1"/>
        <v>2135.35</v>
      </c>
      <c r="G26" s="44">
        <f t="shared" si="1"/>
        <v>2135.35</v>
      </c>
      <c r="H26" s="44">
        <f t="shared" si="1"/>
        <v>2135.35</v>
      </c>
      <c r="I26" s="44">
        <v>2135.35</v>
      </c>
      <c r="J26" s="44">
        <v>2135.35</v>
      </c>
      <c r="K26" s="44">
        <v>2135.35</v>
      </c>
      <c r="L26" s="44">
        <v>2135.35</v>
      </c>
      <c r="M26" s="44">
        <v>2135.35</v>
      </c>
      <c r="N26" s="18" t="s">
        <v>62</v>
      </c>
    </row>
    <row r="27" spans="1:14" x14ac:dyDescent="0.2">
      <c r="A27" s="17" t="s">
        <v>28</v>
      </c>
      <c r="B27" s="44"/>
      <c r="C27" s="44"/>
      <c r="D27" s="44"/>
      <c r="E27" s="44"/>
      <c r="F27" s="44"/>
      <c r="G27" s="44"/>
      <c r="H27" s="44"/>
      <c r="I27" s="44"/>
      <c r="J27" s="44"/>
      <c r="K27" s="44"/>
      <c r="L27" s="44"/>
      <c r="M27" s="44"/>
    </row>
    <row r="28" spans="1:14" x14ac:dyDescent="0.2">
      <c r="A28" s="17" t="s">
        <v>29</v>
      </c>
      <c r="B28" s="44">
        <v>41957.440000000002</v>
      </c>
      <c r="C28" s="44">
        <f>B28</f>
        <v>41957.440000000002</v>
      </c>
      <c r="D28" s="44">
        <f>C28</f>
        <v>41957.440000000002</v>
      </c>
      <c r="E28" s="44">
        <f t="shared" ref="E28:H28" si="2">D28</f>
        <v>41957.440000000002</v>
      </c>
      <c r="F28" s="44">
        <f t="shared" si="2"/>
        <v>41957.440000000002</v>
      </c>
      <c r="G28" s="44">
        <f t="shared" si="2"/>
        <v>41957.440000000002</v>
      </c>
      <c r="H28" s="44">
        <f t="shared" si="2"/>
        <v>41957.440000000002</v>
      </c>
      <c r="I28" s="44">
        <v>41957.440000000002</v>
      </c>
      <c r="J28" s="44">
        <v>41957.440000000002</v>
      </c>
      <c r="K28" s="44">
        <v>41957.440000000002</v>
      </c>
      <c r="L28" s="44">
        <v>41957.440000000002</v>
      </c>
      <c r="M28" s="44">
        <v>41957.440000000002</v>
      </c>
      <c r="N28" s="18" t="s">
        <v>62</v>
      </c>
    </row>
    <row r="29" spans="1:14" x14ac:dyDescent="0.2">
      <c r="A29" s="17" t="s">
        <v>23</v>
      </c>
      <c r="B29" s="44">
        <v>461.4</v>
      </c>
      <c r="C29" s="44">
        <v>431.19</v>
      </c>
      <c r="D29" s="44">
        <v>457.86</v>
      </c>
      <c r="E29" s="44">
        <v>357.46</v>
      </c>
      <c r="F29" s="44">
        <v>293.16000000000003</v>
      </c>
      <c r="G29" s="44">
        <v>211.45</v>
      </c>
      <c r="H29" s="44">
        <v>232.62</v>
      </c>
      <c r="I29" s="44">
        <v>266.39</v>
      </c>
      <c r="J29" s="44">
        <v>240.6</v>
      </c>
      <c r="K29" s="44">
        <v>347.35</v>
      </c>
      <c r="L29" s="44">
        <v>643.1</v>
      </c>
      <c r="M29" s="44">
        <v>534.55999999999995</v>
      </c>
      <c r="N29" s="18" t="s">
        <v>62</v>
      </c>
    </row>
    <row r="30" spans="1:14" x14ac:dyDescent="0.2">
      <c r="A30" s="17" t="s">
        <v>23</v>
      </c>
      <c r="B30" s="44"/>
      <c r="C30" s="44"/>
      <c r="D30" s="44"/>
      <c r="E30" s="44"/>
      <c r="F30" s="44"/>
      <c r="G30" s="44"/>
      <c r="H30" s="44"/>
      <c r="I30" s="44"/>
      <c r="J30" s="44"/>
      <c r="K30" s="44"/>
      <c r="L30" s="44"/>
      <c r="M30" s="44"/>
    </row>
    <row r="31" spans="1:14" x14ac:dyDescent="0.2">
      <c r="A31" s="17" t="s">
        <v>57</v>
      </c>
      <c r="B31" s="44"/>
      <c r="C31" s="44"/>
      <c r="D31" s="44"/>
      <c r="E31" s="44"/>
      <c r="F31" s="44"/>
      <c r="G31" s="44"/>
      <c r="H31" s="44"/>
      <c r="I31" s="44"/>
      <c r="J31" s="44"/>
      <c r="K31" s="44"/>
      <c r="L31" s="44"/>
      <c r="M31" s="44"/>
    </row>
    <row r="32" spans="1:14" x14ac:dyDescent="0.2">
      <c r="A32" s="17" t="s">
        <v>58</v>
      </c>
      <c r="B32" s="44"/>
      <c r="C32" s="44"/>
      <c r="D32" s="44"/>
      <c r="E32" s="44"/>
      <c r="F32" s="44"/>
      <c r="G32" s="44"/>
      <c r="H32" s="44"/>
      <c r="I32" s="44"/>
      <c r="J32" s="44"/>
      <c r="K32" s="44"/>
      <c r="L32" s="44"/>
      <c r="M32" s="44"/>
    </row>
    <row r="33" spans="1:17" x14ac:dyDescent="0.2">
      <c r="A33" s="17" t="s">
        <v>25</v>
      </c>
      <c r="B33" s="44"/>
      <c r="C33" s="44"/>
      <c r="D33" s="44"/>
      <c r="E33" s="44"/>
      <c r="F33" s="44"/>
      <c r="G33" s="44"/>
      <c r="H33" s="44"/>
      <c r="I33" s="44"/>
      <c r="J33" s="44"/>
      <c r="K33" s="44"/>
      <c r="L33" s="44"/>
      <c r="M33" s="44"/>
    </row>
    <row r="34" spans="1:17" ht="25.5" x14ac:dyDescent="0.2">
      <c r="A34" s="56" t="s">
        <v>87</v>
      </c>
      <c r="B34" s="44">
        <v>13409.78</v>
      </c>
      <c r="C34" s="44"/>
      <c r="D34" s="44"/>
      <c r="E34" s="44"/>
      <c r="F34" s="44"/>
      <c r="G34" s="44"/>
      <c r="H34" s="44"/>
      <c r="I34" s="44"/>
      <c r="J34" s="44"/>
      <c r="K34" s="44"/>
      <c r="L34" s="44"/>
      <c r="M34" s="44"/>
    </row>
    <row r="35" spans="1:17" x14ac:dyDescent="0.2">
      <c r="A35" s="32" t="s">
        <v>19</v>
      </c>
      <c r="B35" s="24">
        <f>ROUND(SUM(B18:B34)*0.13,2)</f>
        <v>8470.0499999999993</v>
      </c>
      <c r="C35" s="24">
        <f>ROUND(SUM(C18:C34)*0.13,2)</f>
        <v>6727.17</v>
      </c>
      <c r="D35" s="24">
        <f t="shared" ref="D35:M35" si="3">ROUND(SUM(D18:D34)*0.13,2)</f>
        <v>6726.79</v>
      </c>
      <c r="E35" s="24">
        <f t="shared" si="3"/>
        <v>6707.18</v>
      </c>
      <c r="F35" s="24">
        <f t="shared" si="3"/>
        <v>6705.14</v>
      </c>
      <c r="G35" s="24">
        <f t="shared" si="3"/>
        <v>6694.5</v>
      </c>
      <c r="H35" s="24">
        <f t="shared" si="3"/>
        <v>6692.85</v>
      </c>
      <c r="I35" s="24">
        <f t="shared" si="3"/>
        <v>6699.62</v>
      </c>
      <c r="J35" s="24">
        <f t="shared" si="3"/>
        <v>6693.87</v>
      </c>
      <c r="K35" s="24">
        <f t="shared" si="3"/>
        <v>6700.05</v>
      </c>
      <c r="L35" s="24">
        <f t="shared" si="3"/>
        <v>6746.7</v>
      </c>
      <c r="M35" s="24">
        <f t="shared" si="3"/>
        <v>6728.05</v>
      </c>
    </row>
    <row r="36" spans="1:17" x14ac:dyDescent="0.2">
      <c r="A36" s="29" t="s">
        <v>35</v>
      </c>
      <c r="B36" s="36">
        <f>SUM(B18:B35)</f>
        <v>73624.289999999994</v>
      </c>
      <c r="C36" s="36">
        <f>SUM(C18:C35)</f>
        <v>58474.630000000005</v>
      </c>
      <c r="D36" s="36">
        <f t="shared" ref="D36:E36" si="4">SUM(D18:D35)</f>
        <v>58471.32</v>
      </c>
      <c r="E36" s="36">
        <f t="shared" si="4"/>
        <v>58300.840000000004</v>
      </c>
      <c r="F36" s="36">
        <f>SUM(F18:F35)</f>
        <v>58283.170000000006</v>
      </c>
      <c r="G36" s="36">
        <f t="shared" ref="G36:M36" si="5">SUM(G18:G35)</f>
        <v>58190.63</v>
      </c>
      <c r="H36" s="36">
        <f t="shared" si="5"/>
        <v>58176.340000000004</v>
      </c>
      <c r="I36" s="36">
        <f t="shared" si="5"/>
        <v>58235.130000000005</v>
      </c>
      <c r="J36" s="36">
        <f t="shared" si="5"/>
        <v>58185.16</v>
      </c>
      <c r="K36" s="36">
        <f>SUM(K18:K35)</f>
        <v>58238.87</v>
      </c>
      <c r="L36" s="36">
        <f t="shared" si="5"/>
        <v>58644.409999999996</v>
      </c>
      <c r="M36" s="36">
        <f t="shared" si="5"/>
        <v>58482.3</v>
      </c>
    </row>
    <row r="37" spans="1:17" x14ac:dyDescent="0.2">
      <c r="A37" s="29" t="s">
        <v>38</v>
      </c>
      <c r="B37" s="37">
        <f>SUM(B18:B21,B25:B34)</f>
        <v>65154.239999999998</v>
      </c>
      <c r="C37" s="37">
        <f>SUM(C18:C21,C25:C34)</f>
        <v>51747.460000000006</v>
      </c>
      <c r="D37" s="37">
        <f t="shared" ref="D37:M37" si="6">SUM(D18:D21,D25:D34)</f>
        <v>51744.53</v>
      </c>
      <c r="E37" s="37">
        <f t="shared" si="6"/>
        <v>51593.66</v>
      </c>
      <c r="F37" s="37">
        <f t="shared" si="6"/>
        <v>51578.030000000006</v>
      </c>
      <c r="G37" s="37">
        <f t="shared" si="6"/>
        <v>51496.13</v>
      </c>
      <c r="H37" s="37">
        <f t="shared" si="6"/>
        <v>51483.490000000005</v>
      </c>
      <c r="I37" s="37">
        <f t="shared" si="6"/>
        <v>51535.51</v>
      </c>
      <c r="J37" s="37">
        <f t="shared" si="6"/>
        <v>51491.29</v>
      </c>
      <c r="K37" s="37">
        <f t="shared" si="6"/>
        <v>51538.82</v>
      </c>
      <c r="L37" s="37">
        <f t="shared" si="6"/>
        <v>51897.71</v>
      </c>
      <c r="M37" s="37">
        <f t="shared" si="6"/>
        <v>51754.25</v>
      </c>
    </row>
    <row r="38" spans="1:17" x14ac:dyDescent="0.2">
      <c r="A38" s="31" t="s">
        <v>37</v>
      </c>
      <c r="B38" s="52">
        <v>7773.63</v>
      </c>
      <c r="C38" s="52">
        <v>7519.67</v>
      </c>
      <c r="D38" s="52">
        <v>7744.8</v>
      </c>
      <c r="E38" s="52">
        <v>6784.83</v>
      </c>
      <c r="F38" s="52">
        <v>6053.95</v>
      </c>
      <c r="G38" s="52">
        <v>5355.47</v>
      </c>
      <c r="H38" s="52">
        <v>5562.23</v>
      </c>
      <c r="I38" s="52">
        <v>6025.88</v>
      </c>
      <c r="J38" s="52">
        <v>5745.4</v>
      </c>
      <c r="K38" s="53">
        <v>6989.52</v>
      </c>
      <c r="L38" s="53">
        <v>9781.9599999999991</v>
      </c>
      <c r="M38" s="41">
        <v>8690.76</v>
      </c>
      <c r="N38" s="18" t="s">
        <v>83</v>
      </c>
    </row>
    <row r="39" spans="1:17" x14ac:dyDescent="0.2">
      <c r="A39" s="31" t="s">
        <v>36</v>
      </c>
      <c r="B39" s="42">
        <f>$C$122</f>
        <v>20849.916666666668</v>
      </c>
      <c r="C39" s="42">
        <f t="shared" ref="C39:J39" si="7">$C$122</f>
        <v>20849.916666666668</v>
      </c>
      <c r="D39" s="42">
        <f t="shared" si="7"/>
        <v>20849.916666666668</v>
      </c>
      <c r="E39" s="42">
        <f t="shared" si="7"/>
        <v>20849.916666666668</v>
      </c>
      <c r="F39" s="42">
        <f t="shared" si="7"/>
        <v>20849.916666666668</v>
      </c>
      <c r="G39" s="42">
        <f t="shared" si="7"/>
        <v>20849.916666666668</v>
      </c>
      <c r="H39" s="42">
        <f t="shared" si="7"/>
        <v>20849.916666666668</v>
      </c>
      <c r="I39" s="42">
        <f t="shared" si="7"/>
        <v>20849.916666666668</v>
      </c>
      <c r="J39" s="42">
        <f t="shared" si="7"/>
        <v>20849.916666666668</v>
      </c>
      <c r="K39" s="42">
        <f>$Q$122</f>
        <v>21431.158333333333</v>
      </c>
      <c r="L39" s="42">
        <f t="shared" ref="L39:M39" si="8">$Q$122</f>
        <v>21431.158333333333</v>
      </c>
      <c r="M39" s="42">
        <f t="shared" si="8"/>
        <v>21431.158333333333</v>
      </c>
      <c r="P39" s="24">
        <f>B122</f>
        <v>250199</v>
      </c>
      <c r="Q39" s="48" t="s">
        <v>66</v>
      </c>
    </row>
    <row r="40" spans="1:17" x14ac:dyDescent="0.2">
      <c r="A40" s="31"/>
      <c r="B40" s="33">
        <f>SUM(B37:B39)</f>
        <v>93777.786666666667</v>
      </c>
      <c r="C40" s="33">
        <f>SUM(C37:C39)</f>
        <v>80117.046666666676</v>
      </c>
      <c r="D40" s="33">
        <f t="shared" ref="D40:M40" si="9">SUM(D37:D39)</f>
        <v>80339.246666666673</v>
      </c>
      <c r="E40" s="33">
        <f t="shared" si="9"/>
        <v>79228.406666666677</v>
      </c>
      <c r="F40" s="33">
        <f t="shared" si="9"/>
        <v>78481.896666666667</v>
      </c>
      <c r="G40" s="33">
        <f>SUM(G37:G39)</f>
        <v>77701.516666666663</v>
      </c>
      <c r="H40" s="33">
        <f t="shared" si="9"/>
        <v>77895.636666666673</v>
      </c>
      <c r="I40" s="33">
        <f t="shared" si="9"/>
        <v>78411.306666666671</v>
      </c>
      <c r="J40" s="33">
        <f t="shared" si="9"/>
        <v>78086.606666666674</v>
      </c>
      <c r="K40" s="33">
        <f t="shared" si="9"/>
        <v>79959.498333333322</v>
      </c>
      <c r="L40" s="33">
        <f t="shared" si="9"/>
        <v>83110.828333333338</v>
      </c>
      <c r="M40" s="33">
        <f t="shared" si="9"/>
        <v>81876.168333333335</v>
      </c>
      <c r="N40" s="39">
        <f>SUM(B40:M40)</f>
        <v>968985.94500000007</v>
      </c>
      <c r="P40" s="24">
        <f>P39/12</f>
        <v>20849.916666666668</v>
      </c>
      <c r="Q40" s="48" t="s">
        <v>75</v>
      </c>
    </row>
    <row r="41" spans="1:17" x14ac:dyDescent="0.2">
      <c r="A41" s="31"/>
      <c r="B41" s="19"/>
      <c r="C41" s="19"/>
      <c r="D41" s="19"/>
      <c r="E41" s="19"/>
      <c r="F41" s="19"/>
      <c r="G41" s="19"/>
      <c r="H41" s="19"/>
      <c r="I41" s="19"/>
      <c r="J41" s="19"/>
      <c r="K41" s="19"/>
      <c r="L41" s="19"/>
      <c r="M41" s="19"/>
      <c r="P41" s="24">
        <f>SUM(B39:J39)</f>
        <v>187649.25</v>
      </c>
      <c r="Q41" s="48" t="s">
        <v>76</v>
      </c>
    </row>
    <row r="42" spans="1:17" x14ac:dyDescent="0.2">
      <c r="A42" s="17" t="s">
        <v>39</v>
      </c>
      <c r="B42" s="118">
        <f>Allocation!AP3+Allocation!AP8+B39</f>
        <v>68063.157875280231</v>
      </c>
      <c r="C42" s="118">
        <f>Allocation!AQ3+Allocation!AQ8+C39</f>
        <v>58031.234646362718</v>
      </c>
      <c r="D42" s="118">
        <f>Allocation!AR3+Allocation!AR8+D39</f>
        <v>57894.604355322095</v>
      </c>
      <c r="E42" s="118">
        <f>Allocation!AS3+Allocation!AS8+E39</f>
        <v>56758.378437112464</v>
      </c>
      <c r="F42" s="118">
        <f>Allocation!AT3+Allocation!AT8+F39</f>
        <v>56362.18087939189</v>
      </c>
      <c r="G42" s="118">
        <f>Allocation!AU3+Allocation!AU8+G39</f>
        <v>55790.843528670885</v>
      </c>
      <c r="H42" s="118">
        <f>Allocation!AV3+Allocation!AV8+H39</f>
        <v>55684.576144279781</v>
      </c>
      <c r="I42" s="118">
        <f>Allocation!AW3+Allocation!AW8+I39</f>
        <v>56279.75383931573</v>
      </c>
      <c r="J42" s="118">
        <f>Allocation!AX3+Allocation!AX8+J39</f>
        <v>56051.980780638274</v>
      </c>
      <c r="K42" s="118">
        <f>Allocation!AY3+Allocation!AY8+K39</f>
        <v>57830.924258331608</v>
      </c>
      <c r="L42" s="118">
        <f>Allocation!AZ3+Allocation!AZ8+L39</f>
        <v>61349.300731843607</v>
      </c>
      <c r="M42" s="118">
        <f>Allocation!BA3+Allocation!BA8+M39</f>
        <v>59642.762524318008</v>
      </c>
      <c r="P42" s="24">
        <f>P39-P41</f>
        <v>62549.75</v>
      </c>
      <c r="Q42" s="48" t="s">
        <v>77</v>
      </c>
    </row>
    <row r="43" spans="1:17" x14ac:dyDescent="0.2">
      <c r="A43" s="17" t="s">
        <v>40</v>
      </c>
      <c r="B43" s="19">
        <f>Allocation!AP4+Allocation!AP9</f>
        <v>25714.63079138644</v>
      </c>
      <c r="C43" s="19">
        <f>Allocation!AQ4+Allocation!AQ9</f>
        <v>22085.814020303947</v>
      </c>
      <c r="D43" s="19">
        <f>Allocation!AR4+Allocation!AR9</f>
        <v>22444.714311344578</v>
      </c>
      <c r="E43" s="19">
        <f>Allocation!AS4+Allocation!AS9</f>
        <v>22470.024229554212</v>
      </c>
      <c r="F43" s="19">
        <f>Allocation!AT4+Allocation!AT9</f>
        <v>22119.721787274775</v>
      </c>
      <c r="G43" s="19">
        <f>Allocation!AU4+Allocation!AU9</f>
        <v>21910.677137995794</v>
      </c>
      <c r="H43" s="19">
        <f>Allocation!AV4+Allocation!AV9</f>
        <v>22211.070522386897</v>
      </c>
      <c r="I43" s="19">
        <f>Allocation!AW4+Allocation!AW9</f>
        <v>22131.556827350934</v>
      </c>
      <c r="J43" s="19">
        <f>Allocation!AX4+Allocation!AX9</f>
        <v>22034.6278860284</v>
      </c>
      <c r="K43" s="19">
        <f>Allocation!AY4+Allocation!AY9</f>
        <v>22128.58207500173</v>
      </c>
      <c r="L43" s="19">
        <f>Allocation!AZ4+Allocation!AZ9</f>
        <v>21761.531601489736</v>
      </c>
      <c r="M43" s="19">
        <f>Allocation!BA4+Allocation!BA9</f>
        <v>22233.405809015323</v>
      </c>
      <c r="P43" s="24">
        <f>P42/3</f>
        <v>20849.916666666668</v>
      </c>
      <c r="Q43" s="48" t="s">
        <v>78</v>
      </c>
    </row>
    <row r="44" spans="1:17" x14ac:dyDescent="0.2">
      <c r="A44" s="17"/>
      <c r="B44" s="33">
        <f>SUM(B42:B43)</f>
        <v>93777.788666666675</v>
      </c>
      <c r="C44" s="33">
        <f t="shared" ref="C44:M44" si="10">SUM(C42:C43)</f>
        <v>80117.048666666669</v>
      </c>
      <c r="D44" s="33">
        <f t="shared" si="10"/>
        <v>80339.318666666673</v>
      </c>
      <c r="E44" s="33">
        <f t="shared" si="10"/>
        <v>79228.402666666676</v>
      </c>
      <c r="F44" s="33">
        <f t="shared" si="10"/>
        <v>78481.902666666661</v>
      </c>
      <c r="G44" s="33">
        <f t="shared" si="10"/>
        <v>77701.520666666678</v>
      </c>
      <c r="H44" s="33">
        <f t="shared" si="10"/>
        <v>77895.646666666682</v>
      </c>
      <c r="I44" s="33">
        <f t="shared" si="10"/>
        <v>78411.310666666657</v>
      </c>
      <c r="J44" s="33">
        <f t="shared" si="10"/>
        <v>78086.608666666667</v>
      </c>
      <c r="K44" s="33">
        <f t="shared" si="10"/>
        <v>79959.506333333338</v>
      </c>
      <c r="L44" s="33">
        <f t="shared" si="10"/>
        <v>83110.832333333339</v>
      </c>
      <c r="M44" s="33">
        <f t="shared" si="10"/>
        <v>81876.168333333335</v>
      </c>
      <c r="Q44" s="3"/>
    </row>
    <row r="45" spans="1:17" x14ac:dyDescent="0.2">
      <c r="A45" s="17"/>
      <c r="B45" s="344">
        <f>B40-B44</f>
        <v>-2.0000000076834112E-3</v>
      </c>
      <c r="C45" s="344">
        <f t="shared" ref="C45:M45" si="11">C40-C44</f>
        <v>-1.999999993131496E-3</v>
      </c>
      <c r="D45" s="344">
        <f t="shared" si="11"/>
        <v>-7.2000000000116415E-2</v>
      </c>
      <c r="E45" s="344">
        <f t="shared" si="11"/>
        <v>4.0000000008149073E-3</v>
      </c>
      <c r="F45" s="344">
        <f t="shared" si="11"/>
        <v>-5.9999999939464033E-3</v>
      </c>
      <c r="G45" s="344">
        <f t="shared" si="11"/>
        <v>-4.0000000153668225E-3</v>
      </c>
      <c r="H45" s="344">
        <f t="shared" si="11"/>
        <v>-1.0000000009313226E-2</v>
      </c>
      <c r="I45" s="344">
        <f t="shared" si="11"/>
        <v>-3.999999986262992E-3</v>
      </c>
      <c r="J45" s="344">
        <f t="shared" si="11"/>
        <v>-1.999999993131496E-3</v>
      </c>
      <c r="K45" s="344">
        <f t="shared" si="11"/>
        <v>-8.0000000161817297E-3</v>
      </c>
      <c r="L45" s="344">
        <f t="shared" si="11"/>
        <v>-4.0000000008149073E-3</v>
      </c>
      <c r="M45" s="344">
        <f t="shared" si="11"/>
        <v>0</v>
      </c>
    </row>
    <row r="46" spans="1:17" x14ac:dyDescent="0.2">
      <c r="A46" s="29" t="s">
        <v>34</v>
      </c>
      <c r="B46" s="19"/>
      <c r="C46" s="19"/>
      <c r="D46" s="19"/>
      <c r="E46" s="20"/>
      <c r="F46" s="24"/>
      <c r="G46" s="24"/>
      <c r="H46" s="24"/>
      <c r="I46" s="24"/>
      <c r="J46" s="24"/>
      <c r="K46" s="24"/>
      <c r="L46" s="24"/>
      <c r="M46" s="24"/>
    </row>
    <row r="47" spans="1:17" x14ac:dyDescent="0.2">
      <c r="A47" s="38" t="s">
        <v>30</v>
      </c>
      <c r="B47" s="42">
        <v>14930.08</v>
      </c>
      <c r="C47" s="42">
        <v>12367.12</v>
      </c>
      <c r="D47" s="42">
        <v>13648.6</v>
      </c>
      <c r="E47" s="42">
        <v>13648.6</v>
      </c>
      <c r="F47" s="42">
        <v>13648.6</v>
      </c>
      <c r="G47" s="42">
        <v>14930.08</v>
      </c>
      <c r="H47" s="42">
        <v>13648.6</v>
      </c>
      <c r="I47" s="42">
        <v>13648.6</v>
      </c>
      <c r="J47" s="42">
        <v>13648.6</v>
      </c>
      <c r="K47" s="42">
        <v>13648.6</v>
      </c>
      <c r="L47" s="42">
        <v>13648.6</v>
      </c>
      <c r="M47" s="42">
        <v>13648.6</v>
      </c>
      <c r="N47" s="18" t="s">
        <v>93</v>
      </c>
    </row>
    <row r="48" spans="1:17" x14ac:dyDescent="0.2">
      <c r="A48" s="38" t="s">
        <v>32</v>
      </c>
      <c r="B48" s="42">
        <v>19182.14</v>
      </c>
      <c r="C48" s="42">
        <v>15889.26</v>
      </c>
      <c r="D48" s="42">
        <v>17535.7</v>
      </c>
      <c r="E48" s="42">
        <v>17535.7</v>
      </c>
      <c r="F48" s="42">
        <v>17544.68</v>
      </c>
      <c r="G48" s="42">
        <v>19190.46</v>
      </c>
      <c r="H48" s="42">
        <v>17536.36</v>
      </c>
      <c r="I48" s="42">
        <v>17535.699999999997</v>
      </c>
      <c r="J48" s="42">
        <v>17535.699999999997</v>
      </c>
      <c r="K48" s="42">
        <v>17535.699999999997</v>
      </c>
      <c r="L48" s="42">
        <v>17535.699999999997</v>
      </c>
      <c r="M48" s="42">
        <v>17535.699999999997</v>
      </c>
      <c r="N48" s="18" t="s">
        <v>93</v>
      </c>
    </row>
    <row r="49" spans="1:17" x14ac:dyDescent="0.2">
      <c r="A49" s="17" t="s">
        <v>43</v>
      </c>
      <c r="B49" s="33">
        <f>SUM(B47:B48)</f>
        <v>34112.22</v>
      </c>
      <c r="C49" s="33">
        <f t="shared" ref="C49:M49" si="12">SUM(C47:C48)</f>
        <v>28256.38</v>
      </c>
      <c r="D49" s="33">
        <f t="shared" si="12"/>
        <v>31184.300000000003</v>
      </c>
      <c r="E49" s="33">
        <f t="shared" si="12"/>
        <v>31184.300000000003</v>
      </c>
      <c r="F49" s="33">
        <f t="shared" si="12"/>
        <v>31193.279999999999</v>
      </c>
      <c r="G49" s="33">
        <f t="shared" si="12"/>
        <v>34120.54</v>
      </c>
      <c r="H49" s="33">
        <f t="shared" si="12"/>
        <v>31184.959999999999</v>
      </c>
      <c r="I49" s="33">
        <f t="shared" si="12"/>
        <v>31184.299999999996</v>
      </c>
      <c r="J49" s="33">
        <f t="shared" si="12"/>
        <v>31184.299999999996</v>
      </c>
      <c r="K49" s="33">
        <f t="shared" si="12"/>
        <v>31184.299999999996</v>
      </c>
      <c r="L49" s="33">
        <f t="shared" si="12"/>
        <v>31184.299999999996</v>
      </c>
      <c r="M49" s="33">
        <f t="shared" si="12"/>
        <v>31184.299999999996</v>
      </c>
      <c r="N49" s="39">
        <f>SUM(B49:M49)</f>
        <v>377157.48</v>
      </c>
    </row>
    <row r="50" spans="1:17" x14ac:dyDescent="0.2">
      <c r="A50" s="17"/>
      <c r="B50" s="19"/>
      <c r="C50" s="19"/>
      <c r="D50" s="19"/>
      <c r="E50" s="19"/>
      <c r="F50" s="19"/>
      <c r="G50" s="19"/>
      <c r="H50" s="19"/>
      <c r="I50" s="19"/>
      <c r="J50" s="19"/>
      <c r="K50" s="19"/>
      <c r="L50" s="19"/>
      <c r="M50" s="19"/>
    </row>
    <row r="51" spans="1:17" x14ac:dyDescent="0.2">
      <c r="A51" s="38" t="s">
        <v>31</v>
      </c>
      <c r="B51" s="42">
        <v>16258.99</v>
      </c>
      <c r="C51" s="42">
        <v>15188.61</v>
      </c>
      <c r="D51" s="42">
        <v>16043.07</v>
      </c>
      <c r="E51" s="43">
        <v>16213.37</v>
      </c>
      <c r="F51" s="41">
        <v>10115.64</v>
      </c>
      <c r="G51" s="41">
        <v>6262.48</v>
      </c>
      <c r="H51" s="41">
        <v>2387.2799999999447</v>
      </c>
      <c r="I51" s="41">
        <v>1617.4599999999878</v>
      </c>
      <c r="J51" s="42">
        <v>2271.98</v>
      </c>
      <c r="K51" s="42">
        <v>2400.1799999999998</v>
      </c>
      <c r="L51" s="42">
        <v>6731.7199999998011</v>
      </c>
      <c r="M51" s="42">
        <v>15502.529999999877</v>
      </c>
      <c r="N51" s="18" t="s">
        <v>93</v>
      </c>
    </row>
    <row r="52" spans="1:17" x14ac:dyDescent="0.2">
      <c r="A52" s="38" t="s">
        <v>33</v>
      </c>
      <c r="B52" s="42">
        <v>33897.269999999997</v>
      </c>
      <c r="C52" s="42">
        <v>28215.24</v>
      </c>
      <c r="D52" s="42">
        <v>29709.33</v>
      </c>
      <c r="E52" s="43">
        <v>30026.58</v>
      </c>
      <c r="F52" s="41">
        <v>19075.63</v>
      </c>
      <c r="G52" s="41">
        <v>11537.25</v>
      </c>
      <c r="H52" s="41">
        <v>4431.0600000000059</v>
      </c>
      <c r="I52" s="41">
        <v>3008.9800000000014</v>
      </c>
      <c r="J52" s="42">
        <v>5984.1</v>
      </c>
      <c r="K52" s="42">
        <v>4525.7</v>
      </c>
      <c r="L52" s="42">
        <v>19901.479999999981</v>
      </c>
      <c r="M52" s="42">
        <v>49149.179999999942</v>
      </c>
      <c r="N52" s="18" t="s">
        <v>93</v>
      </c>
    </row>
    <row r="53" spans="1:17" x14ac:dyDescent="0.2">
      <c r="A53" s="17" t="s">
        <v>44</v>
      </c>
      <c r="B53" s="28">
        <f>SUM(B51:B52)</f>
        <v>50156.259999999995</v>
      </c>
      <c r="C53" s="28">
        <f t="shared" ref="C53:M53" si="13">SUM(C51:C52)</f>
        <v>43403.850000000006</v>
      </c>
      <c r="D53" s="28">
        <f t="shared" si="13"/>
        <v>45752.4</v>
      </c>
      <c r="E53" s="28">
        <f t="shared" si="13"/>
        <v>46239.950000000004</v>
      </c>
      <c r="F53" s="28">
        <f t="shared" si="13"/>
        <v>29191.27</v>
      </c>
      <c r="G53" s="28">
        <f t="shared" si="13"/>
        <v>17799.73</v>
      </c>
      <c r="H53" s="28">
        <f t="shared" si="13"/>
        <v>6818.339999999951</v>
      </c>
      <c r="I53" s="28">
        <f t="shared" si="13"/>
        <v>4626.4399999999896</v>
      </c>
      <c r="J53" s="28">
        <f t="shared" si="13"/>
        <v>8256.08</v>
      </c>
      <c r="K53" s="28">
        <f>SUM(K51:K52)</f>
        <v>6925.8799999999992</v>
      </c>
      <c r="L53" s="28">
        <f t="shared" si="13"/>
        <v>26633.199999999782</v>
      </c>
      <c r="M53" s="28">
        <f t="shared" si="13"/>
        <v>64651.709999999817</v>
      </c>
      <c r="N53" s="39">
        <f>SUM(B53:M53)</f>
        <v>350455.10999999952</v>
      </c>
    </row>
    <row r="54" spans="1:17" x14ac:dyDescent="0.2">
      <c r="A54" s="17" t="s">
        <v>84</v>
      </c>
      <c r="B54" s="55">
        <f>+B49+B53</f>
        <v>84268.479999999996</v>
      </c>
      <c r="C54" s="55">
        <f t="shared" ref="C54:M54" si="14">+C49+C53</f>
        <v>71660.23000000001</v>
      </c>
      <c r="D54" s="55">
        <f t="shared" si="14"/>
        <v>76936.700000000012</v>
      </c>
      <c r="E54" s="55">
        <f t="shared" si="14"/>
        <v>77424.25</v>
      </c>
      <c r="F54" s="55">
        <f t="shared" si="14"/>
        <v>60384.55</v>
      </c>
      <c r="G54" s="55">
        <f t="shared" si="14"/>
        <v>51920.270000000004</v>
      </c>
      <c r="H54" s="55">
        <f t="shared" si="14"/>
        <v>38003.299999999952</v>
      </c>
      <c r="I54" s="55">
        <f t="shared" si="14"/>
        <v>35810.739999999983</v>
      </c>
      <c r="J54" s="55">
        <f t="shared" si="14"/>
        <v>39440.379999999997</v>
      </c>
      <c r="K54" s="55">
        <f t="shared" si="14"/>
        <v>38110.179999999993</v>
      </c>
      <c r="L54" s="55">
        <f t="shared" si="14"/>
        <v>57817.499999999782</v>
      </c>
      <c r="M54" s="55">
        <f t="shared" si="14"/>
        <v>95836.009999999806</v>
      </c>
    </row>
    <row r="55" spans="1:17" x14ac:dyDescent="0.2">
      <c r="A55" s="17" t="s">
        <v>45</v>
      </c>
      <c r="B55" s="21">
        <f>B42-B53</f>
        <v>17906.897875280236</v>
      </c>
      <c r="C55" s="21">
        <f t="shared" ref="C55:M55" si="15">C42-C53</f>
        <v>14627.384646362712</v>
      </c>
      <c r="D55" s="21">
        <f t="shared" si="15"/>
        <v>12142.204355322094</v>
      </c>
      <c r="E55" s="21">
        <f t="shared" si="15"/>
        <v>10518.42843711246</v>
      </c>
      <c r="F55" s="21">
        <f t="shared" si="15"/>
        <v>27170.910879391889</v>
      </c>
      <c r="G55" s="21">
        <f t="shared" si="15"/>
        <v>37991.113528670889</v>
      </c>
      <c r="H55" s="21">
        <f>H42-H53</f>
        <v>48866.236144279828</v>
      </c>
      <c r="I55" s="21">
        <f t="shared" si="15"/>
        <v>51653.313839315742</v>
      </c>
      <c r="J55" s="21">
        <f t="shared" si="15"/>
        <v>47795.900780638272</v>
      </c>
      <c r="K55" s="21">
        <f t="shared" si="15"/>
        <v>50905.044258331611</v>
      </c>
      <c r="L55" s="21">
        <f t="shared" si="15"/>
        <v>34716.100731843821</v>
      </c>
      <c r="M55" s="21">
        <f t="shared" si="15"/>
        <v>-5008.947475681809</v>
      </c>
      <c r="N55" s="27">
        <f>SUM(B55:M55)</f>
        <v>349284.58800086775</v>
      </c>
    </row>
    <row r="56" spans="1:17" x14ac:dyDescent="0.2">
      <c r="A56" s="17" t="s">
        <v>46</v>
      </c>
      <c r="B56" s="21">
        <f>B43-B49</f>
        <v>-8397.5892086135609</v>
      </c>
      <c r="C56" s="21">
        <f t="shared" ref="C56:M56" si="16">C43-C49</f>
        <v>-6170.5659796960535</v>
      </c>
      <c r="D56" s="21">
        <f t="shared" si="16"/>
        <v>-8739.5856886554247</v>
      </c>
      <c r="E56" s="21">
        <f t="shared" si="16"/>
        <v>-8714.2757704457908</v>
      </c>
      <c r="F56" s="21">
        <f>F43-F49</f>
        <v>-9073.5582127252237</v>
      </c>
      <c r="G56" s="21">
        <f>G43-G49</f>
        <v>-12209.862862004207</v>
      </c>
      <c r="H56" s="21">
        <f>H43-H49</f>
        <v>-8973.8894776131019</v>
      </c>
      <c r="I56" s="21">
        <f>I43-I49</f>
        <v>-9052.7431726490613</v>
      </c>
      <c r="J56" s="21">
        <f>J43-J49</f>
        <v>-9149.6721139715955</v>
      </c>
      <c r="K56" s="21">
        <f t="shared" si="16"/>
        <v>-9055.7179249982655</v>
      </c>
      <c r="L56" s="21">
        <f t="shared" si="16"/>
        <v>-9422.7683985102594</v>
      </c>
      <c r="M56" s="21">
        <f t="shared" si="16"/>
        <v>-8950.8941909846726</v>
      </c>
      <c r="N56" s="27">
        <f>SUM(B56:M56)</f>
        <v>-107911.12300086721</v>
      </c>
      <c r="Q56" s="54" t="s">
        <v>84</v>
      </c>
    </row>
    <row r="57" spans="1:17" x14ac:dyDescent="0.2">
      <c r="A57" s="17" t="s">
        <v>84</v>
      </c>
      <c r="B57" s="19"/>
      <c r="C57" s="19"/>
      <c r="D57" s="19"/>
      <c r="E57" s="20"/>
      <c r="F57" s="24"/>
      <c r="G57" s="24"/>
      <c r="H57" s="24"/>
      <c r="I57" s="24"/>
      <c r="J57" s="30"/>
      <c r="K57" s="24"/>
      <c r="L57" s="24"/>
      <c r="M57" s="24"/>
      <c r="N57" s="57">
        <f>N40-N49-N53-SUM(N55:N56)</f>
        <v>-0.10999999998603016</v>
      </c>
      <c r="O57" s="18" t="s">
        <v>55</v>
      </c>
      <c r="P57" s="19"/>
    </row>
    <row r="58" spans="1:17" x14ac:dyDescent="0.2">
      <c r="A58" s="17"/>
      <c r="B58" s="19"/>
      <c r="C58" s="19"/>
      <c r="D58" s="19"/>
      <c r="E58" s="20"/>
      <c r="F58" s="24"/>
      <c r="G58" s="24"/>
      <c r="H58" s="24"/>
      <c r="I58" s="24"/>
      <c r="J58" s="30"/>
      <c r="K58" s="24"/>
      <c r="L58" s="24"/>
      <c r="M58" s="24"/>
      <c r="N58" s="39"/>
      <c r="P58" s="54"/>
    </row>
    <row r="59" spans="1:17" x14ac:dyDescent="0.2">
      <c r="A59" s="7" t="s">
        <v>41</v>
      </c>
      <c r="B59" s="22">
        <f>'S&amp;TVA 2022'!M59</f>
        <v>1277958.5709499633</v>
      </c>
      <c r="C59" s="22">
        <f>B60</f>
        <v>1295865.4688252434</v>
      </c>
      <c r="D59" s="22">
        <f t="shared" ref="D59:M59" si="17">C60</f>
        <v>1310492.853471606</v>
      </c>
      <c r="E59" s="22">
        <f t="shared" si="17"/>
        <v>1322635.0578269281</v>
      </c>
      <c r="F59" s="22">
        <f t="shared" si="17"/>
        <v>1333153.4862640405</v>
      </c>
      <c r="G59" s="22">
        <f t="shared" si="17"/>
        <v>1360324.3971434324</v>
      </c>
      <c r="H59" s="22">
        <f t="shared" si="17"/>
        <v>1398315.5106721034</v>
      </c>
      <c r="I59" s="22">
        <f t="shared" si="17"/>
        <v>1447181.7468163832</v>
      </c>
      <c r="J59" s="22">
        <f>I60</f>
        <v>1498835.0606556989</v>
      </c>
      <c r="K59" s="22">
        <f t="shared" si="17"/>
        <v>1546630.9614363371</v>
      </c>
      <c r="L59" s="22">
        <f t="shared" si="17"/>
        <v>1597536.0056946687</v>
      </c>
      <c r="M59" s="22">
        <f t="shared" si="17"/>
        <v>1632252.1064265126</v>
      </c>
      <c r="Q59" s="18" t="s">
        <v>84</v>
      </c>
    </row>
    <row r="60" spans="1:17" x14ac:dyDescent="0.2">
      <c r="A60" s="7" t="s">
        <v>42</v>
      </c>
      <c r="B60" s="26">
        <f>B59+B55</f>
        <v>1295865.4688252434</v>
      </c>
      <c r="C60" s="26">
        <f t="shared" ref="C60:M60" si="18">C59+C55</f>
        <v>1310492.853471606</v>
      </c>
      <c r="D60" s="26">
        <f t="shared" si="18"/>
        <v>1322635.0578269281</v>
      </c>
      <c r="E60" s="26">
        <f t="shared" si="18"/>
        <v>1333153.4862640405</v>
      </c>
      <c r="F60" s="26">
        <f t="shared" si="18"/>
        <v>1360324.3971434324</v>
      </c>
      <c r="G60" s="26">
        <f t="shared" si="18"/>
        <v>1398315.5106721034</v>
      </c>
      <c r="H60" s="26">
        <f t="shared" si="18"/>
        <v>1447181.7468163832</v>
      </c>
      <c r="I60" s="26">
        <f t="shared" si="18"/>
        <v>1498835.0606556989</v>
      </c>
      <c r="J60" s="26">
        <f t="shared" si="18"/>
        <v>1546630.9614363371</v>
      </c>
      <c r="K60" s="26">
        <f t="shared" si="18"/>
        <v>1597536.0056946687</v>
      </c>
      <c r="L60" s="26">
        <f t="shared" si="18"/>
        <v>1632252.1064265126</v>
      </c>
      <c r="M60" s="26">
        <f t="shared" si="18"/>
        <v>1627243.1589508308</v>
      </c>
    </row>
    <row r="61" spans="1:17" x14ac:dyDescent="0.2">
      <c r="A61" s="7"/>
      <c r="B61" s="21"/>
      <c r="C61" s="21"/>
      <c r="D61" s="21"/>
      <c r="E61" s="21"/>
      <c r="F61" s="21"/>
      <c r="G61" s="21"/>
      <c r="H61" s="21"/>
      <c r="I61" s="21"/>
      <c r="J61" s="21"/>
      <c r="K61" s="21"/>
      <c r="L61" s="21"/>
      <c r="M61" s="21"/>
    </row>
    <row r="62" spans="1:17" x14ac:dyDescent="0.2">
      <c r="A62" s="7" t="s">
        <v>47</v>
      </c>
      <c r="B62" s="22">
        <f>'S&amp;TVA 2022'!M62</f>
        <v>-267571.53994996398</v>
      </c>
      <c r="C62" s="22">
        <f>B63</f>
        <v>-275969.12915857753</v>
      </c>
      <c r="D62" s="22">
        <f t="shared" ref="D62:M62" si="19">C63</f>
        <v>-282139.69513827359</v>
      </c>
      <c r="E62" s="22">
        <f t="shared" si="19"/>
        <v>-290879.28082692903</v>
      </c>
      <c r="F62" s="22">
        <f t="shared" si="19"/>
        <v>-299593.55659737485</v>
      </c>
      <c r="G62" s="22">
        <f>F63</f>
        <v>-308667.11481010006</v>
      </c>
      <c r="H62" s="22">
        <f t="shared" si="19"/>
        <v>-320876.97767210426</v>
      </c>
      <c r="I62" s="22">
        <f t="shared" si="19"/>
        <v>-329850.86714971735</v>
      </c>
      <c r="J62" s="22">
        <f t="shared" si="19"/>
        <v>-338903.61032236641</v>
      </c>
      <c r="K62" s="22">
        <f t="shared" si="19"/>
        <v>-348053.28243633802</v>
      </c>
      <c r="L62" s="22">
        <f t="shared" si="19"/>
        <v>-357109.00036133628</v>
      </c>
      <c r="M62" s="22">
        <f t="shared" si="19"/>
        <v>-366531.76875984651</v>
      </c>
    </row>
    <row r="63" spans="1:17" x14ac:dyDescent="0.2">
      <c r="A63" s="7" t="s">
        <v>48</v>
      </c>
      <c r="B63" s="26">
        <f>B56+B62</f>
        <v>-275969.12915857753</v>
      </c>
      <c r="C63" s="26">
        <f t="shared" ref="C63:M63" si="20">C62+C56</f>
        <v>-282139.69513827359</v>
      </c>
      <c r="D63" s="26">
        <f t="shared" si="20"/>
        <v>-290879.28082692903</v>
      </c>
      <c r="E63" s="26">
        <f t="shared" si="20"/>
        <v>-299593.55659737485</v>
      </c>
      <c r="F63" s="26">
        <f t="shared" si="20"/>
        <v>-308667.11481010006</v>
      </c>
      <c r="G63" s="26">
        <f t="shared" si="20"/>
        <v>-320876.97767210426</v>
      </c>
      <c r="H63" s="26">
        <f t="shared" si="20"/>
        <v>-329850.86714971735</v>
      </c>
      <c r="I63" s="26">
        <f t="shared" si="20"/>
        <v>-338903.61032236641</v>
      </c>
      <c r="J63" s="26">
        <f t="shared" si="20"/>
        <v>-348053.28243633802</v>
      </c>
      <c r="K63" s="26">
        <f t="shared" si="20"/>
        <v>-357109.00036133628</v>
      </c>
      <c r="L63" s="26">
        <f t="shared" si="20"/>
        <v>-366531.76875984651</v>
      </c>
      <c r="M63" s="26">
        <f t="shared" si="20"/>
        <v>-375482.66295083117</v>
      </c>
    </row>
    <row r="64" spans="1:17" x14ac:dyDescent="0.2">
      <c r="A64" s="7"/>
      <c r="B64" s="21"/>
      <c r="C64" s="21"/>
      <c r="D64" s="21"/>
      <c r="E64" s="21"/>
      <c r="F64" s="21"/>
      <c r="G64" s="21"/>
      <c r="H64" s="21"/>
      <c r="I64" s="21"/>
      <c r="J64" s="21"/>
      <c r="K64" s="21"/>
      <c r="L64" s="21"/>
      <c r="M64" s="21"/>
    </row>
    <row r="65" spans="1:14" s="9" customFormat="1" x14ac:dyDescent="0.2">
      <c r="A65" s="8" t="s">
        <v>344</v>
      </c>
      <c r="B65" s="23" t="e">
        <f>#REF!</f>
        <v>#REF!</v>
      </c>
      <c r="C65" s="23" t="e">
        <f>#REF!</f>
        <v>#REF!</v>
      </c>
      <c r="D65" s="23" t="e">
        <f>#REF!</f>
        <v>#REF!</v>
      </c>
      <c r="E65" s="23" t="e">
        <f>#REF!</f>
        <v>#REF!</v>
      </c>
      <c r="F65" s="23" t="e">
        <f>#REF!</f>
        <v>#REF!</v>
      </c>
      <c r="G65" s="23" t="e">
        <f>#REF!</f>
        <v>#REF!</v>
      </c>
      <c r="H65" s="23" t="e">
        <f>#REF!</f>
        <v>#REF!</v>
      </c>
      <c r="I65" s="23" t="e">
        <f>#REF!</f>
        <v>#REF!</v>
      </c>
      <c r="J65" s="23" t="e">
        <f>#REF!</f>
        <v>#REF!</v>
      </c>
      <c r="K65" s="23" t="e">
        <f>#REF!</f>
        <v>#REF!</v>
      </c>
      <c r="L65" s="23" t="e">
        <f>#REF!</f>
        <v>#REF!</v>
      </c>
      <c r="M65" s="23" t="e">
        <f>#REF!</f>
        <v>#REF!</v>
      </c>
    </row>
    <row r="66" spans="1:14" s="9" customFormat="1" x14ac:dyDescent="0.2">
      <c r="A66" s="8"/>
      <c r="B66" s="23"/>
      <c r="C66" s="23"/>
      <c r="D66" s="23"/>
      <c r="E66" s="23"/>
      <c r="F66" s="23"/>
      <c r="G66" s="23"/>
      <c r="H66" s="23"/>
      <c r="I66" s="23"/>
      <c r="J66" s="23"/>
      <c r="K66" s="23"/>
      <c r="L66" s="23"/>
      <c r="M66" s="23"/>
    </row>
    <row r="67" spans="1:14" x14ac:dyDescent="0.2">
      <c r="A67" s="10" t="s">
        <v>49</v>
      </c>
      <c r="B67" s="22" t="e">
        <f>B59*B65/12</f>
        <v>#REF!</v>
      </c>
      <c r="C67" s="22" t="e">
        <f>C59*C65/12</f>
        <v>#REF!</v>
      </c>
      <c r="D67" s="22" t="e">
        <f>D59*D65/12</f>
        <v>#REF!</v>
      </c>
      <c r="E67" s="22" t="e">
        <f t="shared" ref="E67:M67" si="21">E59*E65/12</f>
        <v>#REF!</v>
      </c>
      <c r="F67" s="22" t="e">
        <f t="shared" si="21"/>
        <v>#REF!</v>
      </c>
      <c r="G67" s="22" t="e">
        <f t="shared" si="21"/>
        <v>#REF!</v>
      </c>
      <c r="H67" s="22" t="e">
        <f>H59*H65/12</f>
        <v>#REF!</v>
      </c>
      <c r="I67" s="22" t="e">
        <f>I59*I65/12</f>
        <v>#REF!</v>
      </c>
      <c r="J67" s="22" t="e">
        <f t="shared" si="21"/>
        <v>#REF!</v>
      </c>
      <c r="K67" s="22" t="e">
        <f t="shared" si="21"/>
        <v>#REF!</v>
      </c>
      <c r="L67" s="22" t="e">
        <f t="shared" si="21"/>
        <v>#REF!</v>
      </c>
      <c r="M67" s="22" t="e">
        <f t="shared" si="21"/>
        <v>#REF!</v>
      </c>
      <c r="N67" s="25" t="e">
        <f>SUM(B67:M67)</f>
        <v>#REF!</v>
      </c>
    </row>
    <row r="68" spans="1:14" x14ac:dyDescent="0.2">
      <c r="A68" s="10" t="s">
        <v>50</v>
      </c>
      <c r="B68" s="22" t="e">
        <f>B62*B65/12</f>
        <v>#REF!</v>
      </c>
      <c r="C68" s="22" t="e">
        <f t="shared" ref="C68:M68" si="22">C62*C65/12</f>
        <v>#REF!</v>
      </c>
      <c r="D68" s="22" t="e">
        <f t="shared" si="22"/>
        <v>#REF!</v>
      </c>
      <c r="E68" s="22" t="e">
        <f t="shared" si="22"/>
        <v>#REF!</v>
      </c>
      <c r="F68" s="22" t="e">
        <f t="shared" si="22"/>
        <v>#REF!</v>
      </c>
      <c r="G68" s="22" t="e">
        <f t="shared" si="22"/>
        <v>#REF!</v>
      </c>
      <c r="H68" s="22" t="e">
        <f t="shared" si="22"/>
        <v>#REF!</v>
      </c>
      <c r="I68" s="22" t="e">
        <f t="shared" si="22"/>
        <v>#REF!</v>
      </c>
      <c r="J68" s="22" t="e">
        <f t="shared" si="22"/>
        <v>#REF!</v>
      </c>
      <c r="K68" s="22" t="e">
        <f t="shared" si="22"/>
        <v>#REF!</v>
      </c>
      <c r="L68" s="22" t="e">
        <f t="shared" si="22"/>
        <v>#REF!</v>
      </c>
      <c r="M68" s="22" t="e">
        <f t="shared" si="22"/>
        <v>#REF!</v>
      </c>
      <c r="N68" s="25" t="e">
        <f>SUM(B68:M68)</f>
        <v>#REF!</v>
      </c>
    </row>
    <row r="69" spans="1:14" x14ac:dyDescent="0.2">
      <c r="A69" s="10"/>
      <c r="B69" s="22"/>
      <c r="C69" s="22"/>
      <c r="D69" s="22"/>
      <c r="E69" s="22"/>
      <c r="F69" s="22"/>
      <c r="G69" s="22"/>
      <c r="H69" s="22"/>
      <c r="I69" s="22"/>
      <c r="J69" s="22"/>
      <c r="K69" s="22"/>
      <c r="L69" s="22"/>
      <c r="M69" s="22"/>
    </row>
    <row r="70" spans="1:14" x14ac:dyDescent="0.2">
      <c r="A70" s="17" t="s">
        <v>51</v>
      </c>
      <c r="B70" s="21" t="e">
        <f>'S&amp;TVA 2022'!M70</f>
        <v>#REF!</v>
      </c>
      <c r="C70" s="21" t="e">
        <f>B71</f>
        <v>#REF!</v>
      </c>
      <c r="D70" s="21" t="e">
        <f t="shared" ref="D70:M70" si="23">C71</f>
        <v>#REF!</v>
      </c>
      <c r="E70" s="21" t="e">
        <f t="shared" si="23"/>
        <v>#REF!</v>
      </c>
      <c r="F70" s="21" t="e">
        <f t="shared" si="23"/>
        <v>#REF!</v>
      </c>
      <c r="G70" s="21" t="e">
        <f t="shared" si="23"/>
        <v>#REF!</v>
      </c>
      <c r="H70" s="21" t="e">
        <f t="shared" si="23"/>
        <v>#REF!</v>
      </c>
      <c r="I70" s="21" t="e">
        <f t="shared" si="23"/>
        <v>#REF!</v>
      </c>
      <c r="J70" s="21" t="e">
        <f t="shared" si="23"/>
        <v>#REF!</v>
      </c>
      <c r="K70" s="21" t="e">
        <f t="shared" si="23"/>
        <v>#REF!</v>
      </c>
      <c r="L70" s="21" t="e">
        <f t="shared" si="23"/>
        <v>#REF!</v>
      </c>
      <c r="M70" s="21" t="e">
        <f t="shared" si="23"/>
        <v>#REF!</v>
      </c>
    </row>
    <row r="71" spans="1:14" x14ac:dyDescent="0.2">
      <c r="A71" s="17" t="s">
        <v>52</v>
      </c>
      <c r="B71" s="26" t="e">
        <f>SUM(B67,B70)</f>
        <v>#REF!</v>
      </c>
      <c r="C71" s="26" t="e">
        <f>SUM(C67,C70)</f>
        <v>#REF!</v>
      </c>
      <c r="D71" s="26" t="e">
        <f>SUM(D67,D70)</f>
        <v>#REF!</v>
      </c>
      <c r="E71" s="26" t="e">
        <f t="shared" ref="E71:M71" si="24">SUM(E67,E70)</f>
        <v>#REF!</v>
      </c>
      <c r="F71" s="26" t="e">
        <f t="shared" si="24"/>
        <v>#REF!</v>
      </c>
      <c r="G71" s="26" t="e">
        <f t="shared" si="24"/>
        <v>#REF!</v>
      </c>
      <c r="H71" s="26" t="e">
        <f t="shared" si="24"/>
        <v>#REF!</v>
      </c>
      <c r="I71" s="26" t="e">
        <f t="shared" si="24"/>
        <v>#REF!</v>
      </c>
      <c r="J71" s="26" t="e">
        <f t="shared" si="24"/>
        <v>#REF!</v>
      </c>
      <c r="K71" s="26" t="e">
        <f t="shared" si="24"/>
        <v>#REF!</v>
      </c>
      <c r="L71" s="26" t="e">
        <f t="shared" si="24"/>
        <v>#REF!</v>
      </c>
      <c r="M71" s="26" t="e">
        <f t="shared" si="24"/>
        <v>#REF!</v>
      </c>
    </row>
    <row r="72" spans="1:14" x14ac:dyDescent="0.2">
      <c r="A72" s="11"/>
    </row>
    <row r="73" spans="1:14" x14ac:dyDescent="0.2">
      <c r="A73" s="17" t="s">
        <v>53</v>
      </c>
      <c r="B73" s="21" t="e">
        <f>'S&amp;TVA 2022'!M73</f>
        <v>#REF!</v>
      </c>
      <c r="C73" s="21" t="e">
        <f>B74</f>
        <v>#REF!</v>
      </c>
      <c r="D73" s="21" t="e">
        <f t="shared" ref="D73:M73" si="25">C74</f>
        <v>#REF!</v>
      </c>
      <c r="E73" s="21" t="e">
        <f t="shared" si="25"/>
        <v>#REF!</v>
      </c>
      <c r="F73" s="21" t="e">
        <f t="shared" si="25"/>
        <v>#REF!</v>
      </c>
      <c r="G73" s="21" t="e">
        <f t="shared" si="25"/>
        <v>#REF!</v>
      </c>
      <c r="H73" s="21" t="e">
        <f t="shared" si="25"/>
        <v>#REF!</v>
      </c>
      <c r="I73" s="21" t="e">
        <f t="shared" si="25"/>
        <v>#REF!</v>
      </c>
      <c r="J73" s="21" t="e">
        <f t="shared" si="25"/>
        <v>#REF!</v>
      </c>
      <c r="K73" s="21" t="e">
        <f t="shared" si="25"/>
        <v>#REF!</v>
      </c>
      <c r="L73" s="21" t="e">
        <f t="shared" si="25"/>
        <v>#REF!</v>
      </c>
      <c r="M73" s="21" t="e">
        <f t="shared" si="25"/>
        <v>#REF!</v>
      </c>
    </row>
    <row r="74" spans="1:14" x14ac:dyDescent="0.2">
      <c r="A74" s="17" t="s">
        <v>54</v>
      </c>
      <c r="B74" s="26" t="e">
        <f>SUM(B68,B73)</f>
        <v>#REF!</v>
      </c>
      <c r="C74" s="26" t="e">
        <f>SUM(C68,C73)</f>
        <v>#REF!</v>
      </c>
      <c r="D74" s="26" t="e">
        <f>SUM(D68,D73)</f>
        <v>#REF!</v>
      </c>
      <c r="E74" s="26" t="e">
        <f t="shared" ref="E74:M74" si="26">SUM(E68,E73)</f>
        <v>#REF!</v>
      </c>
      <c r="F74" s="26" t="e">
        <f t="shared" si="26"/>
        <v>#REF!</v>
      </c>
      <c r="G74" s="26" t="e">
        <f t="shared" si="26"/>
        <v>#REF!</v>
      </c>
      <c r="H74" s="26" t="e">
        <f t="shared" si="26"/>
        <v>#REF!</v>
      </c>
      <c r="I74" s="26" t="e">
        <f t="shared" si="26"/>
        <v>#REF!</v>
      </c>
      <c r="J74" s="26" t="e">
        <f t="shared" si="26"/>
        <v>#REF!</v>
      </c>
      <c r="K74" s="26" t="e">
        <f t="shared" si="26"/>
        <v>#REF!</v>
      </c>
      <c r="L74" s="26" t="e">
        <f t="shared" si="26"/>
        <v>#REF!</v>
      </c>
      <c r="M74" s="26" t="e">
        <f t="shared" si="26"/>
        <v>#REF!</v>
      </c>
    </row>
    <row r="75" spans="1:14" x14ac:dyDescent="0.2">
      <c r="A75" s="11"/>
    </row>
    <row r="76" spans="1:14" x14ac:dyDescent="0.2">
      <c r="A76" s="12" t="s">
        <v>69</v>
      </c>
      <c r="D76" s="39">
        <f>SUM(B55:D55)</f>
        <v>44676.486876965042</v>
      </c>
      <c r="G76" s="39">
        <f>SUM(E55:G55)</f>
        <v>75680.452845175241</v>
      </c>
      <c r="J76" s="39">
        <f>SUM(H55:J55)</f>
        <v>148315.45076423383</v>
      </c>
      <c r="M76" s="39">
        <f>SUM(K55:M55)</f>
        <v>80612.19751449363</v>
      </c>
    </row>
    <row r="77" spans="1:14" x14ac:dyDescent="0.2">
      <c r="A77" s="12" t="s">
        <v>70</v>
      </c>
      <c r="D77" s="39">
        <f>SUM(B56:D56)</f>
        <v>-23307.740876965039</v>
      </c>
      <c r="G77" s="39">
        <f>SUM(E56:G56)</f>
        <v>-29997.696845175222</v>
      </c>
      <c r="J77" s="39">
        <f>SUM(H56:J56)</f>
        <v>-27176.304764233759</v>
      </c>
      <c r="M77" s="39">
        <f>SUM(K56:M56)</f>
        <v>-27429.380514493198</v>
      </c>
    </row>
    <row r="78" spans="1:14" x14ac:dyDescent="0.2">
      <c r="A78" s="14"/>
    </row>
    <row r="79" spans="1:14" x14ac:dyDescent="0.2">
      <c r="A79" s="12" t="s">
        <v>71</v>
      </c>
      <c r="D79" s="25" t="e">
        <f>SUM(B67:D67)</f>
        <v>#REF!</v>
      </c>
      <c r="G79" s="25" t="e">
        <f>SUM(E67:G67)</f>
        <v>#REF!</v>
      </c>
      <c r="J79" s="25" t="e">
        <f>SUM(H67:J67)</f>
        <v>#REF!</v>
      </c>
      <c r="M79" s="25" t="e">
        <f>SUM(K67:M67)</f>
        <v>#REF!</v>
      </c>
    </row>
    <row r="80" spans="1:14" x14ac:dyDescent="0.2">
      <c r="A80" s="12" t="s">
        <v>72</v>
      </c>
      <c r="D80" s="25" t="e">
        <f>SUM(B68:D68)</f>
        <v>#REF!</v>
      </c>
      <c r="G80" s="25" t="e">
        <f>SUM(E68:G68)</f>
        <v>#REF!</v>
      </c>
      <c r="J80" s="25" t="e">
        <f>SUM(H68:J68)</f>
        <v>#REF!</v>
      </c>
      <c r="M80" s="25" t="e">
        <f>SUM(K68:M68)</f>
        <v>#REF!</v>
      </c>
    </row>
    <row r="81" spans="1:11" x14ac:dyDescent="0.2">
      <c r="A81" s="7"/>
    </row>
    <row r="82" spans="1:11" x14ac:dyDescent="0.2">
      <c r="A82" s="7"/>
    </row>
    <row r="83" spans="1:11" x14ac:dyDescent="0.2">
      <c r="A83" s="12"/>
    </row>
    <row r="84" spans="1:11" x14ac:dyDescent="0.2">
      <c r="A84" s="13"/>
    </row>
    <row r="85" spans="1:11" x14ac:dyDescent="0.2">
      <c r="A85" s="14"/>
    </row>
    <row r="86" spans="1:11" x14ac:dyDescent="0.2">
      <c r="A86" s="49" t="s">
        <v>79</v>
      </c>
    </row>
    <row r="87" spans="1:11" x14ac:dyDescent="0.2">
      <c r="A87" s="49" t="s">
        <v>80</v>
      </c>
    </row>
    <row r="88" spans="1:11" x14ac:dyDescent="0.2">
      <c r="A88" s="7"/>
      <c r="J88" s="18" t="s">
        <v>67</v>
      </c>
      <c r="K88" s="18" t="s">
        <v>88</v>
      </c>
    </row>
    <row r="89" spans="1:11" x14ac:dyDescent="0.2">
      <c r="A89" s="7"/>
    </row>
    <row r="90" spans="1:11" x14ac:dyDescent="0.2">
      <c r="A90" s="7"/>
    </row>
    <row r="91" spans="1:11" x14ac:dyDescent="0.2">
      <c r="A91" s="7"/>
    </row>
    <row r="92" spans="1:11" x14ac:dyDescent="0.2">
      <c r="A92" s="50" t="s">
        <v>81</v>
      </c>
    </row>
    <row r="93" spans="1:11" x14ac:dyDescent="0.2">
      <c r="A93" s="7"/>
    </row>
    <row r="121" spans="1:17" x14ac:dyDescent="0.2">
      <c r="B121" s="4" t="s">
        <v>85</v>
      </c>
      <c r="C121" s="4" t="s">
        <v>86</v>
      </c>
      <c r="P121" s="4" t="s">
        <v>85</v>
      </c>
      <c r="Q121" s="4" t="s">
        <v>86</v>
      </c>
    </row>
    <row r="122" spans="1:17" x14ac:dyDescent="0.2">
      <c r="A122" s="29" t="s">
        <v>82</v>
      </c>
      <c r="B122" s="51">
        <f>151990+98209</f>
        <v>250199</v>
      </c>
      <c r="C122" s="51">
        <f>B122/12</f>
        <v>20849.916666666668</v>
      </c>
      <c r="P122" s="51">
        <f>153219.84+103954.06</f>
        <v>257173.9</v>
      </c>
      <c r="Q122" s="51">
        <f>P122/12</f>
        <v>21431.158333333333</v>
      </c>
    </row>
    <row r="125" spans="1:17" ht="15" x14ac:dyDescent="0.25">
      <c r="P125" s="58" t="s">
        <v>92</v>
      </c>
    </row>
  </sheetData>
  <hyperlinks>
    <hyperlink ref="P125" r:id="rId1" xr:uid="{00000000-0004-0000-0600-000000000000}"/>
  </hyperlinks>
  <pageMargins left="0.70866141732283472" right="0.70866141732283472" top="0.74803149606299213" bottom="0.74803149606299213" header="0.31496062992125984" footer="0.31496062992125984"/>
  <pageSetup orientation="portrait" r:id="rId2"/>
  <headerFooter>
    <oddHeader>&amp;R&amp;"Times New Roman,Regular"&amp;10Filed: 2019-01-31
EB-2018-0336
Exhibit 9
Page &amp;P of &amp;N</oddHead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Q121"/>
  <sheetViews>
    <sheetView zoomScale="85" zoomScaleNormal="85" workbookViewId="0">
      <pane xSplit="1" ySplit="5" topLeftCell="B6" activePane="bottomRight" state="frozen"/>
      <selection pane="topRight" activeCell="B1" sqref="B1"/>
      <selection pane="bottomLeft" activeCell="A6" sqref="A6"/>
      <selection pane="bottomRight" activeCell="B28" sqref="B28"/>
    </sheetView>
  </sheetViews>
  <sheetFormatPr defaultColWidth="12.42578125" defaultRowHeight="12.75" x14ac:dyDescent="0.2"/>
  <cols>
    <col min="1" max="1" width="59.28515625" style="18" customWidth="1"/>
    <col min="2" max="13" width="14.140625" style="18" customWidth="1"/>
    <col min="14" max="16384" width="12.42578125" style="18"/>
  </cols>
  <sheetData>
    <row r="1" spans="1:13" ht="20.25" x14ac:dyDescent="0.3">
      <c r="A1" s="2" t="s">
        <v>12</v>
      </c>
      <c r="B1" s="46"/>
    </row>
    <row r="2" spans="1:13" x14ac:dyDescent="0.2">
      <c r="A2" s="2" t="s">
        <v>13</v>
      </c>
    </row>
    <row r="3" spans="1:13" s="4" customFormat="1" x14ac:dyDescent="0.2">
      <c r="A3" s="1"/>
      <c r="B3" s="4">
        <v>2022</v>
      </c>
      <c r="C3" s="4">
        <v>2022</v>
      </c>
      <c r="D3" s="4">
        <v>2022</v>
      </c>
      <c r="E3" s="4">
        <v>2022</v>
      </c>
      <c r="F3" s="4">
        <v>2022</v>
      </c>
      <c r="G3" s="4">
        <v>2022</v>
      </c>
      <c r="H3" s="4">
        <v>2022</v>
      </c>
      <c r="I3" s="4">
        <v>2022</v>
      </c>
      <c r="J3" s="4">
        <v>2022</v>
      </c>
      <c r="K3" s="4">
        <v>2022</v>
      </c>
      <c r="L3" s="4">
        <v>2022</v>
      </c>
      <c r="M3" s="4">
        <v>2022</v>
      </c>
    </row>
    <row r="4" spans="1:13" s="3" customFormat="1" x14ac:dyDescent="0.2">
      <c r="A4" s="5"/>
      <c r="B4" s="6" t="s">
        <v>3</v>
      </c>
      <c r="C4" s="6" t="s">
        <v>4</v>
      </c>
      <c r="D4" s="6" t="s">
        <v>5</v>
      </c>
      <c r="E4" s="6" t="s">
        <v>6</v>
      </c>
      <c r="F4" s="6" t="s">
        <v>7</v>
      </c>
      <c r="G4" s="6" t="s">
        <v>8</v>
      </c>
      <c r="H4" s="6" t="s">
        <v>9</v>
      </c>
      <c r="I4" s="6" t="s">
        <v>10</v>
      </c>
      <c r="J4" s="6" t="s">
        <v>11</v>
      </c>
      <c r="K4" s="6" t="s">
        <v>0</v>
      </c>
      <c r="L4" s="6" t="s">
        <v>1</v>
      </c>
      <c r="M4" s="16" t="s">
        <v>2</v>
      </c>
    </row>
    <row r="5" spans="1:13" x14ac:dyDescent="0.2">
      <c r="A5" s="3"/>
    </row>
    <row r="6" spans="1:13" x14ac:dyDescent="0.2">
      <c r="A6" s="3" t="s">
        <v>14</v>
      </c>
    </row>
    <row r="7" spans="1:13" hidden="1" x14ac:dyDescent="0.2">
      <c r="A7" s="3"/>
    </row>
    <row r="8" spans="1:13" hidden="1" x14ac:dyDescent="0.2">
      <c r="A8" s="3" t="s">
        <v>15</v>
      </c>
    </row>
    <row r="9" spans="1:13" hidden="1" x14ac:dyDescent="0.2">
      <c r="A9" s="18" t="s">
        <v>16</v>
      </c>
      <c r="B9" s="40"/>
      <c r="C9" s="40"/>
      <c r="D9" s="40"/>
      <c r="E9" s="40"/>
      <c r="F9" s="41"/>
      <c r="G9" s="41"/>
      <c r="H9" s="41"/>
      <c r="I9" s="41"/>
      <c r="J9" s="41"/>
      <c r="K9" s="41"/>
      <c r="L9" s="41"/>
      <c r="M9" s="41"/>
    </row>
    <row r="10" spans="1:13" hidden="1" x14ac:dyDescent="0.2">
      <c r="A10" s="18" t="s">
        <v>17</v>
      </c>
      <c r="B10" s="40"/>
      <c r="C10" s="40"/>
      <c r="D10" s="40"/>
      <c r="E10" s="40"/>
      <c r="F10" s="41"/>
      <c r="G10" s="41"/>
      <c r="H10" s="41"/>
      <c r="I10" s="41"/>
      <c r="J10" s="41"/>
      <c r="K10" s="41"/>
      <c r="L10" s="41"/>
      <c r="M10" s="41"/>
    </row>
    <row r="11" spans="1:13" hidden="1" x14ac:dyDescent="0.2">
      <c r="A11" s="18" t="s">
        <v>18</v>
      </c>
      <c r="B11" s="40"/>
      <c r="C11" s="40"/>
      <c r="D11" s="40"/>
      <c r="E11" s="40"/>
      <c r="F11" s="41"/>
      <c r="G11" s="41"/>
      <c r="H11" s="41"/>
      <c r="I11" s="41"/>
      <c r="J11" s="41"/>
      <c r="K11" s="41"/>
      <c r="L11" s="41"/>
      <c r="M11" s="41"/>
    </row>
    <row r="12" spans="1:13" hidden="1" x14ac:dyDescent="0.2">
      <c r="A12" s="18" t="s">
        <v>21</v>
      </c>
      <c r="B12" s="40"/>
      <c r="C12" s="40"/>
      <c r="D12" s="40"/>
      <c r="E12" s="40"/>
      <c r="F12" s="41"/>
      <c r="G12" s="41"/>
      <c r="H12" s="41"/>
      <c r="I12" s="41"/>
      <c r="J12" s="41"/>
      <c r="K12" s="41"/>
      <c r="L12" s="41"/>
      <c r="M12" s="41"/>
    </row>
    <row r="13" spans="1:13" hidden="1" x14ac:dyDescent="0.2">
      <c r="A13" s="18" t="s">
        <v>22</v>
      </c>
      <c r="B13" s="40"/>
      <c r="C13" s="40"/>
      <c r="D13" s="40"/>
      <c r="E13" s="40"/>
      <c r="F13" s="41"/>
      <c r="G13" s="41"/>
      <c r="H13" s="41"/>
      <c r="I13" s="41"/>
      <c r="J13" s="41"/>
      <c r="K13" s="41"/>
      <c r="L13" s="41"/>
      <c r="M13" s="41"/>
    </row>
    <row r="14" spans="1:13" hidden="1" x14ac:dyDescent="0.2">
      <c r="A14" s="3"/>
      <c r="F14" s="24"/>
      <c r="G14" s="24"/>
      <c r="H14" s="24"/>
      <c r="I14" s="24"/>
      <c r="J14" s="24"/>
      <c r="K14" s="24"/>
      <c r="L14" s="24"/>
      <c r="M14" s="24"/>
    </row>
    <row r="15" spans="1:13" hidden="1" x14ac:dyDescent="0.2">
      <c r="A15" s="3"/>
      <c r="F15" s="24"/>
      <c r="G15" s="24"/>
      <c r="H15" s="24"/>
      <c r="I15" s="24"/>
      <c r="J15" s="24"/>
      <c r="K15" s="24"/>
      <c r="L15" s="24"/>
      <c r="M15" s="24"/>
    </row>
    <row r="16" spans="1:13" hidden="1" x14ac:dyDescent="0.2">
      <c r="A16" s="3"/>
      <c r="F16" s="24"/>
      <c r="G16" s="24"/>
      <c r="H16" s="24"/>
      <c r="I16" s="24"/>
      <c r="J16" s="24"/>
      <c r="K16" s="24"/>
      <c r="L16" s="24"/>
      <c r="M16" s="24"/>
    </row>
    <row r="17" spans="1:14" x14ac:dyDescent="0.2">
      <c r="A17" s="3" t="s">
        <v>15</v>
      </c>
      <c r="F17" s="24"/>
      <c r="G17" s="24"/>
      <c r="H17" s="24"/>
      <c r="I17" s="24"/>
      <c r="J17" s="24"/>
      <c r="K17" s="24"/>
      <c r="L17" s="24"/>
      <c r="M17" s="24"/>
    </row>
    <row r="18" spans="1:14" x14ac:dyDescent="0.2">
      <c r="A18" s="18" t="s">
        <v>16</v>
      </c>
      <c r="B18" s="44">
        <v>7083.33</v>
      </c>
      <c r="C18" s="44">
        <f>B18</f>
        <v>7083.33</v>
      </c>
      <c r="D18" s="44">
        <f>C18</f>
        <v>7083.33</v>
      </c>
      <c r="E18" s="44">
        <v>7083.33</v>
      </c>
      <c r="F18" s="44">
        <v>7083.33</v>
      </c>
      <c r="G18" s="44">
        <v>7083.33</v>
      </c>
      <c r="H18" s="44">
        <v>7083.33</v>
      </c>
      <c r="I18" s="44">
        <v>7083.33</v>
      </c>
      <c r="J18" s="44">
        <v>7083.33</v>
      </c>
      <c r="K18" s="44">
        <v>7083.33</v>
      </c>
      <c r="L18" s="44">
        <v>7083.33</v>
      </c>
      <c r="M18" s="44">
        <v>7083.33</v>
      </c>
      <c r="N18" s="18" t="s">
        <v>62</v>
      </c>
    </row>
    <row r="19" spans="1:14" x14ac:dyDescent="0.2">
      <c r="A19" s="18" t="s">
        <v>56</v>
      </c>
      <c r="B19" s="44">
        <v>143.4</v>
      </c>
      <c r="C19" s="44">
        <v>117.9</v>
      </c>
      <c r="D19" s="44">
        <v>98.7</v>
      </c>
      <c r="E19" s="44">
        <v>113.78</v>
      </c>
      <c r="F19" s="44"/>
      <c r="G19" s="44">
        <v>116.82</v>
      </c>
      <c r="H19" s="44"/>
      <c r="I19" s="44"/>
      <c r="J19" s="44"/>
      <c r="K19" s="44"/>
      <c r="L19" s="44">
        <v>40.21</v>
      </c>
      <c r="M19" s="44">
        <v>118.76</v>
      </c>
      <c r="N19" s="18" t="s">
        <v>62</v>
      </c>
    </row>
    <row r="20" spans="1:14" x14ac:dyDescent="0.2">
      <c r="A20" s="18" t="s">
        <v>17</v>
      </c>
      <c r="B20" s="44"/>
      <c r="C20" s="44"/>
      <c r="D20" s="44"/>
      <c r="E20" s="44">
        <v>3.59</v>
      </c>
      <c r="F20" s="44">
        <v>139.5</v>
      </c>
      <c r="G20" s="44"/>
      <c r="H20" s="44">
        <v>83.51</v>
      </c>
      <c r="I20" s="44">
        <v>82.02</v>
      </c>
      <c r="J20" s="44">
        <v>80.06</v>
      </c>
      <c r="K20" s="44"/>
      <c r="L20" s="44"/>
      <c r="M20" s="44"/>
    </row>
    <row r="21" spans="1:14" x14ac:dyDescent="0.2">
      <c r="A21" s="18" t="s">
        <v>21</v>
      </c>
      <c r="B21" s="44"/>
      <c r="C21" s="44"/>
      <c r="D21" s="44"/>
      <c r="E21" s="44"/>
      <c r="F21" s="44">
        <v>85.61</v>
      </c>
      <c r="G21" s="44"/>
      <c r="H21" s="44"/>
      <c r="I21" s="44"/>
      <c r="J21" s="44"/>
      <c r="K21" s="44"/>
      <c r="L21" s="44"/>
      <c r="M21" s="44"/>
    </row>
    <row r="22" spans="1:14" x14ac:dyDescent="0.2">
      <c r="F22" s="24"/>
      <c r="G22" s="24"/>
      <c r="H22" s="24"/>
      <c r="I22" s="24"/>
      <c r="J22" s="24"/>
      <c r="K22" s="24"/>
      <c r="L22" s="24"/>
      <c r="M22" s="24"/>
    </row>
    <row r="23" spans="1:14" x14ac:dyDescent="0.2">
      <c r="F23" s="24"/>
      <c r="G23" s="24"/>
      <c r="H23" s="24"/>
      <c r="I23" s="24"/>
      <c r="J23" s="24"/>
      <c r="K23" s="24"/>
      <c r="L23" s="24"/>
      <c r="M23" s="24"/>
    </row>
    <row r="24" spans="1:14" x14ac:dyDescent="0.2">
      <c r="A24" s="3" t="s">
        <v>20</v>
      </c>
      <c r="F24" s="24"/>
      <c r="G24" s="24"/>
      <c r="H24" s="24"/>
      <c r="I24" s="24"/>
      <c r="J24" s="24"/>
      <c r="K24" s="24"/>
      <c r="L24" s="24"/>
      <c r="M24" s="24"/>
    </row>
    <row r="25" spans="1:14" x14ac:dyDescent="0.2">
      <c r="A25" s="17" t="s">
        <v>26</v>
      </c>
      <c r="B25" s="44"/>
      <c r="C25" s="44"/>
      <c r="D25" s="44"/>
      <c r="E25" s="44"/>
      <c r="F25" s="44"/>
      <c r="G25" s="44"/>
      <c r="H25" s="44"/>
      <c r="I25" s="44"/>
      <c r="J25" s="44"/>
      <c r="K25" s="44"/>
      <c r="L25" s="44"/>
      <c r="M25" s="44"/>
    </row>
    <row r="26" spans="1:14" x14ac:dyDescent="0.2">
      <c r="A26" s="17" t="s">
        <v>27</v>
      </c>
      <c r="B26" s="44">
        <v>2061.15</v>
      </c>
      <c r="C26" s="44">
        <f>B26</f>
        <v>2061.15</v>
      </c>
      <c r="D26" s="44">
        <f>C26</f>
        <v>2061.15</v>
      </c>
      <c r="E26" s="44">
        <v>2061.15</v>
      </c>
      <c r="F26" s="44">
        <v>2061.15</v>
      </c>
      <c r="G26" s="44">
        <v>2051.15</v>
      </c>
      <c r="H26" s="44">
        <v>2061.15</v>
      </c>
      <c r="I26" s="44">
        <v>2061.15</v>
      </c>
      <c r="J26" s="44">
        <v>2061.15</v>
      </c>
      <c r="K26" s="44">
        <v>2061.15</v>
      </c>
      <c r="L26" s="44">
        <v>2061.15</v>
      </c>
      <c r="M26" s="44">
        <v>2061.15</v>
      </c>
      <c r="N26" s="18" t="s">
        <v>62</v>
      </c>
    </row>
    <row r="27" spans="1:14" x14ac:dyDescent="0.2">
      <c r="A27" s="17" t="s">
        <v>28</v>
      </c>
      <c r="B27" s="44"/>
      <c r="C27" s="44"/>
      <c r="D27" s="44"/>
      <c r="E27" s="44"/>
      <c r="F27" s="44"/>
      <c r="G27" s="44"/>
      <c r="H27" s="44"/>
      <c r="I27" s="44"/>
      <c r="J27" s="44"/>
      <c r="K27" s="44"/>
      <c r="L27" s="44"/>
      <c r="M27" s="44"/>
    </row>
    <row r="28" spans="1:14" x14ac:dyDescent="0.2">
      <c r="A28" s="17" t="s">
        <v>29</v>
      </c>
      <c r="B28" s="44">
        <v>40495.050000000003</v>
      </c>
      <c r="C28" s="44">
        <f>B28</f>
        <v>40495.050000000003</v>
      </c>
      <c r="D28" s="44">
        <f>C28</f>
        <v>40495.050000000003</v>
      </c>
      <c r="E28" s="44">
        <v>40495.050000000003</v>
      </c>
      <c r="F28" s="44">
        <v>40495.050000000003</v>
      </c>
      <c r="G28" s="44">
        <v>40495.050000000003</v>
      </c>
      <c r="H28" s="44">
        <v>40495.050000000003</v>
      </c>
      <c r="I28" s="44">
        <v>40495.050000000003</v>
      </c>
      <c r="J28" s="44">
        <v>40495.050000000003</v>
      </c>
      <c r="K28" s="44">
        <v>40495.050000000003</v>
      </c>
      <c r="L28" s="44">
        <v>40495.050000000003</v>
      </c>
      <c r="M28" s="44">
        <v>40495.050000000003</v>
      </c>
      <c r="N28" s="18" t="s">
        <v>62</v>
      </c>
    </row>
    <row r="29" spans="1:14" x14ac:dyDescent="0.2">
      <c r="A29" s="17" t="s">
        <v>23</v>
      </c>
      <c r="B29" s="44">
        <v>357.34</v>
      </c>
      <c r="C29" s="44">
        <v>304.94</v>
      </c>
      <c r="D29" s="44">
        <v>306.29000000000002</v>
      </c>
      <c r="E29" s="44">
        <v>343.98</v>
      </c>
      <c r="F29" s="44">
        <v>304.10000000000002</v>
      </c>
      <c r="G29" s="44">
        <v>208.5</v>
      </c>
      <c r="H29" s="44">
        <v>209.05</v>
      </c>
      <c r="I29" s="44">
        <v>225.71</v>
      </c>
      <c r="J29" s="44">
        <v>203.82</v>
      </c>
      <c r="K29" s="44">
        <v>359.97</v>
      </c>
      <c r="L29" s="44">
        <v>423.1</v>
      </c>
      <c r="M29" s="44">
        <v>455.77</v>
      </c>
      <c r="N29" s="18" t="s">
        <v>62</v>
      </c>
    </row>
    <row r="30" spans="1:14" x14ac:dyDescent="0.2">
      <c r="A30" s="17" t="s">
        <v>23</v>
      </c>
      <c r="B30" s="44"/>
      <c r="C30" s="44"/>
      <c r="D30" s="44"/>
      <c r="E30" s="44"/>
      <c r="F30" s="44"/>
      <c r="G30" s="44"/>
      <c r="H30" s="44"/>
      <c r="I30" s="44"/>
      <c r="J30" s="44"/>
      <c r="K30" s="44"/>
      <c r="L30" s="44"/>
      <c r="M30" s="44"/>
    </row>
    <row r="31" spans="1:14" x14ac:dyDescent="0.2">
      <c r="A31" s="17" t="s">
        <v>57</v>
      </c>
      <c r="B31" s="44"/>
      <c r="C31" s="44"/>
      <c r="D31" s="44"/>
      <c r="E31" s="44"/>
      <c r="F31" s="44"/>
      <c r="G31" s="44"/>
      <c r="H31" s="44"/>
      <c r="I31" s="44"/>
      <c r="J31" s="44"/>
      <c r="K31" s="44"/>
      <c r="L31" s="44"/>
      <c r="M31" s="44"/>
    </row>
    <row r="32" spans="1:14" x14ac:dyDescent="0.2">
      <c r="A32" s="17" t="s">
        <v>58</v>
      </c>
      <c r="B32" s="44"/>
      <c r="C32" s="44"/>
      <c r="D32" s="44"/>
      <c r="E32" s="44"/>
      <c r="F32" s="44"/>
      <c r="G32" s="44"/>
      <c r="H32" s="44"/>
      <c r="I32" s="44"/>
      <c r="J32" s="44"/>
      <c r="K32" s="44"/>
      <c r="L32" s="44"/>
      <c r="M32" s="44"/>
    </row>
    <row r="33" spans="1:17" x14ac:dyDescent="0.2">
      <c r="A33" s="17" t="s">
        <v>25</v>
      </c>
      <c r="B33" s="44"/>
      <c r="C33" s="44"/>
      <c r="D33" s="44"/>
      <c r="E33" s="44"/>
      <c r="F33" s="44"/>
      <c r="G33" s="44"/>
      <c r="H33" s="44"/>
      <c r="I33" s="44"/>
      <c r="J33" s="44"/>
      <c r="K33" s="44"/>
      <c r="L33" s="44"/>
      <c r="M33" s="44"/>
    </row>
    <row r="34" spans="1:17" x14ac:dyDescent="0.2">
      <c r="A34" s="32" t="s">
        <v>19</v>
      </c>
      <c r="B34" s="24">
        <f>ROUND(SUM(B18:B33)*0.13,2)</f>
        <v>6518.24</v>
      </c>
      <c r="C34" s="24">
        <f t="shared" ref="C34:E34" si="0">ROUND(SUM(C18:C33)*0.13,2)</f>
        <v>6508.11</v>
      </c>
      <c r="D34" s="24">
        <f t="shared" si="0"/>
        <v>6505.79</v>
      </c>
      <c r="E34" s="24">
        <f t="shared" si="0"/>
        <v>6513.11</v>
      </c>
      <c r="F34" s="24">
        <f>ROUND(SUM(F18:F33)*0.13,2)</f>
        <v>6521.94</v>
      </c>
      <c r="G34" s="24">
        <f t="shared" ref="G34:M34" si="1">ROUND(SUM(G18:G33)*0.13,2)</f>
        <v>6494.13</v>
      </c>
      <c r="H34" s="24">
        <f>ROUND(SUM(H18:H33)*0.13,2)</f>
        <v>6491.17</v>
      </c>
      <c r="I34" s="24">
        <f t="shared" si="1"/>
        <v>6493.14</v>
      </c>
      <c r="J34" s="24">
        <f t="shared" si="1"/>
        <v>6490.04</v>
      </c>
      <c r="K34" s="24">
        <f t="shared" si="1"/>
        <v>6499.94</v>
      </c>
      <c r="L34" s="24">
        <f t="shared" si="1"/>
        <v>6513.37</v>
      </c>
      <c r="M34" s="24">
        <f t="shared" si="1"/>
        <v>6527.83</v>
      </c>
    </row>
    <row r="35" spans="1:17" x14ac:dyDescent="0.2">
      <c r="A35" s="29" t="s">
        <v>35</v>
      </c>
      <c r="B35" s="36">
        <f>SUM(B18:B34)</f>
        <v>56658.509999999995</v>
      </c>
      <c r="C35" s="36">
        <f t="shared" ref="C35:E35" si="2">SUM(C18:C34)</f>
        <v>56570.48</v>
      </c>
      <c r="D35" s="36">
        <f t="shared" si="2"/>
        <v>56550.310000000005</v>
      </c>
      <c r="E35" s="36">
        <f t="shared" si="2"/>
        <v>56613.990000000005</v>
      </c>
      <c r="F35" s="36">
        <f>SUM(F18:F34)</f>
        <v>56690.68</v>
      </c>
      <c r="G35" s="36">
        <f t="shared" ref="G35:M35" si="3">SUM(G18:G34)</f>
        <v>56448.98</v>
      </c>
      <c r="H35" s="36">
        <f t="shared" si="3"/>
        <v>56423.26</v>
      </c>
      <c r="I35" s="36">
        <f t="shared" si="3"/>
        <v>56440.4</v>
      </c>
      <c r="J35" s="36">
        <f t="shared" si="3"/>
        <v>56413.450000000004</v>
      </c>
      <c r="K35" s="36">
        <f>SUM(K18:K34)</f>
        <v>56499.44</v>
      </c>
      <c r="L35" s="36">
        <f t="shared" si="3"/>
        <v>56616.210000000006</v>
      </c>
      <c r="M35" s="36">
        <f t="shared" si="3"/>
        <v>56741.89</v>
      </c>
    </row>
    <row r="36" spans="1:17" x14ac:dyDescent="0.2">
      <c r="A36" s="29" t="s">
        <v>38</v>
      </c>
      <c r="B36" s="37">
        <f>SUM(B18:B21,B25:B32)</f>
        <v>50140.27</v>
      </c>
      <c r="C36" s="37">
        <f>SUM(C18:C21,C25:C32)</f>
        <v>50062.37</v>
      </c>
      <c r="D36" s="37">
        <f t="shared" ref="D36:M36" si="4">SUM(D18:D21,D25:D32)</f>
        <v>50044.520000000004</v>
      </c>
      <c r="E36" s="37">
        <f t="shared" si="4"/>
        <v>50100.880000000005</v>
      </c>
      <c r="F36" s="37">
        <f t="shared" si="4"/>
        <v>50168.74</v>
      </c>
      <c r="G36" s="37">
        <f t="shared" si="4"/>
        <v>49954.850000000006</v>
      </c>
      <c r="H36" s="37">
        <f t="shared" si="4"/>
        <v>49932.090000000004</v>
      </c>
      <c r="I36" s="37">
        <f t="shared" si="4"/>
        <v>49947.26</v>
      </c>
      <c r="J36" s="37">
        <f t="shared" si="4"/>
        <v>49923.41</v>
      </c>
      <c r="K36" s="37">
        <f t="shared" si="4"/>
        <v>49999.5</v>
      </c>
      <c r="L36" s="37">
        <f t="shared" si="4"/>
        <v>50102.840000000004</v>
      </c>
      <c r="M36" s="37">
        <f t="shared" si="4"/>
        <v>50214.06</v>
      </c>
    </row>
    <row r="37" spans="1:17" x14ac:dyDescent="0.2">
      <c r="A37" s="31" t="s">
        <v>37</v>
      </c>
      <c r="B37" s="52">
        <f>Allocation!AC10</f>
        <v>7849.2000000000007</v>
      </c>
      <c r="C37" s="52">
        <f>Allocation!AD10</f>
        <v>7136</v>
      </c>
      <c r="D37" s="52">
        <f>Allocation!AE10</f>
        <v>7185.4400000000005</v>
      </c>
      <c r="E37" s="52">
        <f>Allocation!AF10</f>
        <v>6557.4</v>
      </c>
      <c r="F37" s="52">
        <f>Allocation!AG10</f>
        <v>6067.48</v>
      </c>
      <c r="G37" s="52">
        <f>Allocation!AH10</f>
        <v>5208.2</v>
      </c>
      <c r="H37" s="52">
        <f>Allocation!AI10</f>
        <v>5232.76</v>
      </c>
      <c r="I37" s="52">
        <f>Allocation!AJ10</f>
        <v>5430.67</v>
      </c>
      <c r="J37" s="52">
        <f>Allocation!AK10</f>
        <v>5240.1100000000006</v>
      </c>
      <c r="K37" s="53">
        <f>Allocation!AL10</f>
        <v>6823.1900000000005</v>
      </c>
      <c r="L37" s="53">
        <f>Allocation!AM10</f>
        <v>7333.39</v>
      </c>
      <c r="M37" s="41">
        <f>Allocation!AN10</f>
        <v>7712.8700000000008</v>
      </c>
      <c r="N37" s="18" t="s">
        <v>83</v>
      </c>
    </row>
    <row r="38" spans="1:17" x14ac:dyDescent="0.2">
      <c r="A38" s="31" t="s">
        <v>36</v>
      </c>
      <c r="B38" s="42">
        <v>16622.916666666668</v>
      </c>
      <c r="C38" s="42">
        <v>16622.916666666668</v>
      </c>
      <c r="D38" s="42">
        <v>16622.916666666668</v>
      </c>
      <c r="E38" s="42">
        <v>16622.916666666668</v>
      </c>
      <c r="F38" s="42">
        <v>16622.916666666668</v>
      </c>
      <c r="G38" s="42">
        <v>16622.916666666668</v>
      </c>
      <c r="H38" s="42">
        <v>16622.916666666668</v>
      </c>
      <c r="I38" s="42">
        <v>16622.916666666668</v>
      </c>
      <c r="J38" s="42">
        <v>16622.916666666668</v>
      </c>
      <c r="K38" s="42">
        <f>P42</f>
        <v>35332.25</v>
      </c>
      <c r="L38" s="42">
        <f>K38</f>
        <v>35332.25</v>
      </c>
      <c r="M38" s="47">
        <f>L38</f>
        <v>35332.25</v>
      </c>
      <c r="P38" s="24">
        <f>B121</f>
        <v>255603</v>
      </c>
      <c r="Q38" s="48" t="s">
        <v>66</v>
      </c>
    </row>
    <row r="39" spans="1:17" x14ac:dyDescent="0.2">
      <c r="A39" s="31"/>
      <c r="B39" s="33">
        <f>SUM(B36:B38)</f>
        <v>74612.386666666673</v>
      </c>
      <c r="C39" s="33">
        <f t="shared" ref="C39:M39" si="5">SUM(C36:C38)</f>
        <v>73821.286666666667</v>
      </c>
      <c r="D39" s="33">
        <f t="shared" si="5"/>
        <v>73852.876666666678</v>
      </c>
      <c r="E39" s="33">
        <f t="shared" si="5"/>
        <v>73281.19666666667</v>
      </c>
      <c r="F39" s="33">
        <f t="shared" si="5"/>
        <v>72859.136666666673</v>
      </c>
      <c r="G39" s="33">
        <f>SUM(G36:G38)</f>
        <v>71785.966666666674</v>
      </c>
      <c r="H39" s="33">
        <f t="shared" si="5"/>
        <v>71787.766666666677</v>
      </c>
      <c r="I39" s="33">
        <f t="shared" si="5"/>
        <v>72000.846666666665</v>
      </c>
      <c r="J39" s="33">
        <f t="shared" si="5"/>
        <v>71786.436666666676</v>
      </c>
      <c r="K39" s="33">
        <f t="shared" si="5"/>
        <v>92154.94</v>
      </c>
      <c r="L39" s="33">
        <f t="shared" si="5"/>
        <v>92768.48000000001</v>
      </c>
      <c r="M39" s="33">
        <f t="shared" si="5"/>
        <v>93259.18</v>
      </c>
      <c r="N39" s="39">
        <f>SUM(B39:M39)</f>
        <v>933970.5</v>
      </c>
      <c r="P39" s="24">
        <f>P38/12</f>
        <v>21300.25</v>
      </c>
      <c r="Q39" s="48" t="s">
        <v>75</v>
      </c>
    </row>
    <row r="40" spans="1:17" x14ac:dyDescent="0.2">
      <c r="A40" s="31"/>
      <c r="B40" s="19"/>
      <c r="C40" s="19"/>
      <c r="D40" s="19"/>
      <c r="E40" s="19"/>
      <c r="F40" s="19"/>
      <c r="G40" s="19"/>
      <c r="H40" s="19"/>
      <c r="I40" s="19"/>
      <c r="J40" s="19"/>
      <c r="K40" s="19"/>
      <c r="L40" s="19"/>
      <c r="M40" s="19"/>
      <c r="P40" s="24">
        <f>SUM(B38:J38)</f>
        <v>149606.25</v>
      </c>
      <c r="Q40" s="48" t="s">
        <v>76</v>
      </c>
    </row>
    <row r="41" spans="1:17" x14ac:dyDescent="0.2">
      <c r="A41" s="17" t="s">
        <v>39</v>
      </c>
      <c r="B41" s="118">
        <f>Allocation!AC3+Allocation!AC8+B38</f>
        <v>51915.096937369817</v>
      </c>
      <c r="C41" s="118">
        <f>Allocation!AD3+Allocation!AD8+C38</f>
        <v>51680.788766478727</v>
      </c>
      <c r="D41" s="118">
        <f>Allocation!AE3+Allocation!AE8+D38</f>
        <v>51488.003461101631</v>
      </c>
      <c r="E41" s="118">
        <f>Allocation!AF3+Allocation!AF8+E38</f>
        <v>51095.321781606704</v>
      </c>
      <c r="F41" s="118">
        <f>Allocation!AG3+Allocation!AG8+F38</f>
        <v>50717.696292804569</v>
      </c>
      <c r="G41" s="118">
        <f>Allocation!AH3+Allocation!AH8+G38</f>
        <v>50405.27565037577</v>
      </c>
      <c r="H41" s="118">
        <f>Allocation!AI3+Allocation!AI8+H38</f>
        <v>50392.514575069712</v>
      </c>
      <c r="I41" s="118">
        <f>Allocation!AJ3+Allocation!AJ8+I38</f>
        <v>50631.368031262231</v>
      </c>
      <c r="J41" s="118">
        <f>Allocation!AK3+Allocation!AK8+J38</f>
        <v>50641.464248733566</v>
      </c>
      <c r="K41" s="118">
        <f>Allocation!AL3+Allocation!AL8+K38</f>
        <v>70741.46211698206</v>
      </c>
      <c r="L41" s="118">
        <f>Allocation!AM3+Allocation!AM8+L38</f>
        <v>71241.066563890228</v>
      </c>
      <c r="M41" s="118">
        <f>Allocation!AN3+Allocation!AN8+M38</f>
        <v>71527.82260096955</v>
      </c>
      <c r="P41" s="24">
        <f>P38-P40</f>
        <v>105996.75</v>
      </c>
      <c r="Q41" s="48" t="s">
        <v>77</v>
      </c>
    </row>
    <row r="42" spans="1:17" x14ac:dyDescent="0.2">
      <c r="A42" s="17" t="s">
        <v>40</v>
      </c>
      <c r="B42" s="19">
        <f>Allocation!AC4+Allocation!AC9</f>
        <v>22697.28272929684</v>
      </c>
      <c r="C42" s="19">
        <f>Allocation!AD4+Allocation!AD9</f>
        <v>22140.48990018792</v>
      </c>
      <c r="D42" s="19">
        <f>Allocation!AE4+Allocation!AE9</f>
        <v>22364.868205565042</v>
      </c>
      <c r="E42" s="19">
        <f>Allocation!AF4+Allocation!AF9</f>
        <v>22185.735885059963</v>
      </c>
      <c r="F42" s="19">
        <f>Allocation!AG4+Allocation!AG9</f>
        <v>22141.827373862128</v>
      </c>
      <c r="G42" s="19">
        <f>Allocation!AH4+Allocation!AH9</f>
        <v>21380.684016290903</v>
      </c>
      <c r="H42" s="19">
        <f>Allocation!AI4+Allocation!AI9</f>
        <v>21395.251091596958</v>
      </c>
      <c r="I42" s="19">
        <f>Allocation!AJ4+Allocation!AJ9</f>
        <v>21369.473635404436</v>
      </c>
      <c r="J42" s="19">
        <f>Allocation!AK4+Allocation!AK9</f>
        <v>21144.967417933105</v>
      </c>
      <c r="K42" s="19">
        <f>Allocation!AL4+Allocation!AL9</f>
        <v>21413.476883017935</v>
      </c>
      <c r="L42" s="19">
        <f>Allocation!AM4+Allocation!AM9</f>
        <v>21527.402436109765</v>
      </c>
      <c r="M42" s="19">
        <f>Allocation!AN4+Allocation!AN9</f>
        <v>21731.350399030449</v>
      </c>
      <c r="P42" s="24">
        <f>P41/3</f>
        <v>35332.25</v>
      </c>
      <c r="Q42" s="48" t="s">
        <v>78</v>
      </c>
    </row>
    <row r="43" spans="1:17" x14ac:dyDescent="0.2">
      <c r="A43" s="17"/>
      <c r="B43" s="33">
        <f>SUM(B41:B42)</f>
        <v>74612.37966666666</v>
      </c>
      <c r="C43" s="33">
        <f t="shared" ref="C43:M43" si="6">SUM(C41:C42)</f>
        <v>73821.278666666651</v>
      </c>
      <c r="D43" s="33">
        <f t="shared" si="6"/>
        <v>73852.871666666673</v>
      </c>
      <c r="E43" s="33">
        <f t="shared" si="6"/>
        <v>73281.05766666666</v>
      </c>
      <c r="F43" s="33">
        <f t="shared" si="6"/>
        <v>72859.523666666704</v>
      </c>
      <c r="G43" s="33">
        <f t="shared" si="6"/>
        <v>71785.959666666677</v>
      </c>
      <c r="H43" s="33">
        <f t="shared" si="6"/>
        <v>71787.765666666673</v>
      </c>
      <c r="I43" s="33">
        <f t="shared" si="6"/>
        <v>72000.841666666674</v>
      </c>
      <c r="J43" s="33">
        <f t="shared" si="6"/>
        <v>71786.431666666671</v>
      </c>
      <c r="K43" s="33">
        <f t="shared" si="6"/>
        <v>92154.938999999998</v>
      </c>
      <c r="L43" s="33">
        <f t="shared" si="6"/>
        <v>92768.468999999997</v>
      </c>
      <c r="M43" s="33">
        <f t="shared" si="6"/>
        <v>93259.172999999995</v>
      </c>
      <c r="Q43" s="3"/>
    </row>
    <row r="44" spans="1:17" x14ac:dyDescent="0.2">
      <c r="A44" s="17"/>
      <c r="B44" s="344">
        <f>B39-B43</f>
        <v>7.0000000123400241E-3</v>
      </c>
      <c r="C44" s="344">
        <f t="shared" ref="C44:M44" si="7">C39-C43</f>
        <v>8.0000000161817297E-3</v>
      </c>
      <c r="D44" s="344">
        <f t="shared" si="7"/>
        <v>5.0000000046566129E-3</v>
      </c>
      <c r="E44" s="344">
        <f t="shared" si="7"/>
        <v>0.13900000001012813</v>
      </c>
      <c r="F44" s="344">
        <f t="shared" si="7"/>
        <v>-0.38700000003154855</v>
      </c>
      <c r="G44" s="344">
        <f t="shared" si="7"/>
        <v>6.9999999977881089E-3</v>
      </c>
      <c r="H44" s="344">
        <f t="shared" si="7"/>
        <v>1.0000000038417056E-3</v>
      </c>
      <c r="I44" s="344">
        <f t="shared" si="7"/>
        <v>4.9999999901046976E-3</v>
      </c>
      <c r="J44" s="344">
        <f t="shared" si="7"/>
        <v>5.0000000046566129E-3</v>
      </c>
      <c r="K44" s="344">
        <f t="shared" si="7"/>
        <v>1.0000000038417056E-3</v>
      </c>
      <c r="L44" s="344">
        <f t="shared" si="7"/>
        <v>1.1000000013154931E-2</v>
      </c>
      <c r="M44" s="344">
        <f t="shared" si="7"/>
        <v>6.9999999977881089E-3</v>
      </c>
    </row>
    <row r="45" spans="1:17" x14ac:dyDescent="0.2">
      <c r="A45" s="29" t="s">
        <v>34</v>
      </c>
      <c r="B45" s="19"/>
      <c r="C45" s="19"/>
      <c r="D45" s="19"/>
      <c r="E45" s="20"/>
      <c r="F45" s="24"/>
      <c r="G45" s="24"/>
      <c r="H45" s="24"/>
      <c r="I45" s="24"/>
      <c r="J45" s="24"/>
      <c r="K45" s="24"/>
      <c r="L45" s="24"/>
      <c r="M45" s="24"/>
    </row>
    <row r="46" spans="1:17" x14ac:dyDescent="0.2">
      <c r="A46" s="38" t="s">
        <v>30</v>
      </c>
      <c r="B46" s="42">
        <v>12367.12</v>
      </c>
      <c r="C46" s="42">
        <v>12367.12</v>
      </c>
      <c r="D46" s="42">
        <v>12367.12</v>
      </c>
      <c r="E46" s="42">
        <v>12367.12</v>
      </c>
      <c r="F46" s="42">
        <v>12367.12</v>
      </c>
      <c r="G46" s="42">
        <v>12367.12</v>
      </c>
      <c r="H46" s="42">
        <v>12367.12</v>
      </c>
      <c r="I46" s="42">
        <v>12367.12</v>
      </c>
      <c r="J46" s="42">
        <v>13655.79</v>
      </c>
      <c r="K46" s="42">
        <v>13660.99</v>
      </c>
      <c r="L46" s="42">
        <v>13683.79</v>
      </c>
      <c r="M46" s="42">
        <v>31962.620000000003</v>
      </c>
      <c r="N46" s="18" t="s">
        <v>73</v>
      </c>
    </row>
    <row r="47" spans="1:17" x14ac:dyDescent="0.2">
      <c r="A47" s="38" t="s">
        <v>32</v>
      </c>
      <c r="B47" s="42">
        <v>15889.26</v>
      </c>
      <c r="C47" s="42">
        <v>15889.26</v>
      </c>
      <c r="D47" s="42">
        <v>15889.26</v>
      </c>
      <c r="E47" s="42">
        <v>15889.26</v>
      </c>
      <c r="F47" s="42">
        <v>15889.26</v>
      </c>
      <c r="G47" s="42">
        <v>15889.26</v>
      </c>
      <c r="H47" s="42">
        <v>15889.26</v>
      </c>
      <c r="I47" s="42">
        <v>15889.26</v>
      </c>
      <c r="J47" s="42">
        <v>17535.7</v>
      </c>
      <c r="K47" s="42">
        <v>17535.7</v>
      </c>
      <c r="L47" s="42">
        <v>17535.7</v>
      </c>
      <c r="M47" s="42">
        <v>40969.46</v>
      </c>
      <c r="N47" s="18" t="s">
        <v>74</v>
      </c>
    </row>
    <row r="48" spans="1:17" x14ac:dyDescent="0.2">
      <c r="A48" s="17" t="s">
        <v>43</v>
      </c>
      <c r="B48" s="33">
        <f>SUM(B46:B47)</f>
        <v>28256.38</v>
      </c>
      <c r="C48" s="33">
        <f t="shared" ref="C48:M48" si="8">SUM(C46:C47)</f>
        <v>28256.38</v>
      </c>
      <c r="D48" s="33">
        <f t="shared" si="8"/>
        <v>28256.38</v>
      </c>
      <c r="E48" s="33">
        <f t="shared" si="8"/>
        <v>28256.38</v>
      </c>
      <c r="F48" s="33">
        <f t="shared" si="8"/>
        <v>28256.38</v>
      </c>
      <c r="G48" s="33">
        <f t="shared" si="8"/>
        <v>28256.38</v>
      </c>
      <c r="H48" s="33">
        <f t="shared" si="8"/>
        <v>28256.38</v>
      </c>
      <c r="I48" s="33">
        <f t="shared" si="8"/>
        <v>28256.38</v>
      </c>
      <c r="J48" s="33">
        <f t="shared" si="8"/>
        <v>31191.49</v>
      </c>
      <c r="K48" s="33">
        <f t="shared" si="8"/>
        <v>31196.690000000002</v>
      </c>
      <c r="L48" s="33">
        <f t="shared" si="8"/>
        <v>31219.49</v>
      </c>
      <c r="M48" s="33">
        <f t="shared" si="8"/>
        <v>72932.08</v>
      </c>
      <c r="N48" s="39">
        <f>SUM(B48:M48)</f>
        <v>392590.79</v>
      </c>
    </row>
    <row r="49" spans="1:17" x14ac:dyDescent="0.2">
      <c r="A49" s="17"/>
      <c r="B49" s="19"/>
      <c r="C49" s="19"/>
      <c r="D49" s="19"/>
      <c r="E49" s="19"/>
      <c r="F49" s="19"/>
      <c r="G49" s="19"/>
      <c r="H49" s="19"/>
      <c r="I49" s="19"/>
      <c r="J49" s="19"/>
      <c r="K49" s="19"/>
      <c r="L49" s="19"/>
      <c r="M49" s="19"/>
    </row>
    <row r="50" spans="1:17" x14ac:dyDescent="0.2">
      <c r="A50" s="38" t="s">
        <v>31</v>
      </c>
      <c r="B50" s="42">
        <f>20998.81-B46</f>
        <v>8631.69</v>
      </c>
      <c r="C50" s="42">
        <f>23303.58-C46</f>
        <v>10936.460000000001</v>
      </c>
      <c r="D50" s="42">
        <f>23019.37-D46</f>
        <v>10652.249999999998</v>
      </c>
      <c r="E50" s="43">
        <f>22684.97-E46</f>
        <v>10317.85</v>
      </c>
      <c r="F50" s="41">
        <f>19498-F46</f>
        <v>7130.8799999999992</v>
      </c>
      <c r="G50" s="41">
        <f>19253-G46</f>
        <v>6885.8799999999992</v>
      </c>
      <c r="H50" s="41">
        <f>15487-H46</f>
        <v>3119.8799999999992</v>
      </c>
      <c r="I50" s="41">
        <f>15923.83-I46</f>
        <v>3556.7099999999991</v>
      </c>
      <c r="J50" s="42">
        <f>14683.11-J46</f>
        <v>1027.3199999999997</v>
      </c>
      <c r="K50" s="42">
        <f>15331.65-K46</f>
        <v>1670.6599999999999</v>
      </c>
      <c r="L50" s="42">
        <f>18133.09-L46</f>
        <v>4449.2999999999993</v>
      </c>
      <c r="M50" s="42">
        <f>40528.9300000004-M46</f>
        <v>8566.3100000003978</v>
      </c>
      <c r="N50" s="18" t="s">
        <v>64</v>
      </c>
    </row>
    <row r="51" spans="1:17" x14ac:dyDescent="0.2">
      <c r="A51" s="38" t="s">
        <v>33</v>
      </c>
      <c r="B51" s="42">
        <f>31866.99-B47</f>
        <v>15977.730000000001</v>
      </c>
      <c r="C51" s="42">
        <f>35293.53-C47</f>
        <v>19404.269999999997</v>
      </c>
      <c r="D51" s="42">
        <f>34751.53-'S&amp;TVA 2022'!D47</f>
        <v>18862.269999999997</v>
      </c>
      <c r="E51" s="43">
        <f>34205-E47</f>
        <v>18315.739999999998</v>
      </c>
      <c r="F51" s="41">
        <f>28282-F47</f>
        <v>12392.74</v>
      </c>
      <c r="G51" s="41">
        <f>28185-G47</f>
        <v>12295.74</v>
      </c>
      <c r="H51" s="41">
        <f>20948-H47</f>
        <v>5058.74</v>
      </c>
      <c r="I51" s="41">
        <f>36182.77-I47</f>
        <v>20293.509999999995</v>
      </c>
      <c r="J51" s="42">
        <f>20658.38-J47</f>
        <v>3122.6800000000003</v>
      </c>
      <c r="K51" s="42">
        <f>22089.36-K47</f>
        <v>4553.66</v>
      </c>
      <c r="L51" s="42">
        <f>40208.1600000001-L47</f>
        <v>22672.460000000097</v>
      </c>
      <c r="M51" s="42">
        <f>59862.6300000005-M47</f>
        <v>18893.1700000005</v>
      </c>
      <c r="N51" s="18" t="s">
        <v>65</v>
      </c>
    </row>
    <row r="52" spans="1:17" x14ac:dyDescent="0.2">
      <c r="A52" s="17" t="s">
        <v>44</v>
      </c>
      <c r="B52" s="28">
        <f>SUM(B50:B51)</f>
        <v>24609.420000000002</v>
      </c>
      <c r="C52" s="28">
        <f t="shared" ref="C52:M52" si="9">SUM(C50:C51)</f>
        <v>30340.729999999996</v>
      </c>
      <c r="D52" s="28">
        <f t="shared" si="9"/>
        <v>29514.519999999997</v>
      </c>
      <c r="E52" s="28">
        <f t="shared" si="9"/>
        <v>28633.589999999997</v>
      </c>
      <c r="F52" s="28">
        <f t="shared" si="9"/>
        <v>19523.62</v>
      </c>
      <c r="G52" s="28">
        <f t="shared" si="9"/>
        <v>19181.62</v>
      </c>
      <c r="H52" s="28">
        <f t="shared" si="9"/>
        <v>8178.619999999999</v>
      </c>
      <c r="I52" s="28">
        <f t="shared" si="9"/>
        <v>23850.219999999994</v>
      </c>
      <c r="J52" s="28">
        <f t="shared" si="9"/>
        <v>4150</v>
      </c>
      <c r="K52" s="28">
        <f>SUM(K50:K51)</f>
        <v>6224.32</v>
      </c>
      <c r="L52" s="28">
        <f t="shared" si="9"/>
        <v>27121.760000000097</v>
      </c>
      <c r="M52" s="28">
        <f t="shared" si="9"/>
        <v>27459.480000000898</v>
      </c>
      <c r="N52" s="39">
        <f>SUM(B52:M52)</f>
        <v>248787.90000000095</v>
      </c>
    </row>
    <row r="53" spans="1:17" x14ac:dyDescent="0.2">
      <c r="A53" s="17" t="s">
        <v>84</v>
      </c>
      <c r="B53" s="55"/>
      <c r="C53" s="55"/>
      <c r="D53" s="55"/>
      <c r="E53" s="55"/>
      <c r="F53" s="55"/>
      <c r="G53" s="55"/>
      <c r="H53" s="55"/>
      <c r="I53" s="55"/>
      <c r="J53" s="55"/>
      <c r="K53" s="55"/>
      <c r="L53" s="55"/>
      <c r="M53" s="55"/>
    </row>
    <row r="54" spans="1:17" x14ac:dyDescent="0.2">
      <c r="A54" s="17" t="s">
        <v>45</v>
      </c>
      <c r="B54" s="21">
        <f>B41-B52</f>
        <v>27305.676937369815</v>
      </c>
      <c r="C54" s="21">
        <f t="shared" ref="C54:M54" si="10">C41-C52</f>
        <v>21340.058766478731</v>
      </c>
      <c r="D54" s="21">
        <f t="shared" si="10"/>
        <v>21973.483461101634</v>
      </c>
      <c r="E54" s="21">
        <f t="shared" si="10"/>
        <v>22461.731781606708</v>
      </c>
      <c r="F54" s="21">
        <f t="shared" si="10"/>
        <v>31194.07629280457</v>
      </c>
      <c r="G54" s="21">
        <f t="shared" si="10"/>
        <v>31223.655650375771</v>
      </c>
      <c r="H54" s="21">
        <f>H41-H52</f>
        <v>42213.894575069717</v>
      </c>
      <c r="I54" s="21">
        <f t="shared" si="10"/>
        <v>26781.148031262237</v>
      </c>
      <c r="J54" s="21">
        <f t="shared" si="10"/>
        <v>46491.464248733566</v>
      </c>
      <c r="K54" s="21">
        <f t="shared" si="10"/>
        <v>64517.142116982061</v>
      </c>
      <c r="L54" s="21">
        <f t="shared" si="10"/>
        <v>44119.306563890132</v>
      </c>
      <c r="M54" s="21">
        <f t="shared" si="10"/>
        <v>44068.342600968652</v>
      </c>
      <c r="N54" s="27">
        <f>SUM(B54:M54)</f>
        <v>423689.98102664365</v>
      </c>
    </row>
    <row r="55" spans="1:17" x14ac:dyDescent="0.2">
      <c r="A55" s="17" t="s">
        <v>46</v>
      </c>
      <c r="B55" s="21">
        <f>B42-B48</f>
        <v>-5559.0972707031615</v>
      </c>
      <c r="C55" s="21">
        <f t="shared" ref="C55:M55" si="11">C42-C48</f>
        <v>-6115.8900998120807</v>
      </c>
      <c r="D55" s="21">
        <f t="shared" si="11"/>
        <v>-5891.5117944349586</v>
      </c>
      <c r="E55" s="21">
        <f t="shared" si="11"/>
        <v>-6070.644114940038</v>
      </c>
      <c r="F55" s="21">
        <f>F42-F48</f>
        <v>-6114.5526261378727</v>
      </c>
      <c r="G55" s="21">
        <f>G42-G48</f>
        <v>-6875.6959837090981</v>
      </c>
      <c r="H55" s="21">
        <f>H42-H48</f>
        <v>-6861.1289084030432</v>
      </c>
      <c r="I55" s="21">
        <f>I42-I48</f>
        <v>-6886.9063645955648</v>
      </c>
      <c r="J55" s="21">
        <f>J42-J48</f>
        <v>-10046.522582066897</v>
      </c>
      <c r="K55" s="21">
        <f t="shared" si="11"/>
        <v>-9783.2131169820677</v>
      </c>
      <c r="L55" s="21">
        <f t="shared" si="11"/>
        <v>-9692.0875638902362</v>
      </c>
      <c r="M55" s="21">
        <f t="shared" si="11"/>
        <v>-51200.729600969556</v>
      </c>
      <c r="N55" s="27">
        <f>SUM(B55:M55)</f>
        <v>-131097.98002664457</v>
      </c>
      <c r="Q55" s="54" t="s">
        <v>84</v>
      </c>
    </row>
    <row r="56" spans="1:17" x14ac:dyDescent="0.2">
      <c r="A56" s="17" t="s">
        <v>84</v>
      </c>
      <c r="B56" s="19"/>
      <c r="C56" s="19"/>
      <c r="D56" s="19"/>
      <c r="E56" s="20"/>
      <c r="F56" s="24"/>
      <c r="G56" s="24"/>
      <c r="H56" s="24"/>
      <c r="I56" s="24"/>
      <c r="J56" s="30"/>
      <c r="K56" s="24"/>
      <c r="L56" s="24"/>
      <c r="M56" s="24"/>
      <c r="N56" s="39">
        <f>N39-N48-N52-SUM(N54:N55)</f>
        <v>-0.19100000010803342</v>
      </c>
      <c r="O56" s="18" t="s">
        <v>55</v>
      </c>
      <c r="P56" s="19">
        <f>+SUM(B56:M56)</f>
        <v>0</v>
      </c>
    </row>
    <row r="57" spans="1:17" x14ac:dyDescent="0.2">
      <c r="A57" s="17">
        <v>48911</v>
      </c>
      <c r="B57" s="19">
        <v>63108</v>
      </c>
      <c r="C57" s="19">
        <v>59158</v>
      </c>
      <c r="D57" s="19">
        <v>55551</v>
      </c>
      <c r="E57" s="20">
        <v>46862</v>
      </c>
      <c r="F57" s="24">
        <v>36244</v>
      </c>
      <c r="G57" s="24">
        <v>34482</v>
      </c>
      <c r="H57" s="24">
        <v>35174</v>
      </c>
      <c r="I57" s="24">
        <v>35482</v>
      </c>
      <c r="J57" s="30">
        <v>34311</v>
      </c>
      <c r="K57" s="24">
        <v>60736</v>
      </c>
      <c r="L57" s="24">
        <v>58316</v>
      </c>
      <c r="M57" s="24">
        <v>70072</v>
      </c>
      <c r="N57" s="39"/>
      <c r="P57" s="54">
        <f>+SUM(B53:M53)</f>
        <v>0</v>
      </c>
    </row>
    <row r="58" spans="1:17" x14ac:dyDescent="0.2">
      <c r="A58" s="7" t="s">
        <v>41</v>
      </c>
      <c r="B58" s="22">
        <f>'S&amp;TVA 2021'!M58</f>
        <v>854268.58992331987</v>
      </c>
      <c r="C58" s="22">
        <f>B59</f>
        <v>881574.26686068974</v>
      </c>
      <c r="D58" s="22">
        <f t="shared" ref="D58:M58" si="12">C59</f>
        <v>902914.32562716841</v>
      </c>
      <c r="E58" s="22">
        <f t="shared" si="12"/>
        <v>924887.80908827006</v>
      </c>
      <c r="F58" s="22">
        <f t="shared" si="12"/>
        <v>947349.54086987674</v>
      </c>
      <c r="G58" s="22">
        <f t="shared" si="12"/>
        <v>978543.6171626813</v>
      </c>
      <c r="H58" s="22">
        <f t="shared" si="12"/>
        <v>1009767.2728130571</v>
      </c>
      <c r="I58" s="22">
        <f t="shared" si="12"/>
        <v>1051981.1673881267</v>
      </c>
      <c r="J58" s="22">
        <f>I59</f>
        <v>1078762.3154193889</v>
      </c>
      <c r="K58" s="22">
        <f t="shared" si="12"/>
        <v>1125253.7796681225</v>
      </c>
      <c r="L58" s="22">
        <f t="shared" si="12"/>
        <v>1189770.9217851046</v>
      </c>
      <c r="M58" s="22">
        <f t="shared" si="12"/>
        <v>1233890.2283489946</v>
      </c>
      <c r="Q58" s="18" t="s">
        <v>84</v>
      </c>
    </row>
    <row r="59" spans="1:17" x14ac:dyDescent="0.2">
      <c r="A59" s="7" t="s">
        <v>42</v>
      </c>
      <c r="B59" s="26">
        <f t="shared" ref="B59:M59" si="13">B58+B54</f>
        <v>881574.26686068974</v>
      </c>
      <c r="C59" s="26">
        <f t="shared" si="13"/>
        <v>902914.32562716841</v>
      </c>
      <c r="D59" s="26">
        <f t="shared" si="13"/>
        <v>924887.80908827006</v>
      </c>
      <c r="E59" s="26">
        <f t="shared" si="13"/>
        <v>947349.54086987674</v>
      </c>
      <c r="F59" s="26">
        <f t="shared" si="13"/>
        <v>978543.6171626813</v>
      </c>
      <c r="G59" s="26">
        <f t="shared" si="13"/>
        <v>1009767.2728130571</v>
      </c>
      <c r="H59" s="26">
        <f t="shared" si="13"/>
        <v>1051981.1673881267</v>
      </c>
      <c r="I59" s="26">
        <f t="shared" si="13"/>
        <v>1078762.3154193889</v>
      </c>
      <c r="J59" s="26">
        <f t="shared" si="13"/>
        <v>1125253.7796681225</v>
      </c>
      <c r="K59" s="26">
        <f t="shared" si="13"/>
        <v>1189770.9217851046</v>
      </c>
      <c r="L59" s="26">
        <f t="shared" si="13"/>
        <v>1233890.2283489946</v>
      </c>
      <c r="M59" s="26">
        <f t="shared" si="13"/>
        <v>1277958.5709499633</v>
      </c>
    </row>
    <row r="60" spans="1:17" x14ac:dyDescent="0.2">
      <c r="A60" s="7"/>
      <c r="B60" s="21"/>
      <c r="C60" s="21"/>
      <c r="D60" s="21"/>
      <c r="E60" s="21"/>
      <c r="F60" s="21"/>
      <c r="G60" s="21"/>
      <c r="H60" s="21"/>
      <c r="I60" s="21"/>
      <c r="J60" s="21"/>
      <c r="K60" s="21"/>
      <c r="L60" s="21"/>
      <c r="M60" s="21"/>
    </row>
    <row r="61" spans="1:17" x14ac:dyDescent="0.2">
      <c r="A61" s="7" t="s">
        <v>47</v>
      </c>
      <c r="B61" s="22">
        <f>'S&amp;TVA 2021'!M61</f>
        <v>-136473.55992331941</v>
      </c>
      <c r="C61" s="22">
        <f>B62</f>
        <v>-142032.65719402255</v>
      </c>
      <c r="D61" s="22">
        <f t="shared" ref="D61:M61" si="14">C62</f>
        <v>-148148.54729383462</v>
      </c>
      <c r="E61" s="22">
        <f t="shared" si="14"/>
        <v>-154040.05908826957</v>
      </c>
      <c r="F61" s="22">
        <f t="shared" si="14"/>
        <v>-160110.70320320962</v>
      </c>
      <c r="G61" s="22">
        <f>F62</f>
        <v>-166225.2558293475</v>
      </c>
      <c r="H61" s="22">
        <f t="shared" si="14"/>
        <v>-173100.9518130566</v>
      </c>
      <c r="I61" s="22">
        <f t="shared" si="14"/>
        <v>-179962.08072145964</v>
      </c>
      <c r="J61" s="22">
        <f t="shared" si="14"/>
        <v>-186848.98708605522</v>
      </c>
      <c r="K61" s="22">
        <f t="shared" si="14"/>
        <v>-196895.5096681221</v>
      </c>
      <c r="L61" s="22">
        <f t="shared" si="14"/>
        <v>-206678.72278510418</v>
      </c>
      <c r="M61" s="22">
        <f t="shared" si="14"/>
        <v>-216370.81034899442</v>
      </c>
    </row>
    <row r="62" spans="1:17" x14ac:dyDescent="0.2">
      <c r="A62" s="7" t="s">
        <v>48</v>
      </c>
      <c r="B62" s="26">
        <f>B61+B55</f>
        <v>-142032.65719402255</v>
      </c>
      <c r="C62" s="26">
        <f t="shared" ref="C62:M62" si="15">C61+C55</f>
        <v>-148148.54729383462</v>
      </c>
      <c r="D62" s="26">
        <f t="shared" si="15"/>
        <v>-154040.05908826957</v>
      </c>
      <c r="E62" s="26">
        <f t="shared" si="15"/>
        <v>-160110.70320320962</v>
      </c>
      <c r="F62" s="26">
        <f t="shared" si="15"/>
        <v>-166225.2558293475</v>
      </c>
      <c r="G62" s="26">
        <f t="shared" si="15"/>
        <v>-173100.9518130566</v>
      </c>
      <c r="H62" s="26">
        <f t="shared" si="15"/>
        <v>-179962.08072145964</v>
      </c>
      <c r="I62" s="26">
        <f t="shared" si="15"/>
        <v>-186848.98708605522</v>
      </c>
      <c r="J62" s="26">
        <f t="shared" si="15"/>
        <v>-196895.5096681221</v>
      </c>
      <c r="K62" s="26">
        <f t="shared" si="15"/>
        <v>-206678.72278510418</v>
      </c>
      <c r="L62" s="26">
        <f t="shared" si="15"/>
        <v>-216370.81034899442</v>
      </c>
      <c r="M62" s="26">
        <f t="shared" si="15"/>
        <v>-267571.53994996398</v>
      </c>
    </row>
    <row r="63" spans="1:17" x14ac:dyDescent="0.2">
      <c r="A63" s="7"/>
      <c r="B63" s="21"/>
      <c r="C63" s="21"/>
      <c r="D63" s="21"/>
      <c r="E63" s="21"/>
      <c r="F63" s="21"/>
      <c r="G63" s="21"/>
      <c r="H63" s="21"/>
      <c r="I63" s="21"/>
      <c r="J63" s="21"/>
      <c r="K63" s="21"/>
      <c r="L63" s="21"/>
      <c r="M63" s="21"/>
    </row>
    <row r="64" spans="1:17" s="9" customFormat="1" x14ac:dyDescent="0.2">
      <c r="A64" s="8" t="s">
        <v>344</v>
      </c>
      <c r="B64" s="23" t="e">
        <f>#REF!</f>
        <v>#REF!</v>
      </c>
      <c r="C64" s="23" t="e">
        <f>#REF!</f>
        <v>#REF!</v>
      </c>
      <c r="D64" s="23" t="e">
        <f>#REF!</f>
        <v>#REF!</v>
      </c>
      <c r="E64" s="23" t="e">
        <f>#REF!</f>
        <v>#REF!</v>
      </c>
      <c r="F64" s="23" t="e">
        <f>#REF!</f>
        <v>#REF!</v>
      </c>
      <c r="G64" s="23" t="e">
        <f>#REF!</f>
        <v>#REF!</v>
      </c>
      <c r="H64" s="23" t="e">
        <f>#REF!</f>
        <v>#REF!</v>
      </c>
      <c r="I64" s="23" t="e">
        <f>#REF!</f>
        <v>#REF!</v>
      </c>
      <c r="J64" s="23" t="e">
        <f>#REF!</f>
        <v>#REF!</v>
      </c>
      <c r="K64" s="23" t="e">
        <f>#REF!</f>
        <v>#REF!</v>
      </c>
      <c r="L64" s="23" t="e">
        <f>#REF!</f>
        <v>#REF!</v>
      </c>
      <c r="M64" s="23" t="e">
        <f>#REF!</f>
        <v>#REF!</v>
      </c>
    </row>
    <row r="65" spans="1:14" s="9" customFormat="1" x14ac:dyDescent="0.2">
      <c r="A65" s="8"/>
      <c r="B65" s="23"/>
      <c r="C65" s="23"/>
      <c r="D65" s="23"/>
      <c r="E65" s="23"/>
      <c r="F65" s="23"/>
      <c r="G65" s="23"/>
      <c r="H65" s="23"/>
      <c r="I65" s="23"/>
      <c r="J65" s="23"/>
      <c r="K65" s="23"/>
      <c r="L65" s="23"/>
      <c r="M65" s="23"/>
    </row>
    <row r="66" spans="1:14" x14ac:dyDescent="0.2">
      <c r="A66" s="10" t="s">
        <v>49</v>
      </c>
      <c r="B66" s="22" t="e">
        <f>B58*B64/12</f>
        <v>#REF!</v>
      </c>
      <c r="C66" s="22" t="e">
        <f>C58*C64/12</f>
        <v>#REF!</v>
      </c>
      <c r="D66" s="22" t="e">
        <f>D58*D64/12</f>
        <v>#REF!</v>
      </c>
      <c r="E66" s="22" t="e">
        <f t="shared" ref="E66:M66" si="16">E58*E64/12</f>
        <v>#REF!</v>
      </c>
      <c r="F66" s="22" t="e">
        <f t="shared" si="16"/>
        <v>#REF!</v>
      </c>
      <c r="G66" s="22" t="e">
        <f t="shared" si="16"/>
        <v>#REF!</v>
      </c>
      <c r="H66" s="22" t="e">
        <f>H58*H64/12</f>
        <v>#REF!</v>
      </c>
      <c r="I66" s="22" t="e">
        <f>I58*I64/12</f>
        <v>#REF!</v>
      </c>
      <c r="J66" s="22" t="e">
        <f t="shared" si="16"/>
        <v>#REF!</v>
      </c>
      <c r="K66" s="22" t="e">
        <f t="shared" si="16"/>
        <v>#REF!</v>
      </c>
      <c r="L66" s="22" t="e">
        <f t="shared" si="16"/>
        <v>#REF!</v>
      </c>
      <c r="M66" s="22" t="e">
        <f t="shared" si="16"/>
        <v>#REF!</v>
      </c>
      <c r="N66" s="25" t="e">
        <f>SUM(B66:M66)</f>
        <v>#REF!</v>
      </c>
    </row>
    <row r="67" spans="1:14" x14ac:dyDescent="0.2">
      <c r="A67" s="10" t="s">
        <v>50</v>
      </c>
      <c r="B67" s="22" t="e">
        <f>B61*B64/12</f>
        <v>#REF!</v>
      </c>
      <c r="C67" s="22" t="e">
        <f t="shared" ref="C67:M67" si="17">C61*C64/12</f>
        <v>#REF!</v>
      </c>
      <c r="D67" s="22" t="e">
        <f t="shared" si="17"/>
        <v>#REF!</v>
      </c>
      <c r="E67" s="22" t="e">
        <f t="shared" si="17"/>
        <v>#REF!</v>
      </c>
      <c r="F67" s="22" t="e">
        <f t="shared" si="17"/>
        <v>#REF!</v>
      </c>
      <c r="G67" s="22" t="e">
        <f t="shared" si="17"/>
        <v>#REF!</v>
      </c>
      <c r="H67" s="22" t="e">
        <f t="shared" si="17"/>
        <v>#REF!</v>
      </c>
      <c r="I67" s="22" t="e">
        <f t="shared" si="17"/>
        <v>#REF!</v>
      </c>
      <c r="J67" s="22" t="e">
        <f t="shared" si="17"/>
        <v>#REF!</v>
      </c>
      <c r="K67" s="22" t="e">
        <f t="shared" si="17"/>
        <v>#REF!</v>
      </c>
      <c r="L67" s="22" t="e">
        <f t="shared" si="17"/>
        <v>#REF!</v>
      </c>
      <c r="M67" s="22" t="e">
        <f t="shared" si="17"/>
        <v>#REF!</v>
      </c>
      <c r="N67" s="25" t="e">
        <f>SUM(B67:M67)</f>
        <v>#REF!</v>
      </c>
    </row>
    <row r="68" spans="1:14" x14ac:dyDescent="0.2">
      <c r="A68" s="10"/>
      <c r="B68" s="22"/>
      <c r="C68" s="22"/>
      <c r="D68" s="22"/>
      <c r="E68" s="22"/>
      <c r="F68" s="22"/>
      <c r="G68" s="22"/>
      <c r="H68" s="22"/>
      <c r="I68" s="22"/>
      <c r="J68" s="22"/>
      <c r="K68" s="22"/>
      <c r="L68" s="22"/>
      <c r="M68" s="22"/>
    </row>
    <row r="69" spans="1:14" x14ac:dyDescent="0.2">
      <c r="A69" s="17" t="s">
        <v>51</v>
      </c>
      <c r="B69" s="21" t="e">
        <f>'S&amp;TVA 2021'!M69</f>
        <v>#REF!</v>
      </c>
      <c r="C69" s="21" t="e">
        <f>B70</f>
        <v>#REF!</v>
      </c>
      <c r="D69" s="21" t="e">
        <f t="shared" ref="D69:M69" si="18">C70</f>
        <v>#REF!</v>
      </c>
      <c r="E69" s="21" t="e">
        <f t="shared" si="18"/>
        <v>#REF!</v>
      </c>
      <c r="F69" s="21" t="e">
        <f t="shared" si="18"/>
        <v>#REF!</v>
      </c>
      <c r="G69" s="21" t="e">
        <f t="shared" si="18"/>
        <v>#REF!</v>
      </c>
      <c r="H69" s="21" t="e">
        <f t="shared" si="18"/>
        <v>#REF!</v>
      </c>
      <c r="I69" s="21" t="e">
        <f t="shared" si="18"/>
        <v>#REF!</v>
      </c>
      <c r="J69" s="21" t="e">
        <f t="shared" si="18"/>
        <v>#REF!</v>
      </c>
      <c r="K69" s="21" t="e">
        <f t="shared" si="18"/>
        <v>#REF!</v>
      </c>
      <c r="L69" s="21" t="e">
        <f t="shared" si="18"/>
        <v>#REF!</v>
      </c>
      <c r="M69" s="21" t="e">
        <f t="shared" si="18"/>
        <v>#REF!</v>
      </c>
    </row>
    <row r="70" spans="1:14" x14ac:dyDescent="0.2">
      <c r="A70" s="17" t="s">
        <v>52</v>
      </c>
      <c r="B70" s="26" t="e">
        <f>SUM(B66,B69)</f>
        <v>#REF!</v>
      </c>
      <c r="C70" s="26" t="e">
        <f>SUM(C66,C69)</f>
        <v>#REF!</v>
      </c>
      <c r="D70" s="26" t="e">
        <f>SUM(D66,D69)</f>
        <v>#REF!</v>
      </c>
      <c r="E70" s="26" t="e">
        <f t="shared" ref="E70:M70" si="19">SUM(E66,E69)</f>
        <v>#REF!</v>
      </c>
      <c r="F70" s="26" t="e">
        <f t="shared" si="19"/>
        <v>#REF!</v>
      </c>
      <c r="G70" s="26" t="e">
        <f t="shared" si="19"/>
        <v>#REF!</v>
      </c>
      <c r="H70" s="26" t="e">
        <f t="shared" si="19"/>
        <v>#REF!</v>
      </c>
      <c r="I70" s="26" t="e">
        <f t="shared" si="19"/>
        <v>#REF!</v>
      </c>
      <c r="J70" s="26" t="e">
        <f t="shared" si="19"/>
        <v>#REF!</v>
      </c>
      <c r="K70" s="26" t="e">
        <f t="shared" si="19"/>
        <v>#REF!</v>
      </c>
      <c r="L70" s="26" t="e">
        <f t="shared" si="19"/>
        <v>#REF!</v>
      </c>
      <c r="M70" s="26" t="e">
        <f t="shared" si="19"/>
        <v>#REF!</v>
      </c>
    </row>
    <row r="71" spans="1:14" x14ac:dyDescent="0.2">
      <c r="A71" s="11"/>
    </row>
    <row r="72" spans="1:14" x14ac:dyDescent="0.2">
      <c r="A72" s="17" t="s">
        <v>53</v>
      </c>
      <c r="B72" s="21" t="e">
        <f>'S&amp;TVA 2021'!M72</f>
        <v>#REF!</v>
      </c>
      <c r="C72" s="21" t="e">
        <f>B73</f>
        <v>#REF!</v>
      </c>
      <c r="D72" s="21" t="e">
        <f t="shared" ref="D72:M72" si="20">C73</f>
        <v>#REF!</v>
      </c>
      <c r="E72" s="21" t="e">
        <f t="shared" si="20"/>
        <v>#REF!</v>
      </c>
      <c r="F72" s="21" t="e">
        <f t="shared" si="20"/>
        <v>#REF!</v>
      </c>
      <c r="G72" s="21" t="e">
        <f t="shared" si="20"/>
        <v>#REF!</v>
      </c>
      <c r="H72" s="21" t="e">
        <f t="shared" si="20"/>
        <v>#REF!</v>
      </c>
      <c r="I72" s="21" t="e">
        <f t="shared" si="20"/>
        <v>#REF!</v>
      </c>
      <c r="J72" s="21" t="e">
        <f t="shared" si="20"/>
        <v>#REF!</v>
      </c>
      <c r="K72" s="21" t="e">
        <f t="shared" si="20"/>
        <v>#REF!</v>
      </c>
      <c r="L72" s="21" t="e">
        <f t="shared" si="20"/>
        <v>#REF!</v>
      </c>
      <c r="M72" s="21" t="e">
        <f t="shared" si="20"/>
        <v>#REF!</v>
      </c>
    </row>
    <row r="73" spans="1:14" x14ac:dyDescent="0.2">
      <c r="A73" s="17" t="s">
        <v>54</v>
      </c>
      <c r="B73" s="26" t="e">
        <f t="shared" ref="B73:M73" si="21">SUM(B67,B72)</f>
        <v>#REF!</v>
      </c>
      <c r="C73" s="26" t="e">
        <f t="shared" si="21"/>
        <v>#REF!</v>
      </c>
      <c r="D73" s="26" t="e">
        <f>SUM(D67,D72)</f>
        <v>#REF!</v>
      </c>
      <c r="E73" s="26" t="e">
        <f t="shared" si="21"/>
        <v>#REF!</v>
      </c>
      <c r="F73" s="26" t="e">
        <f t="shared" si="21"/>
        <v>#REF!</v>
      </c>
      <c r="G73" s="26" t="e">
        <f t="shared" si="21"/>
        <v>#REF!</v>
      </c>
      <c r="H73" s="26" t="e">
        <f t="shared" si="21"/>
        <v>#REF!</v>
      </c>
      <c r="I73" s="26" t="e">
        <f t="shared" si="21"/>
        <v>#REF!</v>
      </c>
      <c r="J73" s="26" t="e">
        <f t="shared" si="21"/>
        <v>#REF!</v>
      </c>
      <c r="K73" s="26" t="e">
        <f t="shared" si="21"/>
        <v>#REF!</v>
      </c>
      <c r="L73" s="26" t="e">
        <f t="shared" si="21"/>
        <v>#REF!</v>
      </c>
      <c r="M73" s="26" t="e">
        <f t="shared" si="21"/>
        <v>#REF!</v>
      </c>
    </row>
    <row r="74" spans="1:14" x14ac:dyDescent="0.2">
      <c r="A74" s="11"/>
    </row>
    <row r="75" spans="1:14" x14ac:dyDescent="0.2">
      <c r="A75" s="12" t="s">
        <v>69</v>
      </c>
      <c r="D75" s="39">
        <f>SUM(B54:D54)</f>
        <v>70619.219164950191</v>
      </c>
      <c r="G75" s="39">
        <f>SUM(E54:G54)</f>
        <v>84879.463724787056</v>
      </c>
      <c r="J75" s="39">
        <f>SUM(H54:J54)</f>
        <v>115486.50685506553</v>
      </c>
      <c r="M75" s="39">
        <f>SUM(K54:M54)</f>
        <v>152704.79128184082</v>
      </c>
    </row>
    <row r="76" spans="1:14" x14ac:dyDescent="0.2">
      <c r="A76" s="12" t="s">
        <v>70</v>
      </c>
      <c r="D76" s="39">
        <f>SUM(B55:D55)</f>
        <v>-17566.499164950201</v>
      </c>
      <c r="G76" s="39">
        <f>SUM(E55:G55)</f>
        <v>-19060.892724787009</v>
      </c>
      <c r="J76" s="39">
        <f>SUM(H55:J55)</f>
        <v>-23794.557855065505</v>
      </c>
      <c r="M76" s="39">
        <f>SUM(K55:M55)</f>
        <v>-70676.030281841857</v>
      </c>
    </row>
    <row r="77" spans="1:14" x14ac:dyDescent="0.2">
      <c r="A77" s="14"/>
    </row>
    <row r="78" spans="1:14" x14ac:dyDescent="0.2">
      <c r="A78" s="12" t="s">
        <v>71</v>
      </c>
      <c r="D78" s="25" t="e">
        <f>SUM(B66:D66)</f>
        <v>#REF!</v>
      </c>
      <c r="G78" s="25" t="e">
        <f>SUM(E66:G66)</f>
        <v>#REF!</v>
      </c>
      <c r="J78" s="25" t="e">
        <f>SUM(H66:J66)</f>
        <v>#REF!</v>
      </c>
      <c r="M78" s="25" t="e">
        <f>SUM(K66:M66)</f>
        <v>#REF!</v>
      </c>
    </row>
    <row r="79" spans="1:14" x14ac:dyDescent="0.2">
      <c r="A79" s="12" t="s">
        <v>72</v>
      </c>
      <c r="D79" s="25" t="e">
        <f>SUM(B67:D67)</f>
        <v>#REF!</v>
      </c>
      <c r="G79" s="25" t="e">
        <f>SUM(E67:G67)</f>
        <v>#REF!</v>
      </c>
      <c r="J79" s="25" t="e">
        <f>SUM(H67:J67)</f>
        <v>#REF!</v>
      </c>
      <c r="M79" s="25" t="e">
        <f>SUM(K67:M67)</f>
        <v>#REF!</v>
      </c>
    </row>
    <row r="80" spans="1:14" x14ac:dyDescent="0.2">
      <c r="A80" s="7"/>
    </row>
    <row r="81" spans="1:11" x14ac:dyDescent="0.2">
      <c r="A81" s="7"/>
    </row>
    <row r="82" spans="1:11" x14ac:dyDescent="0.2">
      <c r="A82" s="12"/>
    </row>
    <row r="83" spans="1:11" x14ac:dyDescent="0.2">
      <c r="A83" s="13"/>
    </row>
    <row r="84" spans="1:11" x14ac:dyDescent="0.2">
      <c r="A84" s="14"/>
    </row>
    <row r="85" spans="1:11" x14ac:dyDescent="0.2">
      <c r="A85" s="49" t="s">
        <v>79</v>
      </c>
    </row>
    <row r="86" spans="1:11" x14ac:dyDescent="0.2">
      <c r="A86" s="49" t="s">
        <v>80</v>
      </c>
    </row>
    <row r="87" spans="1:11" x14ac:dyDescent="0.2">
      <c r="A87" s="7"/>
      <c r="J87" s="18" t="s">
        <v>67</v>
      </c>
      <c r="K87" s="18" t="s">
        <v>68</v>
      </c>
    </row>
    <row r="88" spans="1:11" x14ac:dyDescent="0.2">
      <c r="A88" s="7"/>
    </row>
    <row r="89" spans="1:11" x14ac:dyDescent="0.2">
      <c r="A89" s="7"/>
    </row>
    <row r="90" spans="1:11" x14ac:dyDescent="0.2">
      <c r="A90" s="7"/>
    </row>
    <row r="91" spans="1:11" x14ac:dyDescent="0.2">
      <c r="A91" s="50" t="s">
        <v>81</v>
      </c>
    </row>
    <row r="92" spans="1:11" x14ac:dyDescent="0.2">
      <c r="A92" s="7"/>
    </row>
    <row r="121" spans="1:2" x14ac:dyDescent="0.2">
      <c r="A121" s="29" t="s">
        <v>82</v>
      </c>
      <c r="B121" s="51">
        <f>151036+104567</f>
        <v>255603</v>
      </c>
    </row>
  </sheetData>
  <pageMargins left="0.70866141732283472" right="0.70866141732283472" top="0.74803149606299213" bottom="0.74803149606299213" header="0.31496062992125984" footer="0.31496062992125984"/>
  <pageSetup orientation="portrait" r:id="rId1"/>
  <headerFooter>
    <oddHeader>&amp;R&amp;"Times New Roman,Regular"&amp;10Filed: 2019-01-31
EB-2018-0336
Exhibit 9
Page &amp;P of &amp;N</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O91"/>
  <sheetViews>
    <sheetView zoomScale="85" zoomScaleNormal="85" workbookViewId="0">
      <pane xSplit="1" ySplit="5" topLeftCell="B18" activePane="bottomRight" state="frozen"/>
      <selection pane="topRight" activeCell="B1" sqref="B1"/>
      <selection pane="bottomLeft" activeCell="A6" sqref="A6"/>
      <selection pane="bottomRight" activeCell="G41" sqref="G41"/>
    </sheetView>
  </sheetViews>
  <sheetFormatPr defaultColWidth="12.42578125" defaultRowHeight="12.75" x14ac:dyDescent="0.2"/>
  <cols>
    <col min="1" max="1" width="59.28515625" style="18" customWidth="1"/>
    <col min="2" max="10" width="12.42578125" style="18" customWidth="1"/>
    <col min="11" max="11" width="13.140625" style="18" bestFit="1" customWidth="1"/>
    <col min="12" max="13" width="12.42578125" style="18" customWidth="1"/>
    <col min="14" max="16384" width="12.42578125" style="18"/>
  </cols>
  <sheetData>
    <row r="1" spans="1:13" x14ac:dyDescent="0.2">
      <c r="A1" s="2" t="s">
        <v>12</v>
      </c>
    </row>
    <row r="2" spans="1:13" x14ac:dyDescent="0.2">
      <c r="A2" s="2" t="s">
        <v>13</v>
      </c>
    </row>
    <row r="3" spans="1:13" s="4" customFormat="1" x14ac:dyDescent="0.2">
      <c r="A3" s="1"/>
      <c r="B3" s="4">
        <v>2021</v>
      </c>
      <c r="C3" s="4">
        <v>2021</v>
      </c>
      <c r="D3" s="4">
        <v>2021</v>
      </c>
      <c r="E3" s="4">
        <v>2021</v>
      </c>
      <c r="F3" s="4">
        <v>2021</v>
      </c>
      <c r="G3" s="4">
        <v>2021</v>
      </c>
      <c r="H3" s="4">
        <v>2021</v>
      </c>
      <c r="I3" s="4">
        <v>2021</v>
      </c>
      <c r="J3" s="4">
        <v>2021</v>
      </c>
      <c r="K3" s="4">
        <v>2021</v>
      </c>
      <c r="L3" s="4">
        <v>2021</v>
      </c>
      <c r="M3" s="4">
        <v>2021</v>
      </c>
    </row>
    <row r="4" spans="1:13" s="3" customFormat="1" x14ac:dyDescent="0.2">
      <c r="A4" s="5"/>
      <c r="B4" s="6" t="s">
        <v>3</v>
      </c>
      <c r="C4" s="6" t="s">
        <v>4</v>
      </c>
      <c r="D4" s="6" t="s">
        <v>5</v>
      </c>
      <c r="E4" s="6" t="s">
        <v>6</v>
      </c>
      <c r="F4" s="6" t="s">
        <v>7</v>
      </c>
      <c r="G4" s="6" t="s">
        <v>8</v>
      </c>
      <c r="H4" s="6" t="s">
        <v>9</v>
      </c>
      <c r="I4" s="6" t="s">
        <v>10</v>
      </c>
      <c r="J4" s="6" t="s">
        <v>11</v>
      </c>
      <c r="K4" s="6" t="s">
        <v>0</v>
      </c>
      <c r="L4" s="6" t="s">
        <v>1</v>
      </c>
      <c r="M4" s="16" t="s">
        <v>2</v>
      </c>
    </row>
    <row r="5" spans="1:13" x14ac:dyDescent="0.2">
      <c r="A5" s="3"/>
    </row>
    <row r="6" spans="1:13" x14ac:dyDescent="0.2">
      <c r="A6" s="3" t="s">
        <v>14</v>
      </c>
    </row>
    <row r="7" spans="1:13" x14ac:dyDescent="0.2">
      <c r="A7" s="3"/>
    </row>
    <row r="8" spans="1:13" x14ac:dyDescent="0.2">
      <c r="A8" s="3" t="s">
        <v>15</v>
      </c>
    </row>
    <row r="9" spans="1:13" x14ac:dyDescent="0.2">
      <c r="A9" s="18" t="s">
        <v>16</v>
      </c>
      <c r="B9" s="40"/>
      <c r="C9" s="40"/>
      <c r="D9" s="40"/>
      <c r="E9" s="40"/>
      <c r="F9" s="41"/>
      <c r="G9" s="41"/>
      <c r="H9" s="41"/>
      <c r="I9" s="41"/>
      <c r="J9" s="41"/>
      <c r="K9" s="41"/>
      <c r="L9" s="41"/>
      <c r="M9" s="41"/>
    </row>
    <row r="10" spans="1:13" x14ac:dyDescent="0.2">
      <c r="A10" s="18" t="s">
        <v>17</v>
      </c>
      <c r="B10" s="40"/>
      <c r="C10" s="40"/>
      <c r="D10" s="40"/>
      <c r="E10" s="40"/>
      <c r="F10" s="41"/>
      <c r="G10" s="41"/>
      <c r="H10" s="41"/>
      <c r="I10" s="41"/>
      <c r="J10" s="41"/>
      <c r="K10" s="41"/>
      <c r="L10" s="41"/>
      <c r="M10" s="41"/>
    </row>
    <row r="11" spans="1:13" x14ac:dyDescent="0.2">
      <c r="A11" s="18" t="s">
        <v>18</v>
      </c>
      <c r="B11" s="40"/>
      <c r="C11" s="40"/>
      <c r="D11" s="40"/>
      <c r="E11" s="40"/>
      <c r="F11" s="41"/>
      <c r="G11" s="41"/>
      <c r="H11" s="41"/>
      <c r="I11" s="41"/>
      <c r="J11" s="41"/>
      <c r="K11" s="41"/>
      <c r="L11" s="41"/>
      <c r="M11" s="41"/>
    </row>
    <row r="12" spans="1:13" x14ac:dyDescent="0.2">
      <c r="A12" s="18" t="s">
        <v>21</v>
      </c>
      <c r="B12" s="40"/>
      <c r="C12" s="40"/>
      <c r="D12" s="40"/>
      <c r="E12" s="40"/>
      <c r="F12" s="41"/>
      <c r="G12" s="41"/>
      <c r="H12" s="41"/>
      <c r="I12" s="41"/>
      <c r="J12" s="41"/>
      <c r="K12" s="41"/>
      <c r="L12" s="41"/>
      <c r="M12" s="41"/>
    </row>
    <row r="13" spans="1:13" x14ac:dyDescent="0.2">
      <c r="A13" s="18" t="s">
        <v>22</v>
      </c>
      <c r="B13" s="40"/>
      <c r="C13" s="40"/>
      <c r="D13" s="40"/>
      <c r="E13" s="40"/>
      <c r="F13" s="41"/>
      <c r="G13" s="41"/>
      <c r="H13" s="41"/>
      <c r="I13" s="41"/>
      <c r="J13" s="41"/>
      <c r="K13" s="41"/>
      <c r="L13" s="41"/>
      <c r="M13" s="41"/>
    </row>
    <row r="14" spans="1:13" x14ac:dyDescent="0.2">
      <c r="A14" s="3"/>
      <c r="F14" s="24"/>
      <c r="G14" s="24"/>
      <c r="H14" s="24"/>
      <c r="I14" s="24"/>
      <c r="J14" s="24"/>
      <c r="K14" s="24"/>
      <c r="L14" s="24"/>
      <c r="M14" s="24"/>
    </row>
    <row r="15" spans="1:13" x14ac:dyDescent="0.2">
      <c r="A15" s="3"/>
      <c r="F15" s="24"/>
      <c r="G15" s="24"/>
      <c r="H15" s="24"/>
      <c r="I15" s="24"/>
      <c r="J15" s="24"/>
      <c r="K15" s="24"/>
      <c r="L15" s="24"/>
      <c r="M15" s="24"/>
    </row>
    <row r="16" spans="1:13" x14ac:dyDescent="0.2">
      <c r="A16" s="3"/>
      <c r="F16" s="24"/>
      <c r="G16" s="24"/>
      <c r="H16" s="24"/>
      <c r="I16" s="24"/>
      <c r="J16" s="24"/>
      <c r="K16" s="24"/>
      <c r="L16" s="24"/>
      <c r="M16" s="24"/>
    </row>
    <row r="17" spans="1:14" x14ac:dyDescent="0.2">
      <c r="A17" s="3" t="s">
        <v>15</v>
      </c>
      <c r="F17" s="24"/>
      <c r="G17" s="24"/>
      <c r="H17" s="24"/>
      <c r="I17" s="24"/>
      <c r="J17" s="24"/>
      <c r="K17" s="24"/>
      <c r="L17" s="24"/>
      <c r="M17" s="24"/>
    </row>
    <row r="18" spans="1:14" x14ac:dyDescent="0.2">
      <c r="A18" s="18" t="s">
        <v>16</v>
      </c>
      <c r="B18" s="44">
        <v>7083.33</v>
      </c>
      <c r="C18" s="44">
        <v>7083.33</v>
      </c>
      <c r="D18" s="44">
        <v>7083.33</v>
      </c>
      <c r="E18" s="44">
        <v>7083.33</v>
      </c>
      <c r="F18" s="44">
        <v>7083.33</v>
      </c>
      <c r="G18" s="44">
        <v>7083.33</v>
      </c>
      <c r="H18" s="44">
        <v>7083.33</v>
      </c>
      <c r="I18" s="44">
        <v>7083.33</v>
      </c>
      <c r="J18" s="44">
        <v>7083.33</v>
      </c>
      <c r="K18" s="44">
        <v>7083.33</v>
      </c>
      <c r="L18" s="44">
        <v>7083.33</v>
      </c>
      <c r="M18" s="44">
        <v>7083.33</v>
      </c>
      <c r="N18" s="18" t="s">
        <v>62</v>
      </c>
    </row>
    <row r="19" spans="1:14" x14ac:dyDescent="0.2">
      <c r="A19" s="18" t="s">
        <v>56</v>
      </c>
      <c r="B19" s="44">
        <v>5.89</v>
      </c>
      <c r="C19" s="44">
        <v>124.48</v>
      </c>
      <c r="D19" s="44">
        <v>39.590000000000003</v>
      </c>
      <c r="E19" s="44">
        <v>0</v>
      </c>
      <c r="F19" s="44">
        <v>80.91</v>
      </c>
      <c r="G19" s="44">
        <v>86.22</v>
      </c>
      <c r="H19" s="44"/>
      <c r="I19" s="44">
        <v>3.01</v>
      </c>
      <c r="J19" s="44">
        <v>18</v>
      </c>
      <c r="K19" s="44"/>
      <c r="L19" s="44">
        <v>52.2</v>
      </c>
      <c r="M19" s="44">
        <v>85.65</v>
      </c>
      <c r="N19" s="18" t="s">
        <v>62</v>
      </c>
    </row>
    <row r="20" spans="1:14" x14ac:dyDescent="0.2">
      <c r="A20" s="18" t="s">
        <v>17</v>
      </c>
      <c r="B20" s="44"/>
      <c r="C20" s="44"/>
      <c r="D20" s="44"/>
      <c r="E20" s="44"/>
      <c r="F20" s="44"/>
      <c r="G20" s="44"/>
      <c r="H20" s="44"/>
      <c r="I20" s="44"/>
      <c r="J20" s="44"/>
      <c r="K20" s="44"/>
      <c r="L20" s="44"/>
      <c r="M20" s="44"/>
    </row>
    <row r="21" spans="1:14" x14ac:dyDescent="0.2">
      <c r="A21" s="18" t="s">
        <v>21</v>
      </c>
      <c r="B21" s="44"/>
      <c r="C21" s="44"/>
      <c r="D21" s="44"/>
      <c r="E21" s="44"/>
      <c r="F21" s="44"/>
      <c r="G21" s="44"/>
      <c r="H21" s="44"/>
      <c r="I21" s="44"/>
      <c r="J21" s="44"/>
      <c r="K21" s="44"/>
      <c r="L21" s="44"/>
      <c r="M21" s="44"/>
    </row>
    <row r="22" spans="1:14" x14ac:dyDescent="0.2">
      <c r="F22" s="24"/>
      <c r="G22" s="24"/>
      <c r="H22" s="24"/>
      <c r="I22" s="24"/>
      <c r="J22" s="24"/>
      <c r="K22" s="24"/>
      <c r="L22" s="24"/>
      <c r="M22" s="24"/>
    </row>
    <row r="23" spans="1:14" x14ac:dyDescent="0.2">
      <c r="F23" s="24"/>
      <c r="G23" s="24"/>
      <c r="H23" s="24"/>
      <c r="I23" s="24"/>
      <c r="J23" s="24"/>
      <c r="K23" s="24"/>
      <c r="L23" s="24"/>
      <c r="M23" s="24"/>
    </row>
    <row r="24" spans="1:14" x14ac:dyDescent="0.2">
      <c r="A24" s="3" t="s">
        <v>20</v>
      </c>
      <c r="F24" s="24"/>
      <c r="G24" s="24"/>
      <c r="H24" s="24"/>
      <c r="I24" s="24"/>
      <c r="J24" s="24"/>
      <c r="K24" s="24"/>
      <c r="L24" s="24"/>
      <c r="M24" s="24"/>
    </row>
    <row r="25" spans="1:14" x14ac:dyDescent="0.2">
      <c r="A25" s="17" t="s">
        <v>26</v>
      </c>
      <c r="B25" s="44"/>
      <c r="C25" s="44"/>
      <c r="D25" s="44"/>
      <c r="E25" s="44"/>
      <c r="F25" s="44"/>
      <c r="G25" s="44"/>
      <c r="H25" s="44"/>
      <c r="I25" s="44"/>
      <c r="J25" s="44"/>
      <c r="K25" s="44"/>
      <c r="L25" s="44"/>
      <c r="M25" s="44"/>
    </row>
    <row r="26" spans="1:14" x14ac:dyDescent="0.2">
      <c r="A26" s="17" t="s">
        <v>27</v>
      </c>
      <c r="B26" s="44">
        <v>2032.69</v>
      </c>
      <c r="C26" s="44">
        <v>2032.69</v>
      </c>
      <c r="D26" s="44">
        <v>2032.69</v>
      </c>
      <c r="E26" s="44">
        <v>2032.69</v>
      </c>
      <c r="F26" s="44">
        <v>2032.69</v>
      </c>
      <c r="G26" s="44">
        <v>2032.69</v>
      </c>
      <c r="H26" s="44">
        <v>2032.69</v>
      </c>
      <c r="I26" s="44">
        <v>2032.69</v>
      </c>
      <c r="J26" s="44">
        <v>2032.69</v>
      </c>
      <c r="K26" s="44">
        <v>2032.69</v>
      </c>
      <c r="L26" s="44">
        <v>2032.69</v>
      </c>
      <c r="M26" s="44">
        <v>2032.69</v>
      </c>
      <c r="N26" s="18" t="s">
        <v>62</v>
      </c>
    </row>
    <row r="27" spans="1:14" x14ac:dyDescent="0.2">
      <c r="A27" s="17" t="s">
        <v>28</v>
      </c>
      <c r="B27" s="44"/>
      <c r="C27" s="44"/>
      <c r="D27" s="44"/>
      <c r="E27" s="44"/>
      <c r="F27" s="44"/>
      <c r="G27" s="44"/>
      <c r="H27" s="44"/>
      <c r="I27" s="44"/>
      <c r="J27" s="44"/>
      <c r="K27" s="44"/>
      <c r="L27" s="44"/>
      <c r="M27" s="44"/>
    </row>
    <row r="28" spans="1:14" x14ac:dyDescent="0.2">
      <c r="A28" s="17" t="s">
        <v>29</v>
      </c>
      <c r="B28" s="44">
        <v>39936.68</v>
      </c>
      <c r="C28" s="44">
        <v>39936.68</v>
      </c>
      <c r="D28" s="44">
        <v>39936.68</v>
      </c>
      <c r="E28" s="44">
        <v>39936.68</v>
      </c>
      <c r="F28" s="44">
        <v>39936.68</v>
      </c>
      <c r="G28" s="44">
        <v>39936.68</v>
      </c>
      <c r="H28" s="44">
        <v>39936.68</v>
      </c>
      <c r="I28" s="44">
        <v>39936.68</v>
      </c>
      <c r="J28" s="44">
        <v>39936.68</v>
      </c>
      <c r="K28" s="44">
        <v>39936.68</v>
      </c>
      <c r="L28" s="44">
        <v>39936.68</v>
      </c>
      <c r="M28" s="44">
        <v>39936.68</v>
      </c>
      <c r="N28" s="18" t="s">
        <v>62</v>
      </c>
    </row>
    <row r="29" spans="1:14" x14ac:dyDescent="0.2">
      <c r="A29" s="17" t="s">
        <v>23</v>
      </c>
      <c r="B29" s="44">
        <v>155.55000000000001</v>
      </c>
      <c r="C29" s="44">
        <v>157.93</v>
      </c>
      <c r="D29" s="44">
        <v>169.64</v>
      </c>
      <c r="E29" s="44">
        <v>213.01</v>
      </c>
      <c r="F29" s="44">
        <v>199.51</v>
      </c>
      <c r="G29" s="44">
        <v>141.55000000000001</v>
      </c>
      <c r="H29" s="44">
        <v>157.24</v>
      </c>
      <c r="I29" s="44">
        <v>152.15</v>
      </c>
      <c r="J29" s="44">
        <v>135.24</v>
      </c>
      <c r="K29" s="44">
        <v>221.77</v>
      </c>
      <c r="L29" s="44">
        <v>273.25</v>
      </c>
      <c r="M29" s="44">
        <v>298.45999999999998</v>
      </c>
      <c r="N29" s="18" t="s">
        <v>62</v>
      </c>
    </row>
    <row r="30" spans="1:14" x14ac:dyDescent="0.2">
      <c r="A30" s="17" t="s">
        <v>23</v>
      </c>
      <c r="B30" s="44"/>
      <c r="C30" s="44"/>
      <c r="D30" s="44"/>
      <c r="E30" s="44"/>
      <c r="F30" s="44"/>
      <c r="G30" s="44"/>
      <c r="H30" s="44"/>
      <c r="I30" s="44"/>
      <c r="J30" s="44"/>
      <c r="K30" s="44"/>
      <c r="L30" s="44"/>
      <c r="M30" s="44"/>
    </row>
    <row r="31" spans="1:14" x14ac:dyDescent="0.2">
      <c r="A31" s="17" t="s">
        <v>57</v>
      </c>
      <c r="B31" s="117">
        <f>253302-253302</f>
        <v>0</v>
      </c>
      <c r="C31" s="44"/>
      <c r="D31" s="44"/>
      <c r="E31" s="44"/>
      <c r="F31" s="44"/>
      <c r="G31" s="44"/>
      <c r="H31" s="44"/>
      <c r="I31" s="44"/>
      <c r="J31" s="44"/>
      <c r="K31" s="44"/>
      <c r="L31" s="44"/>
      <c r="M31" s="44"/>
    </row>
    <row r="32" spans="1:14" x14ac:dyDescent="0.2">
      <c r="A32" s="17" t="s">
        <v>58</v>
      </c>
      <c r="B32" s="44"/>
      <c r="C32" s="44">
        <v>47.25</v>
      </c>
      <c r="D32" s="44"/>
      <c r="E32" s="44"/>
      <c r="F32" s="44"/>
      <c r="G32" s="44"/>
      <c r="H32" s="44"/>
      <c r="I32" s="44"/>
      <c r="J32" s="44"/>
      <c r="K32" s="44"/>
      <c r="L32" s="44"/>
      <c r="M32" s="44"/>
    </row>
    <row r="33" spans="1:14" x14ac:dyDescent="0.2">
      <c r="A33" s="17" t="s">
        <v>25</v>
      </c>
      <c r="B33" s="44"/>
      <c r="C33" s="44"/>
      <c r="D33" s="44"/>
      <c r="E33" s="44"/>
      <c r="F33" s="44"/>
      <c r="G33" s="44"/>
      <c r="H33" s="44"/>
      <c r="I33" s="44"/>
      <c r="J33" s="44"/>
      <c r="K33" s="44"/>
      <c r="L33" s="44"/>
      <c r="M33" s="44"/>
    </row>
    <row r="34" spans="1:14" x14ac:dyDescent="0.2">
      <c r="A34" s="32" t="s">
        <v>19</v>
      </c>
      <c r="B34" s="24">
        <f t="shared" ref="B34:E34" si="0">ROUND(SUM(B18:B33)*0.13,2)</f>
        <v>6397.84</v>
      </c>
      <c r="C34" s="24">
        <f t="shared" si="0"/>
        <v>6419.71</v>
      </c>
      <c r="D34" s="24">
        <f t="shared" si="0"/>
        <v>6404.05</v>
      </c>
      <c r="E34" s="24">
        <f t="shared" si="0"/>
        <v>6404.54</v>
      </c>
      <c r="F34" s="24">
        <f>ROUND(SUM(F18:F33)*0.13,2)</f>
        <v>6413.31</v>
      </c>
      <c r="G34" s="24">
        <f t="shared" ref="G34:M34" si="1">ROUND(SUM(G18:G33)*0.13,2)</f>
        <v>6406.46</v>
      </c>
      <c r="H34" s="24">
        <f t="shared" si="1"/>
        <v>6397.29</v>
      </c>
      <c r="I34" s="24">
        <f t="shared" si="1"/>
        <v>6397.02</v>
      </c>
      <c r="J34" s="24">
        <f t="shared" si="1"/>
        <v>6396.77</v>
      </c>
      <c r="K34" s="24">
        <f t="shared" si="1"/>
        <v>6405.68</v>
      </c>
      <c r="L34" s="24">
        <f t="shared" si="1"/>
        <v>6419.16</v>
      </c>
      <c r="M34" s="24">
        <f t="shared" si="1"/>
        <v>6426.79</v>
      </c>
    </row>
    <row r="35" spans="1:14" x14ac:dyDescent="0.2">
      <c r="A35" s="29" t="s">
        <v>35</v>
      </c>
      <c r="B35" s="36">
        <f t="shared" ref="B35:E35" si="2">SUM(B18:B34)</f>
        <v>55611.979999999996</v>
      </c>
      <c r="C35" s="36">
        <f t="shared" si="2"/>
        <v>55802.07</v>
      </c>
      <c r="D35" s="36">
        <f t="shared" si="2"/>
        <v>55665.98</v>
      </c>
      <c r="E35" s="36">
        <f t="shared" si="2"/>
        <v>55670.25</v>
      </c>
      <c r="F35" s="36">
        <f>SUM(F18:F34)</f>
        <v>55746.43</v>
      </c>
      <c r="G35" s="36">
        <f t="shared" ref="G35:M35" si="3">SUM(G18:G34)</f>
        <v>55686.93</v>
      </c>
      <c r="H35" s="36">
        <f t="shared" si="3"/>
        <v>55607.229999999996</v>
      </c>
      <c r="I35" s="36">
        <f t="shared" si="3"/>
        <v>55604.880000000005</v>
      </c>
      <c r="J35" s="36">
        <f t="shared" si="3"/>
        <v>55602.709999999992</v>
      </c>
      <c r="K35" s="36">
        <f>SUM(K18:K34)</f>
        <v>55680.149999999994</v>
      </c>
      <c r="L35" s="36">
        <f t="shared" si="3"/>
        <v>55797.31</v>
      </c>
      <c r="M35" s="36">
        <f t="shared" si="3"/>
        <v>55863.6</v>
      </c>
    </row>
    <row r="36" spans="1:14" x14ac:dyDescent="0.2">
      <c r="A36" s="29" t="s">
        <v>38</v>
      </c>
      <c r="B36" s="37">
        <f>SUM(B18:B21,B25:B32)</f>
        <v>49214.14</v>
      </c>
      <c r="C36" s="37">
        <f>SUM(C18:C21,C25:C32)</f>
        <v>49382.36</v>
      </c>
      <c r="D36" s="37">
        <f t="shared" ref="D36:M36" si="4">SUM(D18:D21,D25:D32)</f>
        <v>49261.93</v>
      </c>
      <c r="E36" s="37">
        <f t="shared" si="4"/>
        <v>49265.71</v>
      </c>
      <c r="F36" s="37">
        <f t="shared" si="4"/>
        <v>49333.120000000003</v>
      </c>
      <c r="G36" s="37">
        <f t="shared" si="4"/>
        <v>49280.47</v>
      </c>
      <c r="H36" s="37">
        <f t="shared" si="4"/>
        <v>49209.939999999995</v>
      </c>
      <c r="I36" s="37">
        <f t="shared" si="4"/>
        <v>49207.86</v>
      </c>
      <c r="J36" s="37">
        <f t="shared" si="4"/>
        <v>49205.939999999995</v>
      </c>
      <c r="K36" s="37">
        <f t="shared" si="4"/>
        <v>49274.469999999994</v>
      </c>
      <c r="L36" s="37">
        <f t="shared" si="4"/>
        <v>49378.15</v>
      </c>
      <c r="M36" s="37">
        <f t="shared" si="4"/>
        <v>49436.81</v>
      </c>
    </row>
    <row r="37" spans="1:14" x14ac:dyDescent="0.2">
      <c r="A37" s="31" t="s">
        <v>37</v>
      </c>
      <c r="B37" s="42">
        <f>Allocation!P10</f>
        <v>6209.6</v>
      </c>
      <c r="C37" s="42">
        <f>Allocation!Q10</f>
        <v>6178.36</v>
      </c>
      <c r="D37" s="42">
        <f>Allocation!R10</f>
        <v>6328.92</v>
      </c>
      <c r="E37" s="42">
        <f>Allocation!S10</f>
        <v>6007.4400000000005</v>
      </c>
      <c r="F37" s="42">
        <f>Allocation!T10</f>
        <v>5740.76</v>
      </c>
      <c r="G37" s="42">
        <f>Allocation!U10</f>
        <v>4986.3599999999997</v>
      </c>
      <c r="H37" s="42">
        <f>Allocation!V10</f>
        <v>5174</v>
      </c>
      <c r="I37" s="42">
        <f>Allocation!W10</f>
        <v>5093.5600000000004</v>
      </c>
      <c r="J37" s="42">
        <f>Allocation!X10</f>
        <v>4869.3599999999997</v>
      </c>
      <c r="K37" s="42">
        <f>Allocation!Y10</f>
        <v>5999.4400000000005</v>
      </c>
      <c r="L37" s="42">
        <f>Allocation!Z10</f>
        <v>6678.9600000000009</v>
      </c>
      <c r="M37" s="42">
        <f>Allocation!AA10</f>
        <v>7019.76</v>
      </c>
      <c r="N37" s="18" t="s">
        <v>63</v>
      </c>
    </row>
    <row r="38" spans="1:14" x14ac:dyDescent="0.2">
      <c r="A38" s="31" t="s">
        <v>36</v>
      </c>
      <c r="B38" s="42">
        <f>(146274+72253)/12</f>
        <v>18210.583333333332</v>
      </c>
      <c r="C38" s="42">
        <f t="shared" ref="C38" si="5">(146274+72253)/12</f>
        <v>18210.583333333332</v>
      </c>
      <c r="D38" s="42">
        <f>(146274+72253)/12</f>
        <v>18210.583333333332</v>
      </c>
      <c r="E38" s="42">
        <f t="shared" ref="E38:F38" si="6">(146274+72253)/12</f>
        <v>18210.583333333332</v>
      </c>
      <c r="F38" s="42">
        <f t="shared" si="6"/>
        <v>18210.583333333332</v>
      </c>
      <c r="G38" s="42">
        <f>(146274+72253)/12</f>
        <v>18210.583333333332</v>
      </c>
      <c r="H38" s="42">
        <f>(146274+72253)/12</f>
        <v>18210.583333333332</v>
      </c>
      <c r="I38" s="42">
        <f>(146274+72253)/12</f>
        <v>18210.583333333332</v>
      </c>
      <c r="J38" s="42">
        <f>(146274+72253)/12</f>
        <v>18210.583333333332</v>
      </c>
      <c r="K38" s="42">
        <f t="shared" ref="K38:L38" si="7">(146274+72253)/12</f>
        <v>18210.583333333332</v>
      </c>
      <c r="L38" s="42">
        <f t="shared" si="7"/>
        <v>18210.583333333332</v>
      </c>
      <c r="M38" s="45">
        <f>199475-SUM(B38:L38)</f>
        <v>-841.41666666668607</v>
      </c>
    </row>
    <row r="39" spans="1:14" x14ac:dyDescent="0.2">
      <c r="A39" s="31"/>
      <c r="B39" s="33">
        <f>SUM(B36:B38)</f>
        <v>73634.323333333334</v>
      </c>
      <c r="C39" s="33">
        <f t="shared" ref="C39:M39" si="8">SUM(C36:C38)</f>
        <v>73771.30333333333</v>
      </c>
      <c r="D39" s="33">
        <f t="shared" si="8"/>
        <v>73801.433333333334</v>
      </c>
      <c r="E39" s="33">
        <f t="shared" si="8"/>
        <v>73483.733333333337</v>
      </c>
      <c r="F39" s="33">
        <f t="shared" si="8"/>
        <v>73284.463333333333</v>
      </c>
      <c r="G39" s="33">
        <f>SUM(G36:G38)</f>
        <v>72477.41333333333</v>
      </c>
      <c r="H39" s="33">
        <f t="shared" si="8"/>
        <v>72594.523333333331</v>
      </c>
      <c r="I39" s="33">
        <f t="shared" si="8"/>
        <v>72512.003333333327</v>
      </c>
      <c r="J39" s="33">
        <f t="shared" si="8"/>
        <v>72285.883333333331</v>
      </c>
      <c r="K39" s="33">
        <f t="shared" si="8"/>
        <v>73484.493333333332</v>
      </c>
      <c r="L39" s="33">
        <f t="shared" si="8"/>
        <v>74267.693333333329</v>
      </c>
      <c r="M39" s="33">
        <f t="shared" si="8"/>
        <v>55615.153333333314</v>
      </c>
      <c r="N39" s="39">
        <f>SUM(B39:M39)</f>
        <v>861212.41999999993</v>
      </c>
    </row>
    <row r="40" spans="1:14" x14ac:dyDescent="0.2">
      <c r="A40" s="31"/>
      <c r="B40" s="19"/>
      <c r="C40" s="19"/>
      <c r="D40" s="19"/>
      <c r="E40" s="19"/>
      <c r="F40" s="19"/>
      <c r="G40" s="19"/>
      <c r="H40" s="19"/>
      <c r="I40" s="19"/>
      <c r="J40" s="19"/>
      <c r="K40" s="19"/>
      <c r="L40" s="19"/>
      <c r="M40" s="19"/>
    </row>
    <row r="41" spans="1:14" x14ac:dyDescent="0.2">
      <c r="A41" s="17" t="s">
        <v>39</v>
      </c>
      <c r="B41" s="118">
        <f>Allocation!P3+Allocation!P8+B38</f>
        <v>53028.569971780613</v>
      </c>
      <c r="C41" s="118">
        <f>Allocation!Q3+Allocation!Q8+C38+C32</f>
        <v>53454.988734053797</v>
      </c>
      <c r="D41" s="118">
        <f>Allocation!R3+Allocation!R8+D38</f>
        <v>53281.201077103702</v>
      </c>
      <c r="E41" s="118">
        <f>Allocation!S3+Allocation!S8+E38</f>
        <v>52997.374121982997</v>
      </c>
      <c r="F41" s="118">
        <f>Allocation!T3+Allocation!T8+F38</f>
        <v>53044.537282966077</v>
      </c>
      <c r="G41" s="118">
        <f>Allocation!U3+Allocation!U8+G38</f>
        <v>52990.621728633894</v>
      </c>
      <c r="H41" s="118">
        <f>Allocation!V3+Allocation!V8+H38</f>
        <v>52924.07923076392</v>
      </c>
      <c r="I41" s="118">
        <f>Allocation!W3+Allocation!W8+I38</f>
        <v>52967.823160528671</v>
      </c>
      <c r="J41" s="118">
        <f>Allocation!X3+Allocation!X8+J38</f>
        <v>53065.3983604729</v>
      </c>
      <c r="K41" s="118">
        <f>Allocation!Y3+Allocation!Y8+K38</f>
        <v>53352.445026049245</v>
      </c>
      <c r="L41" s="118">
        <f>Allocation!Z3+Allocation!Z8+L38</f>
        <v>54057.954067967526</v>
      </c>
      <c r="M41" s="118">
        <f>Allocation!AA3+Allocation!AA8+M38</f>
        <v>34385.584014537839</v>
      </c>
    </row>
    <row r="42" spans="1:14" x14ac:dyDescent="0.2">
      <c r="A42" s="17" t="s">
        <v>40</v>
      </c>
      <c r="B42" s="19">
        <f>Allocation!P4+Allocation!P9</f>
        <v>20605.74336155313</v>
      </c>
      <c r="C42" s="19">
        <f>Allocation!Q4+Allocation!Q9</f>
        <v>20363.560599279535</v>
      </c>
      <c r="D42" s="19">
        <f>Allocation!R4+Allocation!R9</f>
        <v>20520.230256229639</v>
      </c>
      <c r="E42" s="19">
        <f>Allocation!S4+Allocation!S9</f>
        <v>20486.359211350329</v>
      </c>
      <c r="F42" s="19">
        <f>Allocation!T4+Allocation!T9</f>
        <v>20239.926050367249</v>
      </c>
      <c r="G42" s="19">
        <f>Allocation!U4+Allocation!U9</f>
        <v>19486.788604699432</v>
      </c>
      <c r="H42" s="19">
        <f>Allocation!V4+Allocation!V9</f>
        <v>19670.444102569403</v>
      </c>
      <c r="I42" s="19">
        <f>Allocation!W4+Allocation!W9</f>
        <v>19544.175172804666</v>
      </c>
      <c r="J42" s="19">
        <f>Allocation!X4+Allocation!X9</f>
        <v>19220.512972860437</v>
      </c>
      <c r="K42" s="19">
        <f>Allocation!Y4+Allocation!Y9</f>
        <v>20132.048307284094</v>
      </c>
      <c r="L42" s="19">
        <f>Allocation!Z4+Allocation!Z9</f>
        <v>20209.733265365812</v>
      </c>
      <c r="M42" s="19">
        <f>Allocation!AA4+Allocation!AA9</f>
        <v>21229.568318795475</v>
      </c>
    </row>
    <row r="43" spans="1:14" x14ac:dyDescent="0.2">
      <c r="A43" s="17"/>
      <c r="B43" s="33">
        <f>SUM(B41:B42)</f>
        <v>73634.313333333746</v>
      </c>
      <c r="C43" s="33">
        <f t="shared" ref="C43:M43" si="9">SUM(C41:C42)</f>
        <v>73818.549333333329</v>
      </c>
      <c r="D43" s="33">
        <f t="shared" si="9"/>
        <v>73801.431333333341</v>
      </c>
      <c r="E43" s="33">
        <f t="shared" si="9"/>
        <v>73483.733333333323</v>
      </c>
      <c r="F43" s="33">
        <f t="shared" si="9"/>
        <v>73284.463333333319</v>
      </c>
      <c r="G43" s="33">
        <f t="shared" si="9"/>
        <v>72477.410333333333</v>
      </c>
      <c r="H43" s="33">
        <f t="shared" si="9"/>
        <v>72594.523333333316</v>
      </c>
      <c r="I43" s="33">
        <f t="shared" si="9"/>
        <v>72511.998333333337</v>
      </c>
      <c r="J43" s="33">
        <f t="shared" si="9"/>
        <v>72285.911333333337</v>
      </c>
      <c r="K43" s="33">
        <f t="shared" si="9"/>
        <v>73484.493333333347</v>
      </c>
      <c r="L43" s="33">
        <f t="shared" si="9"/>
        <v>74267.687333333335</v>
      </c>
      <c r="M43" s="33">
        <f t="shared" si="9"/>
        <v>55615.152333333317</v>
      </c>
    </row>
    <row r="44" spans="1:14" x14ac:dyDescent="0.2">
      <c r="A44" s="17"/>
      <c r="B44" s="344">
        <f>B39-B43</f>
        <v>9.9999995873076841E-3</v>
      </c>
      <c r="C44" s="344">
        <f t="shared" ref="C44:M44" si="10">C39-C43</f>
        <v>-47.245999999999185</v>
      </c>
      <c r="D44" s="344">
        <f t="shared" si="10"/>
        <v>1.999999993131496E-3</v>
      </c>
      <c r="E44" s="344">
        <f t="shared" si="10"/>
        <v>0</v>
      </c>
      <c r="F44" s="344">
        <f t="shared" si="10"/>
        <v>0</v>
      </c>
      <c r="G44" s="344">
        <f t="shared" si="10"/>
        <v>2.9999999969732016E-3</v>
      </c>
      <c r="H44" s="344">
        <f t="shared" si="10"/>
        <v>0</v>
      </c>
      <c r="I44" s="344">
        <f t="shared" si="10"/>
        <v>4.9999999901046976E-3</v>
      </c>
      <c r="J44" s="344">
        <f t="shared" si="10"/>
        <v>-2.8000000005704351E-2</v>
      </c>
      <c r="K44" s="344">
        <f t="shared" si="10"/>
        <v>0</v>
      </c>
      <c r="L44" s="344">
        <f t="shared" si="10"/>
        <v>5.9999999939464033E-3</v>
      </c>
      <c r="M44" s="344">
        <f t="shared" si="10"/>
        <v>9.9999999656574801E-4</v>
      </c>
    </row>
    <row r="45" spans="1:14" x14ac:dyDescent="0.2">
      <c r="A45" s="29" t="s">
        <v>34</v>
      </c>
      <c r="B45" s="19"/>
      <c r="C45" s="19"/>
      <c r="D45" s="19"/>
      <c r="E45" s="20"/>
      <c r="F45" s="24"/>
      <c r="G45" s="24"/>
      <c r="H45" s="24"/>
      <c r="I45" s="24"/>
      <c r="J45" s="24"/>
      <c r="K45" s="24"/>
      <c r="L45" s="24"/>
      <c r="M45" s="24"/>
    </row>
    <row r="46" spans="1:14" x14ac:dyDescent="0.2">
      <c r="A46" s="38" t="s">
        <v>30</v>
      </c>
      <c r="B46" s="42">
        <v>12367.12</v>
      </c>
      <c r="C46" s="42">
        <v>12367.12</v>
      </c>
      <c r="D46" s="42">
        <v>12367.12</v>
      </c>
      <c r="E46" s="42">
        <v>12367.12</v>
      </c>
      <c r="F46" s="42">
        <v>12367.12</v>
      </c>
      <c r="G46" s="42">
        <v>12367.12</v>
      </c>
      <c r="H46" s="42">
        <v>12367.12</v>
      </c>
      <c r="I46" s="42">
        <v>12367.12</v>
      </c>
      <c r="J46" s="42">
        <v>12367.12</v>
      </c>
      <c r="K46" s="42">
        <v>12367.12</v>
      </c>
      <c r="L46" s="42">
        <v>12367.12</v>
      </c>
      <c r="M46" s="42">
        <v>12367.12</v>
      </c>
    </row>
    <row r="47" spans="1:14" x14ac:dyDescent="0.2">
      <c r="A47" s="38" t="s">
        <v>32</v>
      </c>
      <c r="B47" s="42">
        <v>15889.26</v>
      </c>
      <c r="C47" s="42">
        <v>15889.26</v>
      </c>
      <c r="D47" s="42">
        <v>15889.26</v>
      </c>
      <c r="E47" s="42">
        <v>15889.26</v>
      </c>
      <c r="F47" s="42">
        <v>15889.26</v>
      </c>
      <c r="G47" s="42">
        <v>15889.26</v>
      </c>
      <c r="H47" s="42">
        <v>15889.26</v>
      </c>
      <c r="I47" s="42">
        <v>15889.26</v>
      </c>
      <c r="J47" s="42">
        <v>15889.26</v>
      </c>
      <c r="K47" s="42">
        <v>15889.26</v>
      </c>
      <c r="L47" s="42">
        <v>15889.26</v>
      </c>
      <c r="M47" s="42">
        <v>15889.26</v>
      </c>
    </row>
    <row r="48" spans="1:14" x14ac:dyDescent="0.2">
      <c r="A48" s="17" t="s">
        <v>43</v>
      </c>
      <c r="B48" s="33">
        <f>SUM(B46:B47)</f>
        <v>28256.38</v>
      </c>
      <c r="C48" s="33">
        <f t="shared" ref="C48:M48" si="11">SUM(C46:C47)</f>
        <v>28256.38</v>
      </c>
      <c r="D48" s="33">
        <f t="shared" si="11"/>
        <v>28256.38</v>
      </c>
      <c r="E48" s="33">
        <f t="shared" si="11"/>
        <v>28256.38</v>
      </c>
      <c r="F48" s="33">
        <f t="shared" si="11"/>
        <v>28256.38</v>
      </c>
      <c r="G48" s="33">
        <f t="shared" si="11"/>
        <v>28256.38</v>
      </c>
      <c r="H48" s="33">
        <f t="shared" si="11"/>
        <v>28256.38</v>
      </c>
      <c r="I48" s="33">
        <f t="shared" si="11"/>
        <v>28256.38</v>
      </c>
      <c r="J48" s="33">
        <f t="shared" si="11"/>
        <v>28256.38</v>
      </c>
      <c r="K48" s="33">
        <f t="shared" si="11"/>
        <v>28256.38</v>
      </c>
      <c r="L48" s="33">
        <f t="shared" si="11"/>
        <v>28256.38</v>
      </c>
      <c r="M48" s="33">
        <f t="shared" si="11"/>
        <v>28256.38</v>
      </c>
      <c r="N48" s="39">
        <f>SUM(B48:M48)</f>
        <v>339076.56</v>
      </c>
    </row>
    <row r="49" spans="1:15" x14ac:dyDescent="0.2">
      <c r="A49" s="17"/>
      <c r="B49" s="19"/>
      <c r="C49" s="19"/>
      <c r="D49" s="19"/>
      <c r="E49" s="19"/>
      <c r="F49" s="19"/>
      <c r="G49" s="19"/>
      <c r="H49" s="19"/>
      <c r="I49" s="19"/>
      <c r="J49" s="19"/>
      <c r="K49" s="19"/>
      <c r="L49" s="19"/>
      <c r="M49" s="19"/>
    </row>
    <row r="50" spans="1:15" x14ac:dyDescent="0.2">
      <c r="A50" s="38" t="s">
        <v>31</v>
      </c>
      <c r="B50" s="42">
        <v>364.33</v>
      </c>
      <c r="C50" s="42">
        <v>809.39</v>
      </c>
      <c r="D50" s="42">
        <v>1670.99</v>
      </c>
      <c r="E50" s="43">
        <f>14215.35-E46</f>
        <v>1848.2299999999996</v>
      </c>
      <c r="F50" s="41">
        <f>13891.56-F46</f>
        <v>1524.4399999999987</v>
      </c>
      <c r="G50" s="41">
        <f>13465.89-G46</f>
        <v>1098.7699999999986</v>
      </c>
      <c r="H50" s="41">
        <f>13008.7-H46</f>
        <v>641.57999999999993</v>
      </c>
      <c r="I50" s="41">
        <f>12916.9-I46</f>
        <v>549.77999999999884</v>
      </c>
      <c r="J50" s="41">
        <f>12940.45-J46</f>
        <v>573.32999999999993</v>
      </c>
      <c r="K50" s="44">
        <f>13116.26-K46</f>
        <v>749.13999999999942</v>
      </c>
      <c r="L50" s="44">
        <f>14064.05-L46</f>
        <v>1696.9299999999985</v>
      </c>
      <c r="M50" s="44">
        <f>17207.96-M46</f>
        <v>4840.8399999999983</v>
      </c>
      <c r="N50" s="18" t="s">
        <v>89</v>
      </c>
    </row>
    <row r="51" spans="1:15" x14ac:dyDescent="0.2">
      <c r="A51" s="38" t="s">
        <v>33</v>
      </c>
      <c r="B51" s="42">
        <v>660.5</v>
      </c>
      <c r="C51" s="42">
        <v>1474.65</v>
      </c>
      <c r="D51" s="42">
        <v>3070.65</v>
      </c>
      <c r="E51" s="43">
        <f>19316.04-E47</f>
        <v>3426.7800000000007</v>
      </c>
      <c r="F51" s="41">
        <f>18716.69-F47</f>
        <v>2827.4299999999985</v>
      </c>
      <c r="G51" s="41">
        <f>17965.37-G47</f>
        <v>2076.1099999999988</v>
      </c>
      <c r="H51" s="41">
        <f>17089.66-H47</f>
        <v>1200.3999999999996</v>
      </c>
      <c r="I51" s="41">
        <f>17146.69-I47</f>
        <v>1257.4299999999985</v>
      </c>
      <c r="J51" s="41">
        <f>16997.32-J47</f>
        <v>1108.0599999999995</v>
      </c>
      <c r="K51" s="44">
        <f>17304.61-K47</f>
        <v>1415.3500000000004</v>
      </c>
      <c r="L51" s="44">
        <f>20322.96-L47</f>
        <v>4433.6999999999989</v>
      </c>
      <c r="M51" s="44">
        <f>26970.83-M47</f>
        <v>11081.570000000002</v>
      </c>
      <c r="N51" s="18" t="s">
        <v>90</v>
      </c>
    </row>
    <row r="52" spans="1:15" x14ac:dyDescent="0.2">
      <c r="A52" s="17" t="s">
        <v>44</v>
      </c>
      <c r="B52" s="28">
        <f>SUM(B50:B51)</f>
        <v>1024.83</v>
      </c>
      <c r="C52" s="28">
        <f t="shared" ref="C52:M52" si="12">SUM(C50:C51)</f>
        <v>2284.04</v>
      </c>
      <c r="D52" s="28">
        <f t="shared" si="12"/>
        <v>4741.6400000000003</v>
      </c>
      <c r="E52" s="28">
        <f t="shared" si="12"/>
        <v>5275.01</v>
      </c>
      <c r="F52" s="28">
        <f t="shared" si="12"/>
        <v>4351.8699999999972</v>
      </c>
      <c r="G52" s="28">
        <f t="shared" si="12"/>
        <v>3174.8799999999974</v>
      </c>
      <c r="H52" s="28">
        <f t="shared" si="12"/>
        <v>1841.9799999999996</v>
      </c>
      <c r="I52" s="28">
        <f t="shared" si="12"/>
        <v>1807.2099999999973</v>
      </c>
      <c r="J52" s="28">
        <f t="shared" si="12"/>
        <v>1681.3899999999994</v>
      </c>
      <c r="K52" s="28">
        <f t="shared" si="12"/>
        <v>2164.4899999999998</v>
      </c>
      <c r="L52" s="28">
        <f t="shared" si="12"/>
        <v>6130.6299999999974</v>
      </c>
      <c r="M52" s="28">
        <f t="shared" si="12"/>
        <v>15922.41</v>
      </c>
      <c r="N52" s="39">
        <f>SUM(B52:M52)</f>
        <v>50400.37999999999</v>
      </c>
    </row>
    <row r="53" spans="1:15" x14ac:dyDescent="0.2">
      <c r="A53" s="17"/>
      <c r="B53" s="30"/>
      <c r="C53" s="30"/>
      <c r="D53" s="30"/>
      <c r="E53" s="30"/>
      <c r="F53" s="30"/>
      <c r="G53" s="30"/>
      <c r="H53" s="30"/>
      <c r="I53" s="30"/>
      <c r="J53" s="30"/>
      <c r="K53" s="30"/>
      <c r="L53" s="30"/>
      <c r="M53" s="30"/>
    </row>
    <row r="54" spans="1:15" x14ac:dyDescent="0.2">
      <c r="A54" s="17" t="s">
        <v>45</v>
      </c>
      <c r="B54" s="30">
        <f>B41-B52</f>
        <v>52003.739971780611</v>
      </c>
      <c r="C54" s="30">
        <f t="shared" ref="C54:M54" si="13">C41-C52</f>
        <v>51170.948734053796</v>
      </c>
      <c r="D54" s="30">
        <f t="shared" si="13"/>
        <v>48539.561077103703</v>
      </c>
      <c r="E54" s="30">
        <f t="shared" si="13"/>
        <v>47722.364121982995</v>
      </c>
      <c r="F54" s="30">
        <f t="shared" si="13"/>
        <v>48692.667282966082</v>
      </c>
      <c r="G54" s="30">
        <f t="shared" si="13"/>
        <v>49815.741728633897</v>
      </c>
      <c r="H54" s="30">
        <f t="shared" si="13"/>
        <v>51082.099230763924</v>
      </c>
      <c r="I54" s="30">
        <f t="shared" si="13"/>
        <v>51160.613160528672</v>
      </c>
      <c r="J54" s="30">
        <f t="shared" si="13"/>
        <v>51384.008360472901</v>
      </c>
      <c r="K54" s="30">
        <f t="shared" si="13"/>
        <v>51187.955026049247</v>
      </c>
      <c r="L54" s="30">
        <f t="shared" si="13"/>
        <v>47927.324067967529</v>
      </c>
      <c r="M54" s="30">
        <f t="shared" si="13"/>
        <v>18463.174014537839</v>
      </c>
      <c r="N54" s="39">
        <f>SUM(B54:M54)</f>
        <v>569150.19677684107</v>
      </c>
    </row>
    <row r="55" spans="1:15" x14ac:dyDescent="0.2">
      <c r="A55" s="17" t="s">
        <v>46</v>
      </c>
      <c r="B55" s="30">
        <f>B42-B48</f>
        <v>-7650.6366384468711</v>
      </c>
      <c r="C55" s="30">
        <f t="shared" ref="C55:M55" si="14">C42-C48</f>
        <v>-7892.8194007204656</v>
      </c>
      <c r="D55" s="30">
        <f t="shared" si="14"/>
        <v>-7736.149743770362</v>
      </c>
      <c r="E55" s="30">
        <f t="shared" si="14"/>
        <v>-7770.0207886496719</v>
      </c>
      <c r="F55" s="30">
        <f t="shared" si="14"/>
        <v>-8016.4539496327525</v>
      </c>
      <c r="G55" s="30">
        <f>G42-G48</f>
        <v>-8769.5913953005693</v>
      </c>
      <c r="H55" s="30">
        <f t="shared" si="14"/>
        <v>-8585.9358974305978</v>
      </c>
      <c r="I55" s="30">
        <f t="shared" si="14"/>
        <v>-8712.2048271953354</v>
      </c>
      <c r="J55" s="30">
        <f t="shared" si="14"/>
        <v>-9035.867027139564</v>
      </c>
      <c r="K55" s="30">
        <f t="shared" si="14"/>
        <v>-8124.3316927159067</v>
      </c>
      <c r="L55" s="30">
        <f t="shared" si="14"/>
        <v>-8046.6467346341888</v>
      </c>
      <c r="M55" s="30">
        <f t="shared" si="14"/>
        <v>-7026.8116812045264</v>
      </c>
      <c r="N55" s="39">
        <f>SUM(B55:M55)</f>
        <v>-97367.469776840822</v>
      </c>
    </row>
    <row r="56" spans="1:15" x14ac:dyDescent="0.2">
      <c r="A56" s="17"/>
      <c r="B56" s="19"/>
      <c r="C56" s="19"/>
      <c r="D56" s="19"/>
      <c r="E56" s="20"/>
      <c r="F56" s="24"/>
      <c r="G56" s="24"/>
      <c r="H56" s="24"/>
      <c r="I56" s="24"/>
      <c r="J56" s="30"/>
      <c r="K56" s="24"/>
      <c r="L56" s="24"/>
      <c r="M56" s="24"/>
      <c r="N56" s="39">
        <f>N39-N48-N52-SUM(N54:N55)</f>
        <v>-47.247000000323169</v>
      </c>
      <c r="O56" s="18" t="s">
        <v>55</v>
      </c>
    </row>
    <row r="57" spans="1:15" x14ac:dyDescent="0.2">
      <c r="A57" s="7" t="s">
        <v>41</v>
      </c>
      <c r="B57" s="22">
        <f>'S&amp;TVA Q4 2020'!M56</f>
        <v>285118.39314647863</v>
      </c>
      <c r="C57" s="22">
        <f>B58</f>
        <v>337122.13311825925</v>
      </c>
      <c r="D57" s="22">
        <f t="shared" ref="D57:M57" si="15">C58</f>
        <v>388293.08185231307</v>
      </c>
      <c r="E57" s="22">
        <f t="shared" si="15"/>
        <v>436832.64292941679</v>
      </c>
      <c r="F57" s="22">
        <f t="shared" si="15"/>
        <v>484555.00705139979</v>
      </c>
      <c r="G57" s="22">
        <f t="shared" si="15"/>
        <v>533247.67433436587</v>
      </c>
      <c r="H57" s="22">
        <f t="shared" si="15"/>
        <v>583063.41606299975</v>
      </c>
      <c r="I57" s="22">
        <f t="shared" si="15"/>
        <v>634145.51529376372</v>
      </c>
      <c r="J57" s="22">
        <f t="shared" si="15"/>
        <v>685306.12845429243</v>
      </c>
      <c r="K57" s="22">
        <f t="shared" si="15"/>
        <v>736690.13681476528</v>
      </c>
      <c r="L57" s="22">
        <f t="shared" si="15"/>
        <v>787878.09184081457</v>
      </c>
      <c r="M57" s="22">
        <f t="shared" si="15"/>
        <v>835805.41590878204</v>
      </c>
    </row>
    <row r="58" spans="1:15" x14ac:dyDescent="0.2">
      <c r="A58" s="7" t="s">
        <v>42</v>
      </c>
      <c r="B58" s="26">
        <f>B57+B54</f>
        <v>337122.13311825925</v>
      </c>
      <c r="C58" s="26">
        <f>C57+C54</f>
        <v>388293.08185231307</v>
      </c>
      <c r="D58" s="26">
        <f t="shared" ref="D58:M58" si="16">D57+D54</f>
        <v>436832.64292941679</v>
      </c>
      <c r="E58" s="26">
        <f t="shared" si="16"/>
        <v>484555.00705139979</v>
      </c>
      <c r="F58" s="26">
        <f t="shared" si="16"/>
        <v>533247.67433436587</v>
      </c>
      <c r="G58" s="26">
        <f t="shared" si="16"/>
        <v>583063.41606299975</v>
      </c>
      <c r="H58" s="26">
        <f t="shared" si="16"/>
        <v>634145.51529376372</v>
      </c>
      <c r="I58" s="26">
        <f t="shared" si="16"/>
        <v>685306.12845429243</v>
      </c>
      <c r="J58" s="26">
        <f t="shared" si="16"/>
        <v>736690.13681476528</v>
      </c>
      <c r="K58" s="26">
        <f t="shared" si="16"/>
        <v>787878.09184081457</v>
      </c>
      <c r="L58" s="26">
        <f t="shared" si="16"/>
        <v>835805.41590878204</v>
      </c>
      <c r="M58" s="26">
        <f t="shared" si="16"/>
        <v>854268.58992331987</v>
      </c>
    </row>
    <row r="59" spans="1:15" x14ac:dyDescent="0.2">
      <c r="A59" s="7"/>
      <c r="B59" s="21"/>
      <c r="C59" s="21"/>
      <c r="D59" s="21"/>
      <c r="E59" s="21"/>
      <c r="F59" s="21"/>
      <c r="G59" s="21"/>
      <c r="H59" s="21"/>
      <c r="I59" s="21"/>
      <c r="J59" s="21"/>
      <c r="K59" s="21"/>
      <c r="L59" s="21"/>
      <c r="M59" s="21"/>
    </row>
    <row r="60" spans="1:15" x14ac:dyDescent="0.2">
      <c r="A60" s="7" t="s">
        <v>47</v>
      </c>
      <c r="B60" s="22">
        <f>'S&amp;TVA Q4 2020'!M59</f>
        <v>-39106.0901464786</v>
      </c>
      <c r="C60" s="22">
        <f>B61</f>
        <v>-46756.726784925471</v>
      </c>
      <c r="D60" s="22">
        <f t="shared" ref="D60:M60" si="17">C61</f>
        <v>-54649.546185645937</v>
      </c>
      <c r="E60" s="22">
        <f t="shared" si="17"/>
        <v>-62385.695929416295</v>
      </c>
      <c r="F60" s="22">
        <f t="shared" si="17"/>
        <v>-70155.71671806596</v>
      </c>
      <c r="G60" s="22">
        <f>F61</f>
        <v>-78172.170667698709</v>
      </c>
      <c r="H60" s="22">
        <f t="shared" si="17"/>
        <v>-86941.762062999274</v>
      </c>
      <c r="I60" s="22">
        <f t="shared" si="17"/>
        <v>-95527.697960429869</v>
      </c>
      <c r="J60" s="22">
        <f t="shared" si="17"/>
        <v>-104239.90278762521</v>
      </c>
      <c r="K60" s="22">
        <f t="shared" si="17"/>
        <v>-113275.76981476478</v>
      </c>
      <c r="L60" s="22">
        <f t="shared" si="17"/>
        <v>-121400.10150748068</v>
      </c>
      <c r="M60" s="22">
        <f t="shared" si="17"/>
        <v>-129446.74824211487</v>
      </c>
    </row>
    <row r="61" spans="1:15" x14ac:dyDescent="0.2">
      <c r="A61" s="7" t="s">
        <v>48</v>
      </c>
      <c r="B61" s="26">
        <f>B60+B55</f>
        <v>-46756.726784925471</v>
      </c>
      <c r="C61" s="26">
        <f t="shared" ref="C61:M61" si="18">C60+C55</f>
        <v>-54649.546185645937</v>
      </c>
      <c r="D61" s="26">
        <f t="shared" si="18"/>
        <v>-62385.695929416295</v>
      </c>
      <c r="E61" s="26">
        <f t="shared" si="18"/>
        <v>-70155.71671806596</v>
      </c>
      <c r="F61" s="26">
        <f t="shared" si="18"/>
        <v>-78172.170667698709</v>
      </c>
      <c r="G61" s="26">
        <f>G60+G55</f>
        <v>-86941.762062999274</v>
      </c>
      <c r="H61" s="26">
        <f t="shared" si="18"/>
        <v>-95527.697960429869</v>
      </c>
      <c r="I61" s="26">
        <f t="shared" si="18"/>
        <v>-104239.90278762521</v>
      </c>
      <c r="J61" s="26">
        <f t="shared" si="18"/>
        <v>-113275.76981476478</v>
      </c>
      <c r="K61" s="26">
        <f t="shared" si="18"/>
        <v>-121400.10150748068</v>
      </c>
      <c r="L61" s="26">
        <f t="shared" si="18"/>
        <v>-129446.74824211487</v>
      </c>
      <c r="M61" s="26">
        <f t="shared" si="18"/>
        <v>-136473.55992331941</v>
      </c>
    </row>
    <row r="62" spans="1:15" x14ac:dyDescent="0.2">
      <c r="A62" s="7"/>
      <c r="B62" s="21"/>
      <c r="C62" s="21"/>
      <c r="D62" s="21"/>
      <c r="E62" s="21"/>
      <c r="F62" s="21"/>
      <c r="G62" s="21"/>
      <c r="H62" s="21"/>
      <c r="I62" s="21"/>
      <c r="J62" s="21"/>
      <c r="K62" s="21"/>
      <c r="L62" s="21"/>
      <c r="M62" s="21"/>
    </row>
    <row r="63" spans="1:15" s="9" customFormat="1" x14ac:dyDescent="0.2">
      <c r="A63" s="8" t="s">
        <v>344</v>
      </c>
      <c r="B63" s="23" t="e">
        <f>#REF!</f>
        <v>#REF!</v>
      </c>
      <c r="C63" s="23" t="e">
        <f>#REF!</f>
        <v>#REF!</v>
      </c>
      <c r="D63" s="23" t="e">
        <f>#REF!</f>
        <v>#REF!</v>
      </c>
      <c r="E63" s="23" t="e">
        <f>#REF!</f>
        <v>#REF!</v>
      </c>
      <c r="F63" s="23" t="e">
        <f>#REF!</f>
        <v>#REF!</v>
      </c>
      <c r="G63" s="23" t="e">
        <f>#REF!</f>
        <v>#REF!</v>
      </c>
      <c r="H63" s="23" t="e">
        <f>#REF!</f>
        <v>#REF!</v>
      </c>
      <c r="I63" s="23" t="e">
        <f>#REF!</f>
        <v>#REF!</v>
      </c>
      <c r="J63" s="23" t="e">
        <f>#REF!</f>
        <v>#REF!</v>
      </c>
      <c r="K63" s="23" t="e">
        <f>#REF!</f>
        <v>#REF!</v>
      </c>
      <c r="L63" s="23" t="e">
        <f>#REF!</f>
        <v>#REF!</v>
      </c>
      <c r="M63" s="23" t="e">
        <f>#REF!</f>
        <v>#REF!</v>
      </c>
    </row>
    <row r="64" spans="1:15" s="9" customFormat="1" x14ac:dyDescent="0.2">
      <c r="A64" s="8"/>
      <c r="B64" s="23"/>
      <c r="C64" s="23"/>
      <c r="D64" s="23"/>
      <c r="E64" s="23"/>
      <c r="F64" s="23"/>
      <c r="G64" s="23"/>
      <c r="H64" s="23"/>
      <c r="I64" s="23"/>
      <c r="J64" s="23"/>
      <c r="K64" s="23"/>
      <c r="L64" s="23"/>
      <c r="M64" s="23"/>
    </row>
    <row r="65" spans="1:14" x14ac:dyDescent="0.2">
      <c r="A65" s="10" t="s">
        <v>49</v>
      </c>
      <c r="B65" s="22" t="e">
        <f>B57*B63/12</f>
        <v>#REF!</v>
      </c>
      <c r="C65" s="22" t="e">
        <f>C57*C63/12</f>
        <v>#REF!</v>
      </c>
      <c r="D65" s="22" t="e">
        <f>D57*D63/12</f>
        <v>#REF!</v>
      </c>
      <c r="E65" s="22" t="e">
        <f t="shared" ref="E65:M65" si="19">E57*E63/12</f>
        <v>#REF!</v>
      </c>
      <c r="F65" s="22" t="e">
        <f t="shared" si="19"/>
        <v>#REF!</v>
      </c>
      <c r="G65" s="22" t="e">
        <f t="shared" si="19"/>
        <v>#REF!</v>
      </c>
      <c r="H65" s="22" t="e">
        <f t="shared" si="19"/>
        <v>#REF!</v>
      </c>
      <c r="I65" s="22" t="e">
        <f t="shared" si="19"/>
        <v>#REF!</v>
      </c>
      <c r="J65" s="22" t="e">
        <f t="shared" si="19"/>
        <v>#REF!</v>
      </c>
      <c r="K65" s="22" t="e">
        <f t="shared" si="19"/>
        <v>#REF!</v>
      </c>
      <c r="L65" s="22" t="e">
        <f t="shared" si="19"/>
        <v>#REF!</v>
      </c>
      <c r="M65" s="22" t="e">
        <f t="shared" si="19"/>
        <v>#REF!</v>
      </c>
      <c r="N65" s="25" t="e">
        <f>SUM(B65:M65)</f>
        <v>#REF!</v>
      </c>
    </row>
    <row r="66" spans="1:14" x14ac:dyDescent="0.2">
      <c r="A66" s="10" t="s">
        <v>50</v>
      </c>
      <c r="B66" s="22" t="e">
        <f>B60*B63/12</f>
        <v>#REF!</v>
      </c>
      <c r="C66" s="22" t="e">
        <f t="shared" ref="C66:M66" si="20">C60*C63/12</f>
        <v>#REF!</v>
      </c>
      <c r="D66" s="22" t="e">
        <f t="shared" si="20"/>
        <v>#REF!</v>
      </c>
      <c r="E66" s="22" t="e">
        <f t="shared" si="20"/>
        <v>#REF!</v>
      </c>
      <c r="F66" s="22" t="e">
        <f t="shared" si="20"/>
        <v>#REF!</v>
      </c>
      <c r="G66" s="22" t="e">
        <f t="shared" si="20"/>
        <v>#REF!</v>
      </c>
      <c r="H66" s="22" t="e">
        <f t="shared" si="20"/>
        <v>#REF!</v>
      </c>
      <c r="I66" s="22" t="e">
        <f t="shared" si="20"/>
        <v>#REF!</v>
      </c>
      <c r="J66" s="22" t="e">
        <f t="shared" si="20"/>
        <v>#REF!</v>
      </c>
      <c r="K66" s="22" t="e">
        <f t="shared" si="20"/>
        <v>#REF!</v>
      </c>
      <c r="L66" s="22" t="e">
        <f t="shared" si="20"/>
        <v>#REF!</v>
      </c>
      <c r="M66" s="22" t="e">
        <f t="shared" si="20"/>
        <v>#REF!</v>
      </c>
      <c r="N66" s="25" t="e">
        <f>SUM(B66:M66)</f>
        <v>#REF!</v>
      </c>
    </row>
    <row r="67" spans="1:14" x14ac:dyDescent="0.2">
      <c r="A67" s="10"/>
      <c r="B67" s="22"/>
      <c r="C67" s="22"/>
      <c r="D67" s="22"/>
      <c r="E67" s="22"/>
      <c r="F67" s="22"/>
      <c r="G67" s="22"/>
      <c r="H67" s="22"/>
      <c r="I67" s="22"/>
      <c r="J67" s="22"/>
      <c r="K67" s="22"/>
      <c r="L67" s="22"/>
      <c r="M67" s="22"/>
    </row>
    <row r="68" spans="1:14" x14ac:dyDescent="0.2">
      <c r="A68" s="17" t="s">
        <v>51</v>
      </c>
      <c r="B68" s="21">
        <f>'S&amp;TVA Q4 2020'!M67</f>
        <v>0</v>
      </c>
      <c r="C68" s="21" t="e">
        <f>B69</f>
        <v>#REF!</v>
      </c>
      <c r="D68" s="21" t="e">
        <f t="shared" ref="D68:M68" si="21">C69</f>
        <v>#REF!</v>
      </c>
      <c r="E68" s="21" t="e">
        <f t="shared" si="21"/>
        <v>#REF!</v>
      </c>
      <c r="F68" s="21" t="e">
        <f t="shared" si="21"/>
        <v>#REF!</v>
      </c>
      <c r="G68" s="21" t="e">
        <f t="shared" si="21"/>
        <v>#REF!</v>
      </c>
      <c r="H68" s="21" t="e">
        <f t="shared" si="21"/>
        <v>#REF!</v>
      </c>
      <c r="I68" s="21" t="e">
        <f t="shared" si="21"/>
        <v>#REF!</v>
      </c>
      <c r="J68" s="21" t="e">
        <f t="shared" si="21"/>
        <v>#REF!</v>
      </c>
      <c r="K68" s="21" t="e">
        <f t="shared" si="21"/>
        <v>#REF!</v>
      </c>
      <c r="L68" s="21" t="e">
        <f t="shared" si="21"/>
        <v>#REF!</v>
      </c>
      <c r="M68" s="21" t="e">
        <f t="shared" si="21"/>
        <v>#REF!</v>
      </c>
    </row>
    <row r="69" spans="1:14" x14ac:dyDescent="0.2">
      <c r="A69" s="17" t="s">
        <v>52</v>
      </c>
      <c r="B69" s="26" t="e">
        <f>SUM(B65,B68)</f>
        <v>#REF!</v>
      </c>
      <c r="C69" s="26" t="e">
        <f>SUM(C65,C68)</f>
        <v>#REF!</v>
      </c>
      <c r="D69" s="26" t="e">
        <f t="shared" ref="D69:M69" si="22">SUM(D65,D68)</f>
        <v>#REF!</v>
      </c>
      <c r="E69" s="26" t="e">
        <f t="shared" si="22"/>
        <v>#REF!</v>
      </c>
      <c r="F69" s="26" t="e">
        <f t="shared" si="22"/>
        <v>#REF!</v>
      </c>
      <c r="G69" s="26" t="e">
        <f t="shared" si="22"/>
        <v>#REF!</v>
      </c>
      <c r="H69" s="26" t="e">
        <f t="shared" si="22"/>
        <v>#REF!</v>
      </c>
      <c r="I69" s="26" t="e">
        <f t="shared" si="22"/>
        <v>#REF!</v>
      </c>
      <c r="J69" s="26" t="e">
        <f t="shared" si="22"/>
        <v>#REF!</v>
      </c>
      <c r="K69" s="26" t="e">
        <f t="shared" si="22"/>
        <v>#REF!</v>
      </c>
      <c r="L69" s="26" t="e">
        <f t="shared" si="22"/>
        <v>#REF!</v>
      </c>
      <c r="M69" s="26" t="e">
        <f t="shared" si="22"/>
        <v>#REF!</v>
      </c>
    </row>
    <row r="70" spans="1:14" x14ac:dyDescent="0.2">
      <c r="A70" s="11"/>
    </row>
    <row r="71" spans="1:14" x14ac:dyDescent="0.2">
      <c r="A71" s="17" t="s">
        <v>53</v>
      </c>
      <c r="B71" s="21">
        <f>'S&amp;TVA Q4 2020'!M70</f>
        <v>0</v>
      </c>
      <c r="C71" s="21" t="e">
        <f>B72</f>
        <v>#REF!</v>
      </c>
      <c r="D71" s="21" t="e">
        <f t="shared" ref="D71:M71" si="23">C72</f>
        <v>#REF!</v>
      </c>
      <c r="E71" s="21" t="e">
        <f t="shared" si="23"/>
        <v>#REF!</v>
      </c>
      <c r="F71" s="21" t="e">
        <f t="shared" si="23"/>
        <v>#REF!</v>
      </c>
      <c r="G71" s="21" t="e">
        <f t="shared" si="23"/>
        <v>#REF!</v>
      </c>
      <c r="H71" s="21" t="e">
        <f t="shared" si="23"/>
        <v>#REF!</v>
      </c>
      <c r="I71" s="21" t="e">
        <f t="shared" si="23"/>
        <v>#REF!</v>
      </c>
      <c r="J71" s="21" t="e">
        <f t="shared" si="23"/>
        <v>#REF!</v>
      </c>
      <c r="K71" s="21" t="e">
        <f t="shared" si="23"/>
        <v>#REF!</v>
      </c>
      <c r="L71" s="21" t="e">
        <f t="shared" si="23"/>
        <v>#REF!</v>
      </c>
      <c r="M71" s="21" t="e">
        <f t="shared" si="23"/>
        <v>#REF!</v>
      </c>
    </row>
    <row r="72" spans="1:14" x14ac:dyDescent="0.2">
      <c r="A72" s="17" t="s">
        <v>54</v>
      </c>
      <c r="B72" s="26" t="e">
        <f>SUM(B66,B71)</f>
        <v>#REF!</v>
      </c>
      <c r="C72" s="26" t="e">
        <f t="shared" ref="C72:M72" si="24">SUM(C66,C71)</f>
        <v>#REF!</v>
      </c>
      <c r="D72" s="26" t="e">
        <f t="shared" si="24"/>
        <v>#REF!</v>
      </c>
      <c r="E72" s="26" t="e">
        <f t="shared" si="24"/>
        <v>#REF!</v>
      </c>
      <c r="F72" s="26" t="e">
        <f t="shared" si="24"/>
        <v>#REF!</v>
      </c>
      <c r="G72" s="26" t="e">
        <f t="shared" si="24"/>
        <v>#REF!</v>
      </c>
      <c r="H72" s="26" t="e">
        <f t="shared" si="24"/>
        <v>#REF!</v>
      </c>
      <c r="I72" s="26" t="e">
        <f t="shared" si="24"/>
        <v>#REF!</v>
      </c>
      <c r="J72" s="26" t="e">
        <f t="shared" si="24"/>
        <v>#REF!</v>
      </c>
      <c r="K72" s="26" t="e">
        <f t="shared" si="24"/>
        <v>#REF!</v>
      </c>
      <c r="L72" s="26" t="e">
        <f t="shared" si="24"/>
        <v>#REF!</v>
      </c>
      <c r="M72" s="26" t="e">
        <f t="shared" si="24"/>
        <v>#REF!</v>
      </c>
    </row>
    <row r="73" spans="1:14" x14ac:dyDescent="0.2">
      <c r="A73" s="11"/>
    </row>
    <row r="74" spans="1:14" x14ac:dyDescent="0.2">
      <c r="A74" s="12" t="s">
        <v>59</v>
      </c>
      <c r="D74" s="39">
        <f>SUM(B54:D54)</f>
        <v>151714.2497829381</v>
      </c>
      <c r="G74" s="39">
        <f>SUM(E54:G54)</f>
        <v>146230.77313358299</v>
      </c>
      <c r="J74" s="39">
        <f>SUM(H54:J54)</f>
        <v>153626.72075176548</v>
      </c>
    </row>
    <row r="75" spans="1:14" x14ac:dyDescent="0.2">
      <c r="A75" s="13" t="s">
        <v>46</v>
      </c>
      <c r="D75" s="39">
        <f>SUM(B55:D55)</f>
        <v>-23279.605782937699</v>
      </c>
      <c r="G75" s="39">
        <f>SUM(E55:G55)</f>
        <v>-24556.066133582994</v>
      </c>
      <c r="J75" s="39">
        <f>SUM(H55:J55)</f>
        <v>-26334.007751765497</v>
      </c>
    </row>
    <row r="76" spans="1:14" x14ac:dyDescent="0.2">
      <c r="A76" s="14"/>
    </row>
    <row r="77" spans="1:14" x14ac:dyDescent="0.2">
      <c r="A77" s="15" t="s">
        <v>60</v>
      </c>
      <c r="D77" s="25" t="e">
        <f>SUM(B65:D65)</f>
        <v>#REF!</v>
      </c>
      <c r="G77" s="25" t="e">
        <f>SUM(E65:G65)</f>
        <v>#REF!</v>
      </c>
      <c r="J77" s="25" t="e">
        <f>SUM(H65:J65)</f>
        <v>#REF!</v>
      </c>
    </row>
    <row r="78" spans="1:14" x14ac:dyDescent="0.2">
      <c r="A78" s="15" t="s">
        <v>61</v>
      </c>
      <c r="D78" s="25" t="e">
        <f>SUM(B66:D66)</f>
        <v>#REF!</v>
      </c>
      <c r="G78" s="25" t="e">
        <f>SUM(E66:G66)</f>
        <v>#REF!</v>
      </c>
      <c r="J78" s="25" t="e">
        <f>SUM(H66:J66)</f>
        <v>#REF!</v>
      </c>
    </row>
    <row r="79" spans="1:14" x14ac:dyDescent="0.2">
      <c r="A79" s="7"/>
    </row>
    <row r="80" spans="1:14" x14ac:dyDescent="0.2">
      <c r="A80" s="7"/>
    </row>
    <row r="81" spans="1:1" x14ac:dyDescent="0.2">
      <c r="A81" s="12"/>
    </row>
    <row r="82" spans="1:1" x14ac:dyDescent="0.2">
      <c r="A82" s="13"/>
    </row>
    <row r="83" spans="1:1" x14ac:dyDescent="0.2">
      <c r="A83" s="14"/>
    </row>
    <row r="84" spans="1:1" x14ac:dyDescent="0.2">
      <c r="A84" s="15"/>
    </row>
    <row r="85" spans="1:1" x14ac:dyDescent="0.2">
      <c r="A85" s="15"/>
    </row>
    <row r="86" spans="1:1" x14ac:dyDescent="0.2">
      <c r="A86" s="7"/>
    </row>
    <row r="87" spans="1:1" x14ac:dyDescent="0.2">
      <c r="A87" s="7"/>
    </row>
    <row r="88" spans="1:1" x14ac:dyDescent="0.2">
      <c r="A88" s="7"/>
    </row>
    <row r="89" spans="1:1" x14ac:dyDescent="0.2">
      <c r="A89" s="7"/>
    </row>
    <row r="90" spans="1:1" x14ac:dyDescent="0.2">
      <c r="A90" s="7"/>
    </row>
    <row r="91" spans="1:1" x14ac:dyDescent="0.2">
      <c r="A91" s="7"/>
    </row>
  </sheetData>
  <pageMargins left="0.70866141732283472" right="0.70866141732283472" top="0.74803149606299213" bottom="0.74803149606299213" header="0.31496062992125984" footer="0.31496062992125984"/>
  <pageSetup orientation="portrait" r:id="rId1"/>
  <headerFooter>
    <oddHeader>&amp;R&amp;"Times New Roman,Regular"&amp;10Filed: 2019-01-31
EB-2018-0336
Exhibit 9
Page &amp;P of &amp;N</oddHeader>
  </headerFooter>
  <ignoredErrors>
    <ignoredError sqref="B57:M59 B62:M62 B60:F60 H60:M60 B61:F61 H61:M61 B64:M66" unlockedFormula="1"/>
  </ignoredError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
  <dimension ref="A1:O89"/>
  <sheetViews>
    <sheetView zoomScale="85" zoomScaleNormal="85" workbookViewId="0">
      <pane xSplit="1" ySplit="5" topLeftCell="B6" activePane="bottomRight" state="frozen"/>
      <selection pane="topRight" activeCell="B1" sqref="B1"/>
      <selection pane="bottomLeft" activeCell="A6" sqref="A6"/>
      <selection pane="bottomRight" activeCell="A61" sqref="A61:XFD74"/>
    </sheetView>
  </sheetViews>
  <sheetFormatPr defaultColWidth="12.42578125" defaultRowHeight="12.75" x14ac:dyDescent="0.2"/>
  <cols>
    <col min="1" max="1" width="52.42578125" style="18" customWidth="1"/>
    <col min="2" max="10" width="12.42578125" style="18" customWidth="1"/>
    <col min="11" max="11" width="13.140625" style="18" bestFit="1" customWidth="1"/>
    <col min="12" max="13" width="12.42578125" style="18" customWidth="1"/>
    <col min="14" max="16384" width="12.42578125" style="18"/>
  </cols>
  <sheetData>
    <row r="1" spans="1:13" x14ac:dyDescent="0.2">
      <c r="A1" s="2" t="s">
        <v>12</v>
      </c>
    </row>
    <row r="2" spans="1:13" x14ac:dyDescent="0.2">
      <c r="A2" s="2" t="s">
        <v>13</v>
      </c>
    </row>
    <row r="3" spans="1:13" s="4" customFormat="1" x14ac:dyDescent="0.2">
      <c r="A3" s="1"/>
      <c r="B3" s="4">
        <v>2020</v>
      </c>
      <c r="C3" s="4">
        <v>2020</v>
      </c>
      <c r="D3" s="4">
        <v>2020</v>
      </c>
      <c r="E3" s="4">
        <v>2020</v>
      </c>
      <c r="F3" s="4">
        <v>2020</v>
      </c>
      <c r="G3" s="4">
        <v>2020</v>
      </c>
      <c r="H3" s="4">
        <v>2020</v>
      </c>
      <c r="I3" s="4">
        <v>2020</v>
      </c>
      <c r="J3" s="4">
        <v>2020</v>
      </c>
      <c r="K3" s="4">
        <v>2020</v>
      </c>
      <c r="L3" s="4">
        <v>2020</v>
      </c>
      <c r="M3" s="4">
        <v>2020</v>
      </c>
    </row>
    <row r="4" spans="1:13" s="3" customFormat="1" x14ac:dyDescent="0.2">
      <c r="A4" s="5"/>
      <c r="B4" s="6" t="s">
        <v>3</v>
      </c>
      <c r="C4" s="6" t="s">
        <v>4</v>
      </c>
      <c r="D4" s="6" t="s">
        <v>5</v>
      </c>
      <c r="E4" s="6" t="s">
        <v>6</v>
      </c>
      <c r="F4" s="6" t="s">
        <v>7</v>
      </c>
      <c r="G4" s="6" t="s">
        <v>8</v>
      </c>
      <c r="H4" s="6" t="s">
        <v>9</v>
      </c>
      <c r="I4" s="6" t="s">
        <v>10</v>
      </c>
      <c r="J4" s="6" t="s">
        <v>11</v>
      </c>
      <c r="K4" s="6" t="s">
        <v>0</v>
      </c>
      <c r="L4" s="6" t="s">
        <v>1</v>
      </c>
      <c r="M4" s="16" t="s">
        <v>2</v>
      </c>
    </row>
    <row r="5" spans="1:13" x14ac:dyDescent="0.2">
      <c r="A5" s="3"/>
    </row>
    <row r="6" spans="1:13" x14ac:dyDescent="0.2">
      <c r="A6" s="3" t="s">
        <v>14</v>
      </c>
    </row>
    <row r="7" spans="1:13" x14ac:dyDescent="0.2">
      <c r="A7" s="3"/>
    </row>
    <row r="8" spans="1:13" x14ac:dyDescent="0.2">
      <c r="A8" s="3" t="s">
        <v>15</v>
      </c>
    </row>
    <row r="9" spans="1:13" x14ac:dyDescent="0.2">
      <c r="A9" s="18" t="s">
        <v>16</v>
      </c>
    </row>
    <row r="10" spans="1:13" x14ac:dyDescent="0.2">
      <c r="A10" s="18" t="s">
        <v>17</v>
      </c>
    </row>
    <row r="11" spans="1:13" x14ac:dyDescent="0.2">
      <c r="A11" s="18" t="s">
        <v>18</v>
      </c>
    </row>
    <row r="12" spans="1:13" x14ac:dyDescent="0.2">
      <c r="A12" s="18" t="s">
        <v>21</v>
      </c>
    </row>
    <row r="13" spans="1:13" x14ac:dyDescent="0.2">
      <c r="A13" s="18" t="s">
        <v>22</v>
      </c>
    </row>
    <row r="14" spans="1:13" x14ac:dyDescent="0.2">
      <c r="A14" s="3"/>
    </row>
    <row r="15" spans="1:13" x14ac:dyDescent="0.2">
      <c r="A15" s="3"/>
    </row>
    <row r="16" spans="1:13" x14ac:dyDescent="0.2">
      <c r="A16" s="3"/>
    </row>
    <row r="17" spans="1:13" x14ac:dyDescent="0.2">
      <c r="A17" s="3" t="s">
        <v>15</v>
      </c>
    </row>
    <row r="18" spans="1:13" x14ac:dyDescent="0.2">
      <c r="A18" s="18" t="s">
        <v>16</v>
      </c>
      <c r="F18" s="18">
        <v>3541.67</v>
      </c>
      <c r="G18" s="27">
        <v>7083.33</v>
      </c>
      <c r="H18" s="18">
        <v>7083.33</v>
      </c>
      <c r="I18" s="18">
        <v>7083.33</v>
      </c>
      <c r="J18" s="18">
        <v>7083.33</v>
      </c>
      <c r="K18" s="18">
        <v>7083.33</v>
      </c>
      <c r="L18" s="18">
        <v>7083.33</v>
      </c>
      <c r="M18" s="18">
        <v>7083.33</v>
      </c>
    </row>
    <row r="19" spans="1:13" x14ac:dyDescent="0.2">
      <c r="A19" s="18" t="s">
        <v>17</v>
      </c>
      <c r="F19" s="18">
        <v>71.62</v>
      </c>
      <c r="G19" s="27">
        <v>135</v>
      </c>
      <c r="H19" s="18">
        <v>139.5</v>
      </c>
      <c r="I19" s="18">
        <v>105</v>
      </c>
      <c r="J19" s="18">
        <v>90</v>
      </c>
      <c r="L19" s="18">
        <v>11.2</v>
      </c>
    </row>
    <row r="20" spans="1:13" x14ac:dyDescent="0.2">
      <c r="A20" s="18" t="s">
        <v>21</v>
      </c>
      <c r="G20" s="27"/>
      <c r="I20" s="18">
        <v>399.75</v>
      </c>
    </row>
    <row r="21" spans="1:13" x14ac:dyDescent="0.2">
      <c r="G21" s="27"/>
    </row>
    <row r="22" spans="1:13" x14ac:dyDescent="0.2">
      <c r="G22" s="27"/>
    </row>
    <row r="23" spans="1:13" x14ac:dyDescent="0.2">
      <c r="A23" s="3" t="s">
        <v>20</v>
      </c>
      <c r="G23" s="27"/>
    </row>
    <row r="24" spans="1:13" x14ac:dyDescent="0.2">
      <c r="A24" s="17" t="s">
        <v>26</v>
      </c>
      <c r="G24" s="27">
        <v>1798.84</v>
      </c>
      <c r="H24" s="18">
        <v>1998.71</v>
      </c>
      <c r="I24" s="18">
        <v>1998.71</v>
      </c>
      <c r="J24" s="18">
        <v>1998.71</v>
      </c>
      <c r="K24" s="18">
        <v>1998.71</v>
      </c>
      <c r="L24" s="18">
        <v>1199.23</v>
      </c>
      <c r="M24" s="18">
        <v>1998.71</v>
      </c>
    </row>
    <row r="25" spans="1:13" x14ac:dyDescent="0.2">
      <c r="A25" s="17" t="s">
        <v>27</v>
      </c>
      <c r="G25" s="27"/>
      <c r="L25" s="18">
        <v>799.48</v>
      </c>
    </row>
    <row r="26" spans="1:13" x14ac:dyDescent="0.2">
      <c r="A26" s="17" t="s">
        <v>28</v>
      </c>
      <c r="G26" s="27"/>
      <c r="L26" s="18">
        <v>8799.9699999999993</v>
      </c>
    </row>
    <row r="27" spans="1:13" x14ac:dyDescent="0.2">
      <c r="A27" s="17" t="s">
        <v>29</v>
      </c>
      <c r="G27" s="27">
        <v>13199.95</v>
      </c>
      <c r="H27" s="18">
        <v>14666.61</v>
      </c>
      <c r="I27" s="18">
        <v>14666.61</v>
      </c>
      <c r="J27" s="18">
        <v>14666.61</v>
      </c>
      <c r="K27" s="18">
        <v>14666.61</v>
      </c>
      <c r="L27" s="18">
        <v>15707.9</v>
      </c>
      <c r="M27" s="18">
        <v>39271.949999999997</v>
      </c>
    </row>
    <row r="28" spans="1:13" x14ac:dyDescent="0.2">
      <c r="A28" s="17" t="s">
        <v>23</v>
      </c>
      <c r="G28" s="27"/>
      <c r="I28" s="18">
        <v>83.91</v>
      </c>
      <c r="J28" s="18">
        <v>93.71</v>
      </c>
      <c r="K28" s="18">
        <v>135.06</v>
      </c>
      <c r="L28" s="18">
        <v>88.58</v>
      </c>
      <c r="M28" s="18">
        <v>146.78</v>
      </c>
    </row>
    <row r="29" spans="1:13" x14ac:dyDescent="0.2">
      <c r="A29" s="17" t="s">
        <v>23</v>
      </c>
      <c r="G29" s="27"/>
      <c r="L29" s="18">
        <v>56.29</v>
      </c>
    </row>
    <row r="30" spans="1:13" x14ac:dyDescent="0.2">
      <c r="A30" s="17" t="s">
        <v>24</v>
      </c>
      <c r="G30" s="27"/>
    </row>
    <row r="31" spans="1:13" x14ac:dyDescent="0.2">
      <c r="A31" s="17" t="s">
        <v>25</v>
      </c>
      <c r="G31" s="27"/>
      <c r="K31" s="117">
        <f>5191000-5191000</f>
        <v>0</v>
      </c>
    </row>
    <row r="32" spans="1:13" x14ac:dyDescent="0.2">
      <c r="A32" s="32" t="s">
        <v>19</v>
      </c>
      <c r="F32" s="27">
        <f t="shared" ref="F32:M32" si="0">ROUND(SUM(F18:F31)*0.13,2)</f>
        <v>469.73</v>
      </c>
      <c r="G32" s="27">
        <f t="shared" si="0"/>
        <v>2888.23</v>
      </c>
      <c r="H32" s="27">
        <f t="shared" si="0"/>
        <v>3105.46</v>
      </c>
      <c r="I32" s="27">
        <f t="shared" si="0"/>
        <v>3163.85</v>
      </c>
      <c r="J32" s="27">
        <f t="shared" si="0"/>
        <v>3111.21</v>
      </c>
      <c r="K32" s="27">
        <f t="shared" si="0"/>
        <v>3104.88</v>
      </c>
      <c r="L32" s="27">
        <f t="shared" si="0"/>
        <v>4386.9799999999996</v>
      </c>
      <c r="M32" s="27">
        <f t="shared" si="0"/>
        <v>6305.1</v>
      </c>
    </row>
    <row r="33" spans="1:14" x14ac:dyDescent="0.2">
      <c r="A33" s="29" t="s">
        <v>35</v>
      </c>
      <c r="B33" s="34"/>
      <c r="C33" s="34"/>
      <c r="D33" s="34"/>
      <c r="E33" s="35"/>
      <c r="F33" s="36">
        <f>SUM(F18:F32)</f>
        <v>4083.02</v>
      </c>
      <c r="G33" s="36">
        <f t="shared" ref="G33:L33" si="1">SUM(G18:G32)</f>
        <v>25105.350000000002</v>
      </c>
      <c r="H33" s="36">
        <f t="shared" si="1"/>
        <v>26993.61</v>
      </c>
      <c r="I33" s="36">
        <f t="shared" si="1"/>
        <v>27501.16</v>
      </c>
      <c r="J33" s="36">
        <f t="shared" si="1"/>
        <v>27043.57</v>
      </c>
      <c r="K33" s="36">
        <f t="shared" si="1"/>
        <v>26988.590000000004</v>
      </c>
      <c r="L33" s="36">
        <f t="shared" si="1"/>
        <v>38132.960000000006</v>
      </c>
      <c r="M33" s="36">
        <f>SUM(M18:M32)</f>
        <v>54805.869999999995</v>
      </c>
    </row>
    <row r="34" spans="1:14" x14ac:dyDescent="0.2">
      <c r="A34" s="29" t="s">
        <v>38</v>
      </c>
      <c r="B34" s="37">
        <f>SUM(B18:B20,B24:B30)</f>
        <v>0</v>
      </c>
      <c r="C34" s="37">
        <f t="shared" ref="C34:E34" si="2">SUM(C18:C20,C24:C30)</f>
        <v>0</v>
      </c>
      <c r="D34" s="37">
        <f t="shared" si="2"/>
        <v>0</v>
      </c>
      <c r="E34" s="37">
        <f t="shared" si="2"/>
        <v>0</v>
      </c>
      <c r="F34" s="37">
        <f t="shared" ref="F34:L34" si="3">SUM(F10:F20,F24:F30)</f>
        <v>3613.29</v>
      </c>
      <c r="G34" s="37">
        <f t="shared" si="3"/>
        <v>22217.120000000003</v>
      </c>
      <c r="H34" s="37">
        <f t="shared" si="3"/>
        <v>23888.15</v>
      </c>
      <c r="I34" s="37">
        <f>SUM(I10:I20,I24:I30)</f>
        <v>24337.31</v>
      </c>
      <c r="J34" s="37">
        <f t="shared" si="3"/>
        <v>23932.36</v>
      </c>
      <c r="K34" s="37">
        <f t="shared" si="3"/>
        <v>23883.710000000003</v>
      </c>
      <c r="L34" s="37">
        <f t="shared" si="3"/>
        <v>33745.980000000003</v>
      </c>
      <c r="M34" s="37">
        <f>SUM(M10:M20,M24:M30)</f>
        <v>48500.77</v>
      </c>
    </row>
    <row r="35" spans="1:14" x14ac:dyDescent="0.2">
      <c r="A35" s="31" t="s">
        <v>37</v>
      </c>
      <c r="B35" s="19"/>
      <c r="C35" s="19"/>
      <c r="D35" s="19"/>
      <c r="E35" s="19"/>
      <c r="F35" s="19"/>
      <c r="G35" s="19"/>
      <c r="H35" s="19"/>
      <c r="I35" s="19">
        <f>Allocation!J10</f>
        <v>4682.5599999999995</v>
      </c>
      <c r="J35" s="24">
        <f>Allocation!K10</f>
        <v>4916.24</v>
      </c>
      <c r="K35" s="24">
        <f>Allocation!L10</f>
        <v>5883.5599999999995</v>
      </c>
      <c r="L35" s="24">
        <f>Allocation!M10</f>
        <v>5855.32</v>
      </c>
      <c r="M35" s="24">
        <f>Allocation!N10</f>
        <v>6021.16</v>
      </c>
    </row>
    <row r="36" spans="1:14" x14ac:dyDescent="0.2">
      <c r="A36" s="31" t="s">
        <v>36</v>
      </c>
      <c r="B36" s="19">
        <v>9898.75</v>
      </c>
      <c r="C36" s="19">
        <v>9898.75</v>
      </c>
      <c r="D36" s="19">
        <v>9898.75</v>
      </c>
      <c r="E36" s="19">
        <v>9898.75</v>
      </c>
      <c r="F36" s="19">
        <v>9898.75</v>
      </c>
      <c r="G36" s="19">
        <v>9898.75</v>
      </c>
      <c r="H36" s="19">
        <v>9898.75</v>
      </c>
      <c r="I36" s="19">
        <v>9898.75</v>
      </c>
      <c r="J36" s="19">
        <v>9898.75</v>
      </c>
      <c r="K36" s="19">
        <v>9898.75</v>
      </c>
      <c r="L36" s="19">
        <v>9898.75</v>
      </c>
      <c r="M36" s="19">
        <v>9898.75</v>
      </c>
    </row>
    <row r="37" spans="1:14" x14ac:dyDescent="0.2">
      <c r="A37" s="31"/>
      <c r="B37" s="33">
        <f>SUM(B34:B36)</f>
        <v>9898.75</v>
      </c>
      <c r="C37" s="33">
        <f t="shared" ref="C37:M37" si="4">SUM(C34:C36)</f>
        <v>9898.75</v>
      </c>
      <c r="D37" s="33">
        <f t="shared" si="4"/>
        <v>9898.75</v>
      </c>
      <c r="E37" s="33">
        <f t="shared" si="4"/>
        <v>9898.75</v>
      </c>
      <c r="F37" s="33">
        <f t="shared" si="4"/>
        <v>13512.04</v>
      </c>
      <c r="G37" s="33">
        <f t="shared" si="4"/>
        <v>32115.870000000003</v>
      </c>
      <c r="H37" s="33">
        <f t="shared" si="4"/>
        <v>33786.9</v>
      </c>
      <c r="I37" s="33">
        <f t="shared" si="4"/>
        <v>38918.620000000003</v>
      </c>
      <c r="J37" s="33">
        <f t="shared" si="4"/>
        <v>38747.35</v>
      </c>
      <c r="K37" s="33">
        <f t="shared" si="4"/>
        <v>39666.020000000004</v>
      </c>
      <c r="L37" s="33">
        <f t="shared" si="4"/>
        <v>49500.05</v>
      </c>
      <c r="M37" s="33">
        <f t="shared" si="4"/>
        <v>64420.679999999993</v>
      </c>
      <c r="N37" s="39">
        <f>SUM(B37:M37)</f>
        <v>350262.52999999997</v>
      </c>
    </row>
    <row r="38" spans="1:14" x14ac:dyDescent="0.2">
      <c r="A38" s="31"/>
      <c r="B38" s="19"/>
      <c r="C38" s="19"/>
      <c r="D38" s="19"/>
      <c r="E38" s="19"/>
      <c r="F38" s="19"/>
      <c r="G38" s="19"/>
      <c r="H38" s="19"/>
      <c r="I38" s="19"/>
      <c r="J38" s="19"/>
      <c r="K38" s="19"/>
      <c r="L38" s="19"/>
      <c r="M38" s="19"/>
    </row>
    <row r="39" spans="1:14" x14ac:dyDescent="0.2">
      <c r="A39" s="17" t="s">
        <v>39</v>
      </c>
      <c r="B39" s="118">
        <f>Allocation!C3+Allocation!C8+B36</f>
        <v>9898.75</v>
      </c>
      <c r="C39" s="118">
        <f>Allocation!D3+Allocation!D8+C36</f>
        <v>9898.75</v>
      </c>
      <c r="D39" s="118">
        <f>Allocation!E3+Allocation!E8+D36</f>
        <v>9898.75</v>
      </c>
      <c r="E39" s="118">
        <f>Allocation!F3+Allocation!F8+E36</f>
        <v>9898.75</v>
      </c>
      <c r="F39" s="118">
        <f>Allocation!G3+Allocation!G8+F36</f>
        <v>13512.036</v>
      </c>
      <c r="G39" s="118">
        <f>Allocation!H3+Allocation!H8+G36</f>
        <v>32115.868999999999</v>
      </c>
      <c r="H39" s="118">
        <f>Allocation!I3+Allocation!I8+H36</f>
        <v>33786.9</v>
      </c>
      <c r="I39" s="118">
        <f>Allocation!J3+Allocation!J8+I36</f>
        <v>30193.807345660614</v>
      </c>
      <c r="J39" s="118">
        <f>Allocation!K3+Allocation!K8+J36</f>
        <v>29155.0524434414</v>
      </c>
      <c r="K39" s="118">
        <f>Allocation!L3+Allocation!L8+K36</f>
        <v>29153.447175453464</v>
      </c>
      <c r="L39" s="118">
        <f>Allocation!M3+Allocation!M8+L36</f>
        <v>35344.854399992335</v>
      </c>
      <c r="M39" s="118">
        <f>Allocation!N3+Allocation!N8+M36</f>
        <v>44217.626781930798</v>
      </c>
    </row>
    <row r="40" spans="1:14" x14ac:dyDescent="0.2">
      <c r="A40" s="17" t="s">
        <v>40</v>
      </c>
      <c r="B40" s="19">
        <f>Allocation!C4+Allocation!C9</f>
        <v>0</v>
      </c>
      <c r="C40" s="19">
        <f>Allocation!D4+Allocation!D9</f>
        <v>0</v>
      </c>
      <c r="D40" s="19">
        <f>Allocation!E4+Allocation!E9</f>
        <v>0</v>
      </c>
      <c r="E40" s="19">
        <f>Allocation!F4+Allocation!F9</f>
        <v>0</v>
      </c>
      <c r="F40" s="19">
        <f>Allocation!G4+Allocation!G9</f>
        <v>0</v>
      </c>
      <c r="G40" s="19">
        <f>Allocation!H4+Allocation!H9</f>
        <v>0</v>
      </c>
      <c r="H40" s="19">
        <f>Allocation!I4+Allocation!I9</f>
        <v>0</v>
      </c>
      <c r="I40" s="19">
        <f>Allocation!J4+Allocation!J9</f>
        <v>8724.8166543393836</v>
      </c>
      <c r="J40" s="19">
        <f>Allocation!K4+Allocation!K9</f>
        <v>9592.2995565586007</v>
      </c>
      <c r="K40" s="19">
        <f>Allocation!L4+Allocation!L9</f>
        <v>10512.570824546536</v>
      </c>
      <c r="L40" s="19">
        <f>Allocation!M4+Allocation!M9</f>
        <v>14155.176600007668</v>
      </c>
      <c r="M40" s="19">
        <f>Allocation!N4+Allocation!N9</f>
        <v>20203.05621806921</v>
      </c>
    </row>
    <row r="41" spans="1:14" x14ac:dyDescent="0.2">
      <c r="A41" s="17"/>
      <c r="B41" s="33">
        <f>SUM(B39:B40)</f>
        <v>9898.75</v>
      </c>
      <c r="C41" s="33">
        <f t="shared" ref="C41:M41" si="5">SUM(C39:C40)</f>
        <v>9898.75</v>
      </c>
      <c r="D41" s="33">
        <f t="shared" si="5"/>
        <v>9898.75</v>
      </c>
      <c r="E41" s="33">
        <f t="shared" si="5"/>
        <v>9898.75</v>
      </c>
      <c r="F41" s="33">
        <f t="shared" si="5"/>
        <v>13512.036</v>
      </c>
      <c r="G41" s="33">
        <f t="shared" si="5"/>
        <v>32115.868999999999</v>
      </c>
      <c r="H41" s="33">
        <f t="shared" si="5"/>
        <v>33786.9</v>
      </c>
      <c r="I41" s="33">
        <f t="shared" si="5"/>
        <v>38918.623999999996</v>
      </c>
      <c r="J41" s="33">
        <f t="shared" si="5"/>
        <v>38747.351999999999</v>
      </c>
      <c r="K41" s="33">
        <f t="shared" si="5"/>
        <v>39666.017999999996</v>
      </c>
      <c r="L41" s="33">
        <f t="shared" si="5"/>
        <v>49500.031000000003</v>
      </c>
      <c r="M41" s="33">
        <f t="shared" si="5"/>
        <v>64420.683000000005</v>
      </c>
    </row>
    <row r="42" spans="1:14" x14ac:dyDescent="0.2">
      <c r="A42" s="17"/>
      <c r="B42" s="344">
        <f>B37-B41</f>
        <v>0</v>
      </c>
      <c r="C42" s="344">
        <f t="shared" ref="C42:M42" si="6">C37-C41</f>
        <v>0</v>
      </c>
      <c r="D42" s="344">
        <f t="shared" si="6"/>
        <v>0</v>
      </c>
      <c r="E42" s="344">
        <f t="shared" si="6"/>
        <v>0</v>
      </c>
      <c r="F42" s="344">
        <f t="shared" si="6"/>
        <v>4.0000000008149073E-3</v>
      </c>
      <c r="G42" s="344">
        <f t="shared" si="6"/>
        <v>1.0000000038417056E-3</v>
      </c>
      <c r="H42" s="344">
        <f t="shared" si="6"/>
        <v>0</v>
      </c>
      <c r="I42" s="344">
        <f t="shared" si="6"/>
        <v>-3.9999999935389496E-3</v>
      </c>
      <c r="J42" s="344">
        <f t="shared" si="6"/>
        <v>-2.0000000004074536E-3</v>
      </c>
      <c r="K42" s="344">
        <f t="shared" si="6"/>
        <v>2.0000000076834112E-3</v>
      </c>
      <c r="L42" s="344">
        <f t="shared" si="6"/>
        <v>1.9000000000232831E-2</v>
      </c>
      <c r="M42" s="344">
        <f t="shared" si="6"/>
        <v>-3.0000000115251169E-3</v>
      </c>
    </row>
    <row r="43" spans="1:14" x14ac:dyDescent="0.2">
      <c r="A43" s="29" t="s">
        <v>34</v>
      </c>
      <c r="B43" s="19"/>
      <c r="C43" s="19"/>
      <c r="D43" s="19"/>
      <c r="E43" s="20"/>
      <c r="F43" s="24"/>
      <c r="G43" s="24"/>
      <c r="H43" s="24"/>
      <c r="I43" s="24"/>
      <c r="J43" s="24"/>
      <c r="K43" s="24"/>
      <c r="L43" s="24"/>
      <c r="M43" s="24"/>
    </row>
    <row r="44" spans="1:14" x14ac:dyDescent="0.2">
      <c r="A44" s="38" t="s">
        <v>30</v>
      </c>
      <c r="B44" s="19"/>
      <c r="C44" s="19"/>
      <c r="D44" s="19"/>
      <c r="E44" s="20"/>
      <c r="F44" s="24"/>
      <c r="G44" s="24"/>
      <c r="H44" s="24"/>
      <c r="I44" s="24"/>
      <c r="J44" s="27">
        <v>7687.74</v>
      </c>
      <c r="K44" s="27">
        <f>12379.65-17.54</f>
        <v>12362.109999999999</v>
      </c>
      <c r="L44" s="27">
        <f>-12.91+12367.5</f>
        <v>12354.59</v>
      </c>
      <c r="M44" s="27">
        <v>12367.12</v>
      </c>
    </row>
    <row r="45" spans="1:14" x14ac:dyDescent="0.2">
      <c r="A45" s="38" t="s">
        <v>32</v>
      </c>
      <c r="B45" s="19"/>
      <c r="C45" s="19"/>
      <c r="D45" s="19"/>
      <c r="E45" s="20"/>
      <c r="F45" s="24"/>
      <c r="G45" s="24"/>
      <c r="H45" s="24"/>
      <c r="I45" s="24"/>
      <c r="J45" s="27">
        <v>9877.2099999999991</v>
      </c>
      <c r="K45" s="27">
        <f>15905.36-22.54</f>
        <v>15882.82</v>
      </c>
      <c r="L45" s="27">
        <f>-16.1+15889.26</f>
        <v>15873.16</v>
      </c>
      <c r="M45" s="27">
        <v>15889.26</v>
      </c>
    </row>
    <row r="46" spans="1:14" x14ac:dyDescent="0.2">
      <c r="A46" s="17" t="s">
        <v>43</v>
      </c>
      <c r="B46" s="33">
        <f>SUM(B44:B45)</f>
        <v>0</v>
      </c>
      <c r="C46" s="33">
        <f t="shared" ref="C46:M46" si="7">SUM(C44:C45)</f>
        <v>0</v>
      </c>
      <c r="D46" s="33">
        <f t="shared" si="7"/>
        <v>0</v>
      </c>
      <c r="E46" s="33">
        <f t="shared" si="7"/>
        <v>0</v>
      </c>
      <c r="F46" s="33">
        <f t="shared" si="7"/>
        <v>0</v>
      </c>
      <c r="G46" s="33">
        <f t="shared" si="7"/>
        <v>0</v>
      </c>
      <c r="H46" s="33">
        <f t="shared" si="7"/>
        <v>0</v>
      </c>
      <c r="I46" s="33">
        <f t="shared" si="7"/>
        <v>0</v>
      </c>
      <c r="J46" s="33">
        <f t="shared" si="7"/>
        <v>17564.949999999997</v>
      </c>
      <c r="K46" s="33">
        <f t="shared" si="7"/>
        <v>28244.93</v>
      </c>
      <c r="L46" s="33">
        <f t="shared" si="7"/>
        <v>28227.75</v>
      </c>
      <c r="M46" s="33">
        <f t="shared" si="7"/>
        <v>28256.38</v>
      </c>
      <c r="N46" s="39">
        <f>SUM(B46:M46)</f>
        <v>102294.01000000001</v>
      </c>
    </row>
    <row r="47" spans="1:14" x14ac:dyDescent="0.2">
      <c r="A47" s="17"/>
      <c r="B47" s="19"/>
      <c r="C47" s="19"/>
      <c r="D47" s="19"/>
      <c r="E47" s="19"/>
      <c r="F47" s="19"/>
      <c r="G47" s="19"/>
      <c r="H47" s="19"/>
      <c r="I47" s="19"/>
      <c r="J47" s="19"/>
      <c r="K47" s="19"/>
      <c r="L47" s="19"/>
      <c r="M47" s="19"/>
    </row>
    <row r="48" spans="1:14" x14ac:dyDescent="0.2">
      <c r="A48" s="38" t="s">
        <v>31</v>
      </c>
      <c r="B48" s="19"/>
      <c r="C48" s="19"/>
      <c r="D48" s="19"/>
      <c r="E48" s="20"/>
      <c r="F48" s="24"/>
      <c r="G48" s="24"/>
      <c r="H48" s="24"/>
      <c r="I48" s="24"/>
      <c r="J48" s="27">
        <v>1.74</v>
      </c>
      <c r="K48" s="27">
        <f>2.63-268.99</f>
        <v>-266.36</v>
      </c>
      <c r="L48" s="27">
        <v>22.6</v>
      </c>
      <c r="M48" s="27">
        <f>-0.74+22.25+47.41</f>
        <v>68.92</v>
      </c>
    </row>
    <row r="49" spans="1:15" x14ac:dyDescent="0.2">
      <c r="A49" s="38" t="s">
        <v>33</v>
      </c>
      <c r="B49" s="19"/>
      <c r="C49" s="19"/>
      <c r="D49" s="19"/>
      <c r="E49" s="20"/>
      <c r="F49" s="24"/>
      <c r="G49" s="24"/>
      <c r="H49" s="24"/>
      <c r="I49" s="24"/>
      <c r="J49" s="27">
        <v>89.67</v>
      </c>
      <c r="K49" s="27">
        <f>135.68-492.39</f>
        <v>-356.71</v>
      </c>
      <c r="L49" s="27">
        <v>1166.4100000000001</v>
      </c>
      <c r="M49" s="27">
        <f>-1.36+1148.35+82.94</f>
        <v>1229.93</v>
      </c>
    </row>
    <row r="50" spans="1:15" x14ac:dyDescent="0.2">
      <c r="A50" s="17" t="s">
        <v>44</v>
      </c>
      <c r="B50" s="28">
        <f>SUM(B48:B49)</f>
        <v>0</v>
      </c>
      <c r="C50" s="28">
        <f t="shared" ref="C50:M50" si="8">SUM(C48:C49)</f>
        <v>0</v>
      </c>
      <c r="D50" s="28">
        <f t="shared" si="8"/>
        <v>0</v>
      </c>
      <c r="E50" s="28">
        <f t="shared" si="8"/>
        <v>0</v>
      </c>
      <c r="F50" s="28">
        <f t="shared" si="8"/>
        <v>0</v>
      </c>
      <c r="G50" s="28">
        <f t="shared" si="8"/>
        <v>0</v>
      </c>
      <c r="H50" s="28">
        <f t="shared" si="8"/>
        <v>0</v>
      </c>
      <c r="I50" s="28">
        <f t="shared" si="8"/>
        <v>0</v>
      </c>
      <c r="J50" s="28">
        <f t="shared" si="8"/>
        <v>91.41</v>
      </c>
      <c r="K50" s="28">
        <f t="shared" si="8"/>
        <v>-623.06999999999994</v>
      </c>
      <c r="L50" s="28">
        <f t="shared" si="8"/>
        <v>1189.01</v>
      </c>
      <c r="M50" s="28">
        <f t="shared" si="8"/>
        <v>1298.8500000000001</v>
      </c>
      <c r="N50" s="39">
        <f>SUM(B50:M50)</f>
        <v>1956.2000000000003</v>
      </c>
    </row>
    <row r="51" spans="1:15" x14ac:dyDescent="0.2">
      <c r="A51" s="17"/>
      <c r="B51" s="30"/>
      <c r="C51" s="30"/>
      <c r="D51" s="30"/>
      <c r="E51" s="30"/>
      <c r="F51" s="30"/>
      <c r="G51" s="30"/>
      <c r="H51" s="30"/>
      <c r="I51" s="30"/>
      <c r="J51" s="30"/>
      <c r="K51" s="30"/>
      <c r="L51" s="30"/>
      <c r="M51" s="30"/>
    </row>
    <row r="52" spans="1:15" x14ac:dyDescent="0.2">
      <c r="A52" s="17" t="s">
        <v>45</v>
      </c>
      <c r="B52" s="30">
        <f>B39-B50</f>
        <v>9898.75</v>
      </c>
      <c r="C52" s="30">
        <f t="shared" ref="C52:M52" si="9">C39-C50</f>
        <v>9898.75</v>
      </c>
      <c r="D52" s="30">
        <f t="shared" si="9"/>
        <v>9898.75</v>
      </c>
      <c r="E52" s="30">
        <f t="shared" si="9"/>
        <v>9898.75</v>
      </c>
      <c r="F52" s="30">
        <f t="shared" si="9"/>
        <v>13512.036</v>
      </c>
      <c r="G52" s="30">
        <f t="shared" si="9"/>
        <v>32115.868999999999</v>
      </c>
      <c r="H52" s="30">
        <f t="shared" si="9"/>
        <v>33786.9</v>
      </c>
      <c r="I52" s="30">
        <f t="shared" si="9"/>
        <v>30193.807345660614</v>
      </c>
      <c r="J52" s="30">
        <f t="shared" si="9"/>
        <v>29063.6424434414</v>
      </c>
      <c r="K52" s="30">
        <f t="shared" si="9"/>
        <v>29776.517175453464</v>
      </c>
      <c r="L52" s="30">
        <f t="shared" si="9"/>
        <v>34155.844399992333</v>
      </c>
      <c r="M52" s="30">
        <f t="shared" si="9"/>
        <v>42918.776781930799</v>
      </c>
      <c r="N52" s="39">
        <f>SUM(B52:M52)</f>
        <v>285118.39314647863</v>
      </c>
    </row>
    <row r="53" spans="1:15" x14ac:dyDescent="0.2">
      <c r="A53" s="17" t="s">
        <v>46</v>
      </c>
      <c r="B53" s="30">
        <f>B40-B46</f>
        <v>0</v>
      </c>
      <c r="C53" s="30">
        <f t="shared" ref="C53:M53" si="10">C40-C46</f>
        <v>0</v>
      </c>
      <c r="D53" s="30">
        <f t="shared" si="10"/>
        <v>0</v>
      </c>
      <c r="E53" s="30">
        <f t="shared" si="10"/>
        <v>0</v>
      </c>
      <c r="F53" s="30">
        <f t="shared" si="10"/>
        <v>0</v>
      </c>
      <c r="G53" s="30">
        <f t="shared" si="10"/>
        <v>0</v>
      </c>
      <c r="H53" s="30">
        <f t="shared" si="10"/>
        <v>0</v>
      </c>
      <c r="I53" s="30">
        <f t="shared" si="10"/>
        <v>8724.8166543393836</v>
      </c>
      <c r="J53" s="30">
        <f t="shared" si="10"/>
        <v>-7972.6504434413964</v>
      </c>
      <c r="K53" s="30">
        <f t="shared" si="10"/>
        <v>-17732.359175453465</v>
      </c>
      <c r="L53" s="30">
        <f t="shared" si="10"/>
        <v>-14072.573399992332</v>
      </c>
      <c r="M53" s="30">
        <f t="shared" si="10"/>
        <v>-8053.3237819307906</v>
      </c>
      <c r="N53" s="39">
        <f>SUM(B53:M53)</f>
        <v>-39106.0901464786</v>
      </c>
    </row>
    <row r="54" spans="1:15" x14ac:dyDescent="0.2">
      <c r="A54" s="17"/>
      <c r="B54" s="19"/>
      <c r="C54" s="19"/>
      <c r="D54" s="19"/>
      <c r="E54" s="20"/>
      <c r="F54" s="24"/>
      <c r="G54" s="24"/>
      <c r="H54" s="24"/>
      <c r="I54" s="24"/>
      <c r="J54" s="30"/>
      <c r="K54" s="24"/>
      <c r="L54" s="24"/>
      <c r="M54" s="24"/>
      <c r="N54" s="39">
        <f>N37-N46-N50-SUM(N52:N53)</f>
        <v>1.6999999934341758E-2</v>
      </c>
      <c r="O54" s="18" t="s">
        <v>55</v>
      </c>
    </row>
    <row r="55" spans="1:15" x14ac:dyDescent="0.2">
      <c r="A55" s="7" t="s">
        <v>41</v>
      </c>
      <c r="B55" s="22">
        <v>0</v>
      </c>
      <c r="C55" s="22">
        <f>B56</f>
        <v>9898.75</v>
      </c>
      <c r="D55" s="22">
        <f t="shared" ref="D55:M55" si="11">C56</f>
        <v>19797.5</v>
      </c>
      <c r="E55" s="22">
        <f t="shared" si="11"/>
        <v>29696.25</v>
      </c>
      <c r="F55" s="22">
        <f t="shared" si="11"/>
        <v>39595</v>
      </c>
      <c r="G55" s="22">
        <f t="shared" si="11"/>
        <v>53107.036</v>
      </c>
      <c r="H55" s="22">
        <f t="shared" si="11"/>
        <v>85222.904999999999</v>
      </c>
      <c r="I55" s="22">
        <f t="shared" si="11"/>
        <v>119009.80499999999</v>
      </c>
      <c r="J55" s="22">
        <f t="shared" si="11"/>
        <v>149203.6123456606</v>
      </c>
      <c r="K55" s="22">
        <f t="shared" si="11"/>
        <v>178267.25478910201</v>
      </c>
      <c r="L55" s="22">
        <f t="shared" si="11"/>
        <v>208043.77196455546</v>
      </c>
      <c r="M55" s="22">
        <f t="shared" si="11"/>
        <v>242199.61636454781</v>
      </c>
    </row>
    <row r="56" spans="1:15" x14ac:dyDescent="0.2">
      <c r="A56" s="7" t="s">
        <v>42</v>
      </c>
      <c r="B56" s="26">
        <f>B55+B52</f>
        <v>9898.75</v>
      </c>
      <c r="C56" s="26">
        <f t="shared" ref="C56:M56" si="12">C55+C52</f>
        <v>19797.5</v>
      </c>
      <c r="D56" s="26">
        <f t="shared" si="12"/>
        <v>29696.25</v>
      </c>
      <c r="E56" s="26">
        <f t="shared" si="12"/>
        <v>39595</v>
      </c>
      <c r="F56" s="26">
        <f t="shared" si="12"/>
        <v>53107.036</v>
      </c>
      <c r="G56" s="26">
        <f t="shared" si="12"/>
        <v>85222.904999999999</v>
      </c>
      <c r="H56" s="26">
        <f t="shared" si="12"/>
        <v>119009.80499999999</v>
      </c>
      <c r="I56" s="26">
        <f t="shared" si="12"/>
        <v>149203.6123456606</v>
      </c>
      <c r="J56" s="26">
        <f t="shared" si="12"/>
        <v>178267.25478910201</v>
      </c>
      <c r="K56" s="26">
        <f t="shared" si="12"/>
        <v>208043.77196455546</v>
      </c>
      <c r="L56" s="26">
        <f t="shared" si="12"/>
        <v>242199.61636454781</v>
      </c>
      <c r="M56" s="26">
        <f t="shared" si="12"/>
        <v>285118.39314647863</v>
      </c>
    </row>
    <row r="57" spans="1:15" x14ac:dyDescent="0.2">
      <c r="A57" s="7"/>
      <c r="B57" s="21"/>
      <c r="C57" s="21"/>
      <c r="D57" s="21"/>
      <c r="E57" s="21"/>
      <c r="F57" s="21"/>
      <c r="G57" s="21"/>
      <c r="H57" s="21"/>
      <c r="I57" s="21"/>
      <c r="J57" s="21"/>
      <c r="K57" s="21"/>
      <c r="L57" s="21"/>
      <c r="M57" s="21"/>
    </row>
    <row r="58" spans="1:15" x14ac:dyDescent="0.2">
      <c r="A58" s="7" t="s">
        <v>47</v>
      </c>
      <c r="B58" s="22">
        <v>0</v>
      </c>
      <c r="C58" s="22">
        <f>B59</f>
        <v>0</v>
      </c>
      <c r="D58" s="22">
        <f t="shared" ref="D58" si="13">C59</f>
        <v>0</v>
      </c>
      <c r="E58" s="22">
        <f t="shared" ref="E58" si="14">D59</f>
        <v>0</v>
      </c>
      <c r="F58" s="22">
        <f t="shared" ref="F58" si="15">E59</f>
        <v>0</v>
      </c>
      <c r="G58" s="22">
        <f t="shared" ref="G58" si="16">F59</f>
        <v>0</v>
      </c>
      <c r="H58" s="22">
        <f t="shared" ref="H58" si="17">G59</f>
        <v>0</v>
      </c>
      <c r="I58" s="22">
        <f t="shared" ref="I58" si="18">H59</f>
        <v>0</v>
      </c>
      <c r="J58" s="22">
        <f t="shared" ref="J58" si="19">I59</f>
        <v>8724.8166543393836</v>
      </c>
      <c r="K58" s="22">
        <f t="shared" ref="K58" si="20">J59</f>
        <v>752.16621089798718</v>
      </c>
      <c r="L58" s="22">
        <f t="shared" ref="L58" si="21">K59</f>
        <v>-16980.192964555477</v>
      </c>
      <c r="M58" s="22">
        <f t="shared" ref="M58" si="22">L59</f>
        <v>-31052.76636454781</v>
      </c>
    </row>
    <row r="59" spans="1:15" x14ac:dyDescent="0.2">
      <c r="A59" s="7" t="s">
        <v>48</v>
      </c>
      <c r="B59" s="26">
        <f>B58+B53</f>
        <v>0</v>
      </c>
      <c r="C59" s="26">
        <f t="shared" ref="C59:M59" si="23">C58+C53</f>
        <v>0</v>
      </c>
      <c r="D59" s="26">
        <f t="shared" si="23"/>
        <v>0</v>
      </c>
      <c r="E59" s="26">
        <f t="shared" si="23"/>
        <v>0</v>
      </c>
      <c r="F59" s="26">
        <f t="shared" si="23"/>
        <v>0</v>
      </c>
      <c r="G59" s="26">
        <f t="shared" si="23"/>
        <v>0</v>
      </c>
      <c r="H59" s="26">
        <f t="shared" si="23"/>
        <v>0</v>
      </c>
      <c r="I59" s="26">
        <f t="shared" si="23"/>
        <v>8724.8166543393836</v>
      </c>
      <c r="J59" s="26">
        <f t="shared" si="23"/>
        <v>752.16621089798718</v>
      </c>
      <c r="K59" s="26">
        <f t="shared" si="23"/>
        <v>-16980.192964555477</v>
      </c>
      <c r="L59" s="26">
        <f t="shared" si="23"/>
        <v>-31052.76636454781</v>
      </c>
      <c r="M59" s="26">
        <f t="shared" si="23"/>
        <v>-39106.0901464786</v>
      </c>
    </row>
    <row r="60" spans="1:15" x14ac:dyDescent="0.2">
      <c r="A60" s="7"/>
      <c r="B60" s="21"/>
      <c r="C60" s="21"/>
      <c r="D60" s="21"/>
      <c r="E60" s="21"/>
      <c r="F60" s="21"/>
      <c r="G60" s="21"/>
      <c r="H60" s="21"/>
      <c r="I60" s="21"/>
      <c r="J60" s="21"/>
      <c r="K60" s="21"/>
      <c r="L60" s="21"/>
      <c r="M60" s="21"/>
    </row>
    <row r="61" spans="1:15" s="9" customFormat="1" x14ac:dyDescent="0.2">
      <c r="A61" s="8"/>
      <c r="B61" s="23"/>
      <c r="C61" s="23"/>
      <c r="D61" s="23"/>
      <c r="E61" s="23"/>
      <c r="F61" s="23"/>
      <c r="G61" s="23"/>
      <c r="H61" s="23"/>
      <c r="I61" s="23"/>
      <c r="J61" s="23"/>
      <c r="K61" s="23"/>
      <c r="L61" s="23"/>
      <c r="M61" s="23"/>
    </row>
    <row r="62" spans="1:15" s="9" customFormat="1" x14ac:dyDescent="0.2">
      <c r="A62" s="8"/>
      <c r="B62" s="23"/>
      <c r="C62" s="23"/>
      <c r="D62" s="23"/>
      <c r="E62" s="23"/>
      <c r="F62" s="23"/>
      <c r="G62" s="23"/>
      <c r="H62" s="23"/>
      <c r="I62" s="23"/>
      <c r="J62" s="23"/>
      <c r="K62" s="23"/>
      <c r="L62" s="23"/>
      <c r="M62" s="23"/>
    </row>
    <row r="63" spans="1:15" x14ac:dyDescent="0.2">
      <c r="A63" s="10"/>
      <c r="B63" s="22"/>
      <c r="C63" s="22"/>
      <c r="D63" s="22"/>
      <c r="E63" s="22"/>
      <c r="F63" s="22"/>
      <c r="G63" s="22"/>
      <c r="H63" s="22"/>
      <c r="I63" s="22"/>
      <c r="J63" s="22"/>
      <c r="K63" s="22"/>
      <c r="L63" s="22"/>
      <c r="M63" s="22"/>
      <c r="N63" s="25"/>
    </row>
    <row r="64" spans="1:15" x14ac:dyDescent="0.2">
      <c r="A64" s="10"/>
      <c r="B64" s="22"/>
      <c r="C64" s="22"/>
      <c r="D64" s="22"/>
      <c r="E64" s="22"/>
      <c r="F64" s="22"/>
      <c r="G64" s="22"/>
      <c r="H64" s="22"/>
      <c r="I64" s="22"/>
      <c r="J64" s="22"/>
      <c r="K64" s="22"/>
      <c r="L64" s="22"/>
      <c r="M64" s="22"/>
      <c r="N64" s="25"/>
    </row>
    <row r="65" spans="1:13" x14ac:dyDescent="0.2">
      <c r="A65" s="10"/>
      <c r="B65" s="22"/>
      <c r="C65" s="22"/>
      <c r="D65" s="22"/>
      <c r="E65" s="22"/>
      <c r="F65" s="22"/>
      <c r="G65" s="22"/>
      <c r="H65" s="22"/>
      <c r="I65" s="22"/>
      <c r="J65" s="22"/>
      <c r="K65" s="22"/>
      <c r="L65" s="22"/>
      <c r="M65" s="22"/>
    </row>
    <row r="66" spans="1:13" x14ac:dyDescent="0.2">
      <c r="A66" s="17"/>
      <c r="B66" s="21"/>
      <c r="C66" s="21"/>
      <c r="D66" s="21"/>
      <c r="E66" s="21"/>
      <c r="F66" s="21"/>
      <c r="G66" s="21"/>
      <c r="H66" s="21"/>
      <c r="I66" s="21"/>
      <c r="J66" s="21"/>
      <c r="K66" s="21"/>
      <c r="L66" s="21"/>
      <c r="M66" s="21"/>
    </row>
    <row r="67" spans="1:13" x14ac:dyDescent="0.2">
      <c r="A67" s="17"/>
      <c r="B67" s="26"/>
      <c r="C67" s="26"/>
      <c r="D67" s="26"/>
      <c r="E67" s="26"/>
      <c r="F67" s="26"/>
      <c r="G67" s="26"/>
      <c r="H67" s="26"/>
      <c r="I67" s="26"/>
      <c r="J67" s="26"/>
      <c r="K67" s="26"/>
      <c r="L67" s="26"/>
      <c r="M67" s="26"/>
    </row>
    <row r="68" spans="1:13" x14ac:dyDescent="0.2">
      <c r="A68" s="11"/>
    </row>
    <row r="69" spans="1:13" x14ac:dyDescent="0.2">
      <c r="A69" s="17"/>
      <c r="B69" s="21"/>
      <c r="C69" s="21"/>
      <c r="D69" s="21"/>
      <c r="E69" s="21"/>
      <c r="F69" s="21"/>
      <c r="G69" s="21"/>
      <c r="H69" s="21"/>
      <c r="I69" s="21"/>
      <c r="J69" s="21"/>
      <c r="K69" s="21"/>
      <c r="L69" s="21"/>
      <c r="M69" s="21"/>
    </row>
    <row r="70" spans="1:13" x14ac:dyDescent="0.2">
      <c r="A70" s="17"/>
      <c r="B70" s="26"/>
      <c r="C70" s="26"/>
      <c r="D70" s="26"/>
      <c r="E70" s="26"/>
      <c r="F70" s="26"/>
      <c r="G70" s="26"/>
      <c r="H70" s="26"/>
      <c r="I70" s="26"/>
      <c r="J70" s="26"/>
      <c r="K70" s="26"/>
      <c r="L70" s="26"/>
      <c r="M70" s="26"/>
    </row>
    <row r="71" spans="1:13" x14ac:dyDescent="0.2">
      <c r="A71" s="11"/>
    </row>
    <row r="72" spans="1:13" x14ac:dyDescent="0.2">
      <c r="A72" s="12"/>
    </row>
    <row r="73" spans="1:13" x14ac:dyDescent="0.2">
      <c r="A73" s="13"/>
    </row>
    <row r="74" spans="1:13" x14ac:dyDescent="0.2">
      <c r="A74" s="14"/>
    </row>
    <row r="75" spans="1:13" x14ac:dyDescent="0.2">
      <c r="A75" s="15"/>
    </row>
    <row r="76" spans="1:13" x14ac:dyDescent="0.2">
      <c r="A76" s="15"/>
    </row>
    <row r="77" spans="1:13" x14ac:dyDescent="0.2">
      <c r="A77" s="7"/>
    </row>
    <row r="78" spans="1:13" x14ac:dyDescent="0.2">
      <c r="A78" s="7"/>
    </row>
    <row r="79" spans="1:13" x14ac:dyDescent="0.2">
      <c r="A79" s="12"/>
    </row>
    <row r="80" spans="1:13" x14ac:dyDescent="0.2">
      <c r="A80" s="13"/>
    </row>
    <row r="81" spans="1:1" x14ac:dyDescent="0.2">
      <c r="A81" s="14"/>
    </row>
    <row r="82" spans="1:1" x14ac:dyDescent="0.2">
      <c r="A82" s="15"/>
    </row>
    <row r="83" spans="1:1" x14ac:dyDescent="0.2">
      <c r="A83" s="15"/>
    </row>
    <row r="84" spans="1:1" x14ac:dyDescent="0.2">
      <c r="A84" s="7"/>
    </row>
    <row r="85" spans="1:1" x14ac:dyDescent="0.2">
      <c r="A85" s="7"/>
    </row>
    <row r="86" spans="1:1" x14ac:dyDescent="0.2">
      <c r="A86" s="7"/>
    </row>
    <row r="87" spans="1:1" x14ac:dyDescent="0.2">
      <c r="A87" s="7"/>
    </row>
    <row r="88" spans="1:1" x14ac:dyDescent="0.2">
      <c r="A88" s="7"/>
    </row>
    <row r="89" spans="1:1" x14ac:dyDescent="0.2">
      <c r="A89" s="7"/>
    </row>
  </sheetData>
  <pageMargins left="0.70866141732283472" right="0.70866141732283472" top="0.74803149606299213" bottom="0.74803149606299213" header="0.31496062992125984" footer="0.31496062992125984"/>
  <pageSetup orientation="portrait" r:id="rId1"/>
  <headerFooter>
    <oddHeader>&amp;R&amp;"Times New Roman,Regular"&amp;10Filed: 2019-01-31
EB-2018-0336
Exhibit 9
Page &amp;P of &amp;N</oddHead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
    <tabColor theme="7"/>
  </sheetPr>
  <dimension ref="A1:T138"/>
  <sheetViews>
    <sheetView zoomScale="70" zoomScaleNormal="70" workbookViewId="0">
      <pane ySplit="1" topLeftCell="A56" activePane="bottomLeft" state="frozen"/>
      <selection pane="bottomLeft" activeCell="L88" sqref="L88"/>
    </sheetView>
  </sheetViews>
  <sheetFormatPr defaultColWidth="9.140625" defaultRowHeight="14.25" x14ac:dyDescent="0.2"/>
  <cols>
    <col min="1" max="1" width="53.28515625" style="72" bestFit="1" customWidth="1"/>
    <col min="2" max="6" width="9.140625" style="72"/>
    <col min="7" max="7" width="12.7109375" style="72" bestFit="1" customWidth="1"/>
    <col min="8" max="8" width="9.140625" style="72"/>
    <col min="9" max="9" width="15.42578125" style="72" bestFit="1" customWidth="1"/>
    <col min="10" max="10" width="16.85546875" style="72" bestFit="1" customWidth="1"/>
    <col min="11" max="11" width="17.28515625" style="72" bestFit="1" customWidth="1"/>
    <col min="12" max="14" width="17.7109375" style="72" bestFit="1" customWidth="1"/>
    <col min="15" max="15" width="16.85546875" style="72" bestFit="1" customWidth="1"/>
    <col min="16" max="16" width="17.28515625" style="72" bestFit="1" customWidth="1"/>
    <col min="17" max="18" width="17.7109375" style="72" bestFit="1" customWidth="1"/>
    <col min="19" max="16384" width="9.140625" style="72"/>
  </cols>
  <sheetData>
    <row r="1" spans="1:18" ht="15" x14ac:dyDescent="0.25">
      <c r="H1" s="73">
        <v>2018</v>
      </c>
      <c r="I1" s="73">
        <v>2019</v>
      </c>
      <c r="J1" s="73">
        <v>2020</v>
      </c>
      <c r="K1" s="73">
        <v>2021</v>
      </c>
      <c r="L1" s="73">
        <v>2022</v>
      </c>
      <c r="M1" s="73">
        <v>2023</v>
      </c>
      <c r="N1" s="73">
        <v>2024</v>
      </c>
      <c r="O1" s="73">
        <v>2025</v>
      </c>
      <c r="P1" s="73">
        <v>2026</v>
      </c>
      <c r="Q1" s="73">
        <v>2027</v>
      </c>
      <c r="R1" s="73">
        <v>2028</v>
      </c>
    </row>
    <row r="2" spans="1:18" s="75" customFormat="1" ht="15.75" x14ac:dyDescent="0.25">
      <c r="A2" s="74" t="s">
        <v>101</v>
      </c>
    </row>
    <row r="3" spans="1:18" ht="15.75" x14ac:dyDescent="0.25">
      <c r="A3" s="76"/>
    </row>
    <row r="4" spans="1:18" x14ac:dyDescent="0.2">
      <c r="A4" s="72" t="s">
        <v>102</v>
      </c>
      <c r="B4" s="77" t="s">
        <v>103</v>
      </c>
      <c r="H4" s="78">
        <v>0</v>
      </c>
      <c r="I4" s="67">
        <f>H7</f>
        <v>0</v>
      </c>
      <c r="J4" s="67">
        <f t="shared" ref="J4:R4" si="0">I7</f>
        <v>61.463363703984385</v>
      </c>
      <c r="K4" s="67">
        <f t="shared" si="0"/>
        <v>477.16100833388731</v>
      </c>
      <c r="L4" s="67">
        <f t="shared" si="0"/>
        <v>825.57112250829266</v>
      </c>
      <c r="M4" s="67">
        <f t="shared" si="0"/>
        <v>1033.6489050756416</v>
      </c>
      <c r="N4" s="67">
        <f t="shared" si="0"/>
        <v>1136.7888397346794</v>
      </c>
      <c r="O4" s="67">
        <f t="shared" si="0"/>
        <v>1126.2307580731608</v>
      </c>
      <c r="P4" s="67">
        <f t="shared" si="0"/>
        <v>1079.3550988577324</v>
      </c>
      <c r="Q4" s="67">
        <f t="shared" si="0"/>
        <v>1032.8530535282343</v>
      </c>
      <c r="R4" s="67">
        <f t="shared" si="0"/>
        <v>986.8378888111522</v>
      </c>
    </row>
    <row r="5" spans="1:18" ht="15" x14ac:dyDescent="0.25">
      <c r="A5" s="72" t="s">
        <v>104</v>
      </c>
      <c r="B5" s="77" t="s">
        <v>103</v>
      </c>
      <c r="F5" s="100" t="s">
        <v>184</v>
      </c>
      <c r="G5" s="79">
        <v>1173.1120726154181</v>
      </c>
      <c r="H5" s="72">
        <v>0</v>
      </c>
      <c r="I5" s="67">
        <f>I15+I46+I54</f>
        <v>61.463363703984385</v>
      </c>
      <c r="J5" s="67">
        <f t="shared" ref="J5:R5" si="1">J15+J46+J54</f>
        <v>415.69764462990292</v>
      </c>
      <c r="K5" s="67">
        <f t="shared" si="1"/>
        <v>348.41011417440535</v>
      </c>
      <c r="L5" s="67">
        <f t="shared" si="1"/>
        <v>208.07778256734881</v>
      </c>
      <c r="M5" s="67">
        <f t="shared" si="1"/>
        <v>103.13993465903781</v>
      </c>
      <c r="N5" s="67">
        <f t="shared" si="1"/>
        <v>34.913471927868542</v>
      </c>
      <c r="O5" s="67">
        <f t="shared" si="1"/>
        <v>5.0622370953306017E-2</v>
      </c>
      <c r="P5" s="67">
        <f t="shared" si="1"/>
        <v>0.42643722953380347</v>
      </c>
      <c r="Q5" s="67">
        <f t="shared" si="1"/>
        <v>0.93270135238287821</v>
      </c>
      <c r="R5" s="67">
        <f t="shared" si="1"/>
        <v>0</v>
      </c>
    </row>
    <row r="6" spans="1:18" x14ac:dyDescent="0.2">
      <c r="A6" s="72" t="s">
        <v>105</v>
      </c>
      <c r="B6" s="77" t="s">
        <v>103</v>
      </c>
      <c r="G6" s="79">
        <v>-233.26646422384457</v>
      </c>
      <c r="H6" s="72">
        <v>0</v>
      </c>
      <c r="I6" s="67">
        <f>I16+I47+I55</f>
        <v>0</v>
      </c>
      <c r="J6" s="67">
        <f t="shared" ref="J6:R6" si="2">J16+J47+J55</f>
        <v>0</v>
      </c>
      <c r="K6" s="67">
        <f t="shared" si="2"/>
        <v>0</v>
      </c>
      <c r="L6" s="67">
        <f t="shared" si="2"/>
        <v>0</v>
      </c>
      <c r="M6" s="67">
        <f t="shared" si="2"/>
        <v>0</v>
      </c>
      <c r="N6" s="67">
        <f t="shared" si="2"/>
        <v>-45.471553589387177</v>
      </c>
      <c r="O6" s="67">
        <f t="shared" si="2"/>
        <v>-46.926281586381691</v>
      </c>
      <c r="P6" s="67">
        <f t="shared" si="2"/>
        <v>-46.928482559031835</v>
      </c>
      <c r="Q6" s="67">
        <f t="shared" si="2"/>
        <v>-46.947866069465192</v>
      </c>
      <c r="R6" s="67">
        <f t="shared" si="2"/>
        <v>-46.992280419578663</v>
      </c>
    </row>
    <row r="7" spans="1:18" x14ac:dyDescent="0.2">
      <c r="A7" s="72" t="s">
        <v>106</v>
      </c>
      <c r="B7" s="77" t="s">
        <v>103</v>
      </c>
      <c r="H7" s="65">
        <v>0</v>
      </c>
      <c r="I7" s="64">
        <v>61.463363703984385</v>
      </c>
      <c r="J7" s="64">
        <v>477.16100833388731</v>
      </c>
      <c r="K7" s="64">
        <v>825.57112250829266</v>
      </c>
      <c r="L7" s="64">
        <v>1033.6489050756416</v>
      </c>
      <c r="M7" s="64">
        <v>1136.7888397346794</v>
      </c>
      <c r="N7" s="64">
        <v>1126.2307580731608</v>
      </c>
      <c r="O7" s="64">
        <v>1079.3550988577324</v>
      </c>
      <c r="P7" s="64">
        <v>1032.8530535282343</v>
      </c>
      <c r="Q7" s="64">
        <v>986.8378888111522</v>
      </c>
      <c r="R7" s="64">
        <v>939.84560839157348</v>
      </c>
    </row>
    <row r="8" spans="1:18" x14ac:dyDescent="0.2">
      <c r="I8" s="67"/>
      <c r="J8" s="67"/>
      <c r="K8" s="67"/>
      <c r="L8" s="67"/>
      <c r="M8" s="67"/>
      <c r="N8" s="67"/>
      <c r="O8" s="67"/>
      <c r="P8" s="67"/>
      <c r="Q8" s="67"/>
      <c r="R8" s="67"/>
    </row>
    <row r="9" spans="1:18" x14ac:dyDescent="0.2">
      <c r="A9" s="72" t="s">
        <v>107</v>
      </c>
      <c r="B9" s="77" t="s">
        <v>103</v>
      </c>
      <c r="H9" s="72">
        <v>0</v>
      </c>
      <c r="I9" s="67">
        <f>AVERAGE(H7:I7)</f>
        <v>30.731681851992192</v>
      </c>
      <c r="J9" s="67">
        <f>AVERAGE(I7:J7)</f>
        <v>269.31218601893585</v>
      </c>
      <c r="K9" s="67">
        <f t="shared" ref="K9:R9" si="3">AVERAGE(J7:K7)</f>
        <v>651.36606542108996</v>
      </c>
      <c r="L9" s="67">
        <f t="shared" si="3"/>
        <v>929.61001379196705</v>
      </c>
      <c r="M9" s="67">
        <f t="shared" si="3"/>
        <v>1085.2188724051605</v>
      </c>
      <c r="N9" s="67">
        <f t="shared" si="3"/>
        <v>1131.50979890392</v>
      </c>
      <c r="O9" s="67">
        <f t="shared" si="3"/>
        <v>1102.7929284654465</v>
      </c>
      <c r="P9" s="67">
        <f t="shared" si="3"/>
        <v>1056.1040761929835</v>
      </c>
      <c r="Q9" s="67">
        <f t="shared" si="3"/>
        <v>1009.8454711696933</v>
      </c>
      <c r="R9" s="67">
        <f t="shared" si="3"/>
        <v>963.34174860136284</v>
      </c>
    </row>
    <row r="11" spans="1:18" ht="15.75" x14ac:dyDescent="0.25">
      <c r="A11" s="76" t="s">
        <v>108</v>
      </c>
    </row>
    <row r="13" spans="1:18" ht="15" x14ac:dyDescent="0.25">
      <c r="A13" s="80" t="s">
        <v>109</v>
      </c>
      <c r="C13" s="81" t="s">
        <v>110</v>
      </c>
      <c r="D13" s="82" t="s">
        <v>111</v>
      </c>
      <c r="E13" s="82" t="s">
        <v>112</v>
      </c>
      <c r="F13" s="82"/>
    </row>
    <row r="14" spans="1:18" x14ac:dyDescent="0.2">
      <c r="A14" s="72" t="s">
        <v>102</v>
      </c>
      <c r="B14" s="77" t="s">
        <v>103</v>
      </c>
      <c r="C14" s="83" t="s">
        <v>119</v>
      </c>
      <c r="D14" s="84">
        <v>2024</v>
      </c>
      <c r="E14" s="84">
        <v>2048</v>
      </c>
      <c r="H14" s="78">
        <v>0</v>
      </c>
      <c r="I14" s="107">
        <v>0</v>
      </c>
      <c r="J14" s="107">
        <f>I17</f>
        <v>61.463363703984385</v>
      </c>
      <c r="K14" s="107">
        <f t="shared" ref="K14:R14" si="4">J17</f>
        <v>320.44694529743691</v>
      </c>
      <c r="L14" s="107">
        <f t="shared" si="4"/>
        <v>491.77915295351789</v>
      </c>
      <c r="M14" s="107">
        <f t="shared" si="4"/>
        <v>585.94576875815142</v>
      </c>
      <c r="N14" s="107">
        <f t="shared" si="4"/>
        <v>627.58379684865702</v>
      </c>
      <c r="O14" s="107">
        <f t="shared" si="4"/>
        <v>614.39074098974413</v>
      </c>
      <c r="P14" s="107">
        <f t="shared" si="4"/>
        <v>588.84174915279141</v>
      </c>
      <c r="Q14" s="107">
        <f t="shared" si="4"/>
        <v>563.66637120176904</v>
      </c>
      <c r="R14" s="107">
        <f t="shared" si="4"/>
        <v>538.97787386316236</v>
      </c>
    </row>
    <row r="15" spans="1:18" ht="15" x14ac:dyDescent="0.25">
      <c r="A15" s="72" t="s">
        <v>104</v>
      </c>
      <c r="B15" s="77" t="s">
        <v>103</v>
      </c>
      <c r="C15" s="85"/>
      <c r="F15" s="100" t="s">
        <v>185</v>
      </c>
      <c r="G15" s="79">
        <v>640.9038538165604</v>
      </c>
      <c r="H15" s="87">
        <f t="shared" ref="H15:H16" si="5">SUM(I15:R15)-G15</f>
        <v>0</v>
      </c>
      <c r="I15" s="107">
        <f>-I24</f>
        <v>61.463363703984385</v>
      </c>
      <c r="J15" s="107">
        <f>-J24</f>
        <v>258.98358159345253</v>
      </c>
      <c r="K15" s="107">
        <f t="shared" ref="K15:R15" si="6">-K24</f>
        <v>171.33220765608098</v>
      </c>
      <c r="L15" s="107">
        <f t="shared" si="6"/>
        <v>94.166615804633466</v>
      </c>
      <c r="M15" s="107">
        <f t="shared" si="6"/>
        <v>41.6380280905056</v>
      </c>
      <c r="N15" s="107">
        <f t="shared" si="6"/>
        <v>11.910296015033396</v>
      </c>
      <c r="O15" s="107">
        <f t="shared" si="6"/>
        <v>5.0622370953306017E-2</v>
      </c>
      <c r="P15" s="107">
        <f t="shared" si="6"/>
        <v>0.42643722953380347</v>
      </c>
      <c r="Q15" s="107">
        <f t="shared" si="6"/>
        <v>0.93270135238287821</v>
      </c>
      <c r="R15" s="107">
        <f t="shared" si="6"/>
        <v>0</v>
      </c>
    </row>
    <row r="16" spans="1:18" x14ac:dyDescent="0.2">
      <c r="A16" s="72" t="s">
        <v>105</v>
      </c>
      <c r="B16" s="77" t="s">
        <v>103</v>
      </c>
      <c r="C16" s="85"/>
      <c r="G16" s="79">
        <v>-127.5915929945009</v>
      </c>
      <c r="H16" s="87">
        <f t="shared" si="5"/>
        <v>0</v>
      </c>
      <c r="I16" s="107">
        <v>0</v>
      </c>
      <c r="J16" s="107">
        <v>0</v>
      </c>
      <c r="K16" s="107">
        <v>0</v>
      </c>
      <c r="L16" s="107">
        <v>0</v>
      </c>
      <c r="M16" s="107">
        <v>0</v>
      </c>
      <c r="N16" s="107">
        <v>-25.103351873946281</v>
      </c>
      <c r="O16" s="107">
        <v>-25.599614207906004</v>
      </c>
      <c r="P16" s="107">
        <v>-25.601815180556148</v>
      </c>
      <c r="Q16" s="107">
        <v>-25.621198690989502</v>
      </c>
      <c r="R16" s="107">
        <v>-25.665613041102969</v>
      </c>
    </row>
    <row r="17" spans="1:20" x14ac:dyDescent="0.2">
      <c r="A17" s="72" t="s">
        <v>148</v>
      </c>
      <c r="B17" s="77" t="s">
        <v>103</v>
      </c>
      <c r="C17" s="85"/>
      <c r="H17" s="65">
        <v>0</v>
      </c>
      <c r="I17" s="108">
        <f>SUM(I14:I16)</f>
        <v>61.463363703984385</v>
      </c>
      <c r="J17" s="108">
        <f t="shared" ref="J17:R17" si="7">SUM(J14:J16)</f>
        <v>320.44694529743691</v>
      </c>
      <c r="K17" s="108">
        <f t="shared" si="7"/>
        <v>491.77915295351789</v>
      </c>
      <c r="L17" s="108">
        <f t="shared" si="7"/>
        <v>585.94576875815142</v>
      </c>
      <c r="M17" s="108">
        <f t="shared" si="7"/>
        <v>627.58379684865702</v>
      </c>
      <c r="N17" s="108">
        <f t="shared" si="7"/>
        <v>614.39074098974413</v>
      </c>
      <c r="O17" s="108">
        <f t="shared" si="7"/>
        <v>588.84174915279141</v>
      </c>
      <c r="P17" s="108">
        <f t="shared" si="7"/>
        <v>563.66637120176904</v>
      </c>
      <c r="Q17" s="108">
        <f t="shared" si="7"/>
        <v>538.97787386316236</v>
      </c>
      <c r="R17" s="108">
        <f t="shared" si="7"/>
        <v>513.31226082205944</v>
      </c>
    </row>
    <row r="18" spans="1:20" ht="15.75" x14ac:dyDescent="0.25">
      <c r="A18" s="76"/>
      <c r="C18" s="85"/>
      <c r="I18" s="107"/>
      <c r="J18" s="107"/>
      <c r="K18" s="107"/>
      <c r="L18" s="107"/>
      <c r="M18" s="107"/>
      <c r="N18" s="107"/>
      <c r="O18" s="107"/>
      <c r="P18" s="107"/>
      <c r="Q18" s="107"/>
      <c r="R18" s="107"/>
    </row>
    <row r="19" spans="1:20" x14ac:dyDescent="0.2">
      <c r="A19" s="72" t="s">
        <v>107</v>
      </c>
      <c r="B19" s="77" t="s">
        <v>103</v>
      </c>
      <c r="C19" s="85"/>
      <c r="H19" s="72">
        <v>0</v>
      </c>
      <c r="I19" s="107">
        <f>AVERAGE(H17:I17)</f>
        <v>30.731681851992192</v>
      </c>
      <c r="J19" s="107">
        <f t="shared" ref="J19:R19" si="8">AVERAGE(I17:J17)</f>
        <v>190.95515450071065</v>
      </c>
      <c r="K19" s="107">
        <f t="shared" si="8"/>
        <v>406.1130491254774</v>
      </c>
      <c r="L19" s="107">
        <f t="shared" si="8"/>
        <v>538.86246085583468</v>
      </c>
      <c r="M19" s="107">
        <f t="shared" si="8"/>
        <v>606.76478280340416</v>
      </c>
      <c r="N19" s="107">
        <f t="shared" si="8"/>
        <v>620.98726891920057</v>
      </c>
      <c r="O19" s="107">
        <f t="shared" si="8"/>
        <v>601.61624507126771</v>
      </c>
      <c r="P19" s="107">
        <f t="shared" si="8"/>
        <v>576.25406017728028</v>
      </c>
      <c r="Q19" s="107">
        <f t="shared" si="8"/>
        <v>551.32212253246576</v>
      </c>
      <c r="R19" s="107">
        <f t="shared" si="8"/>
        <v>526.1450673426109</v>
      </c>
    </row>
    <row r="20" spans="1:20" ht="15.75" x14ac:dyDescent="0.25">
      <c r="A20" s="76"/>
      <c r="B20" s="77"/>
      <c r="C20" s="85"/>
    </row>
    <row r="21" spans="1:20" x14ac:dyDescent="0.2">
      <c r="A21" s="85" t="s">
        <v>113</v>
      </c>
      <c r="C21" s="85"/>
      <c r="I21" s="87"/>
      <c r="J21" s="87"/>
      <c r="K21" s="87"/>
      <c r="L21" s="87"/>
      <c r="M21" s="87"/>
      <c r="N21" s="87"/>
      <c r="O21" s="87"/>
      <c r="P21" s="87"/>
      <c r="Q21" s="87"/>
      <c r="R21" s="87"/>
    </row>
    <row r="22" spans="1:20" ht="15" x14ac:dyDescent="0.25">
      <c r="A22" s="72" t="s">
        <v>114</v>
      </c>
      <c r="B22" s="77" t="s">
        <v>103</v>
      </c>
      <c r="F22" s="100" t="str">
        <f>S66</f>
        <v>B</v>
      </c>
      <c r="G22" s="79">
        <v>6302.3379366914696</v>
      </c>
      <c r="H22" s="87">
        <f t="shared" ref="H22:H24" si="9">SUM(I22:R22)-G22</f>
        <v>0</v>
      </c>
      <c r="I22" s="107">
        <v>79.992477477414837</v>
      </c>
      <c r="J22" s="107">
        <v>371.54712868418198</v>
      </c>
      <c r="K22" s="107">
        <v>512.55868889026056</v>
      </c>
      <c r="L22" s="107">
        <v>630.07505408624979</v>
      </c>
      <c r="M22" s="107">
        <v>712.32575523266007</v>
      </c>
      <c r="N22" s="107">
        <v>763.38753854996128</v>
      </c>
      <c r="O22" s="107">
        <v>789.3792316734623</v>
      </c>
      <c r="P22" s="107">
        <v>802.05353182917588</v>
      </c>
      <c r="Q22" s="107">
        <v>814.62817900132973</v>
      </c>
      <c r="R22" s="107">
        <v>826.39035126677288</v>
      </c>
    </row>
    <row r="23" spans="1:20" ht="15" x14ac:dyDescent="0.25">
      <c r="A23" s="72" t="s">
        <v>115</v>
      </c>
      <c r="B23" s="77" t="s">
        <v>103</v>
      </c>
      <c r="C23" s="88"/>
      <c r="F23" s="100" t="str">
        <f>S41</f>
        <v>A</v>
      </c>
      <c r="G23" s="79">
        <v>-6943.2417905080292</v>
      </c>
      <c r="H23" s="87">
        <f t="shared" si="9"/>
        <v>0</v>
      </c>
      <c r="I23" s="107">
        <v>-141.45584118139922</v>
      </c>
      <c r="J23" s="107">
        <v>-630.53071027763451</v>
      </c>
      <c r="K23" s="107">
        <v>-683.89089654634154</v>
      </c>
      <c r="L23" s="107">
        <v>-724.24166989088326</v>
      </c>
      <c r="M23" s="107">
        <v>-753.96378332316567</v>
      </c>
      <c r="N23" s="107">
        <v>-775.29783456499467</v>
      </c>
      <c r="O23" s="107">
        <v>-789.42985404441561</v>
      </c>
      <c r="P23" s="107">
        <v>-802.47996905870968</v>
      </c>
      <c r="Q23" s="107">
        <v>-815.56088035371261</v>
      </c>
      <c r="R23" s="107">
        <v>-826.390351266773</v>
      </c>
      <c r="S23" s="89"/>
      <c r="T23" s="72" t="s">
        <v>136</v>
      </c>
    </row>
    <row r="24" spans="1:20" x14ac:dyDescent="0.2">
      <c r="A24" s="72" t="s">
        <v>116</v>
      </c>
      <c r="B24" s="77" t="s">
        <v>103</v>
      </c>
      <c r="G24" s="79">
        <v>-640.9038538165604</v>
      </c>
      <c r="H24" s="87">
        <f t="shared" si="9"/>
        <v>0</v>
      </c>
      <c r="I24" s="108">
        <f>SUM(I22:I23)</f>
        <v>-61.463363703984385</v>
      </c>
      <c r="J24" s="108">
        <f t="shared" ref="J24:R24" si="10">SUM(J22:J23)</f>
        <v>-258.98358159345253</v>
      </c>
      <c r="K24" s="108">
        <f t="shared" si="10"/>
        <v>-171.33220765608098</v>
      </c>
      <c r="L24" s="108">
        <f t="shared" si="10"/>
        <v>-94.166615804633466</v>
      </c>
      <c r="M24" s="108">
        <f t="shared" si="10"/>
        <v>-41.6380280905056</v>
      </c>
      <c r="N24" s="108">
        <f t="shared" si="10"/>
        <v>-11.910296015033396</v>
      </c>
      <c r="O24" s="108">
        <f t="shared" si="10"/>
        <v>-5.0622370953306017E-2</v>
      </c>
      <c r="P24" s="108">
        <f t="shared" si="10"/>
        <v>-0.42643722953380347</v>
      </c>
      <c r="Q24" s="108">
        <f t="shared" si="10"/>
        <v>-0.93270135238287821</v>
      </c>
      <c r="R24" s="108">
        <f t="shared" si="10"/>
        <v>0</v>
      </c>
    </row>
    <row r="25" spans="1:20" x14ac:dyDescent="0.2">
      <c r="B25" s="77"/>
      <c r="G25" s="90"/>
      <c r="H25" s="91"/>
      <c r="I25" s="109"/>
      <c r="J25" s="109"/>
      <c r="K25" s="109"/>
      <c r="L25" s="109"/>
      <c r="M25" s="109"/>
      <c r="N25" s="109"/>
      <c r="O25" s="109"/>
      <c r="P25" s="109"/>
      <c r="Q25" s="109"/>
      <c r="R25" s="109"/>
    </row>
    <row r="26" spans="1:20" s="75" customFormat="1" ht="20.25" x14ac:dyDescent="0.3">
      <c r="A26" s="112" t="s">
        <v>183</v>
      </c>
      <c r="B26" s="115"/>
      <c r="G26" s="116"/>
      <c r="H26" s="65"/>
      <c r="I26" s="108"/>
      <c r="J26" s="108"/>
      <c r="K26" s="108"/>
      <c r="L26" s="108"/>
      <c r="M26" s="108"/>
      <c r="N26" s="108"/>
      <c r="O26" s="108"/>
      <c r="P26" s="108"/>
      <c r="Q26" s="108"/>
      <c r="R26" s="108"/>
    </row>
    <row r="27" spans="1:20" ht="15" x14ac:dyDescent="0.25">
      <c r="A27" s="89"/>
      <c r="G27" s="92" t="s">
        <v>147</v>
      </c>
      <c r="H27" s="72">
        <v>1</v>
      </c>
      <c r="I27" s="107">
        <v>1.0126999999999999</v>
      </c>
      <c r="J27" s="107">
        <v>1.02556129</v>
      </c>
      <c r="K27" s="107">
        <v>1.038585918383</v>
      </c>
      <c r="L27" s="107">
        <v>1.051775959546464</v>
      </c>
      <c r="M27" s="107">
        <v>1.0651335142327041</v>
      </c>
      <c r="N27" s="107">
        <v>1.0786607098634593</v>
      </c>
      <c r="O27" s="107">
        <v>1.0923597008787254</v>
      </c>
      <c r="P27" s="107">
        <v>1.1062326690798849</v>
      </c>
      <c r="Q27" s="107">
        <v>1.1202818239771994</v>
      </c>
      <c r="R27" s="107">
        <v>1.1345094031417098</v>
      </c>
    </row>
    <row r="28" spans="1:20" ht="15" x14ac:dyDescent="0.25">
      <c r="A28" s="89" t="s">
        <v>143</v>
      </c>
      <c r="I28" s="107"/>
      <c r="J28" s="107"/>
      <c r="K28" s="107"/>
      <c r="L28" s="107"/>
      <c r="M28" s="107"/>
      <c r="N28" s="107"/>
      <c r="O28" s="107"/>
      <c r="P28" s="107"/>
      <c r="Q28" s="107"/>
      <c r="R28" s="107"/>
    </row>
    <row r="29" spans="1:20" x14ac:dyDescent="0.2">
      <c r="A29" s="93" t="s">
        <v>137</v>
      </c>
      <c r="B29" s="93" t="s">
        <v>138</v>
      </c>
      <c r="H29" s="72">
        <v>0</v>
      </c>
      <c r="I29" s="107">
        <v>-51.389807691537406</v>
      </c>
      <c r="J29" s="107">
        <v>-91.689612159769339</v>
      </c>
      <c r="K29" s="107">
        <v>-127.94225481745885</v>
      </c>
      <c r="L29" s="107">
        <v>-152.19598514256379</v>
      </c>
      <c r="M29" s="107">
        <v>-167.8648836164281</v>
      </c>
      <c r="N29" s="107">
        <v>-176.72325326016585</v>
      </c>
      <c r="O29" s="107">
        <v>-179.83732133708318</v>
      </c>
      <c r="P29" s="107">
        <v>-182.42848624451301</v>
      </c>
      <c r="Q29" s="107">
        <v>-184.88756129815664</v>
      </c>
      <c r="R29" s="107">
        <v>-185.22340418117264</v>
      </c>
    </row>
    <row r="30" spans="1:20" x14ac:dyDescent="0.2">
      <c r="A30" s="93" t="s">
        <v>139</v>
      </c>
      <c r="B30" s="93" t="s">
        <v>138</v>
      </c>
      <c r="H30" s="72">
        <v>0</v>
      </c>
      <c r="I30" s="107">
        <v>-1.3361842845052792</v>
      </c>
      <c r="J30" s="107">
        <v>-9.7548880624480034</v>
      </c>
      <c r="K30" s="107">
        <v>-14.729696522701982</v>
      </c>
      <c r="L30" s="107">
        <v>-18.424293462854951</v>
      </c>
      <c r="M30" s="107">
        <v>-20.791474687495729</v>
      </c>
      <c r="N30" s="107">
        <v>-22.026955898401436</v>
      </c>
      <c r="O30" s="107">
        <v>-22.447280153254113</v>
      </c>
      <c r="P30" s="107">
        <v>-22.779712014525447</v>
      </c>
      <c r="Q30" s="107">
        <v>-22.867579680849087</v>
      </c>
      <c r="R30" s="107">
        <v>-22.910640666815723</v>
      </c>
    </row>
    <row r="31" spans="1:20" x14ac:dyDescent="0.2">
      <c r="A31" s="93" t="s">
        <v>140</v>
      </c>
      <c r="B31" s="93" t="s">
        <v>138</v>
      </c>
      <c r="H31" s="72">
        <v>0</v>
      </c>
      <c r="I31" s="107">
        <v>-51.953906533108878</v>
      </c>
      <c r="J31" s="107">
        <v>-309.26391645664268</v>
      </c>
      <c r="K31" s="107">
        <v>-312.0965972658604</v>
      </c>
      <c r="L31" s="107">
        <v>-314.32548084162744</v>
      </c>
      <c r="M31" s="107">
        <v>-315.69171173136255</v>
      </c>
      <c r="N31" s="107">
        <v>-316.46687252786501</v>
      </c>
      <c r="O31" s="107">
        <v>-316.75621629608861</v>
      </c>
      <c r="P31" s="107">
        <v>-316.82104150413375</v>
      </c>
      <c r="Q31" s="107">
        <v>-316.87371084848462</v>
      </c>
      <c r="R31" s="107">
        <v>-316.90409655454414</v>
      </c>
    </row>
    <row r="32" spans="1:20" x14ac:dyDescent="0.2">
      <c r="A32" s="93" t="s">
        <v>141</v>
      </c>
      <c r="B32" s="93" t="s">
        <v>138</v>
      </c>
      <c r="H32" s="72">
        <v>0</v>
      </c>
      <c r="I32" s="107">
        <v>-4.4536234070321274</v>
      </c>
      <c r="J32" s="107">
        <v>-20.886724097321334</v>
      </c>
      <c r="K32" s="107">
        <v>-20.505558294756863</v>
      </c>
      <c r="L32" s="107">
        <v>-20.438217875816679</v>
      </c>
      <c r="M32" s="107">
        <v>-20.306637128785383</v>
      </c>
      <c r="N32" s="107">
        <v>-20.339665028017176</v>
      </c>
      <c r="O32" s="107">
        <v>-20.439584213227</v>
      </c>
      <c r="P32" s="107">
        <v>-20.185170553205662</v>
      </c>
      <c r="Q32" s="107">
        <v>-20.164812426782024</v>
      </c>
      <c r="R32" s="107">
        <v>-20.171465986190391</v>
      </c>
    </row>
    <row r="33" spans="1:19" x14ac:dyDescent="0.2">
      <c r="A33" s="94" t="s">
        <v>142</v>
      </c>
      <c r="B33" s="94" t="s">
        <v>138</v>
      </c>
      <c r="H33" s="72">
        <v>0</v>
      </c>
      <c r="I33" s="107">
        <v>-30.548359372844871</v>
      </c>
      <c r="J33" s="107">
        <v>-183.2200988645763</v>
      </c>
      <c r="K33" s="107">
        <v>-183.20862855851652</v>
      </c>
      <c r="L33" s="107">
        <v>-183.20532091816489</v>
      </c>
      <c r="M33" s="107">
        <v>-183.20376620891437</v>
      </c>
      <c r="N33" s="107">
        <v>-183.20294062331837</v>
      </c>
      <c r="O33" s="107">
        <v>-183.2026605569167</v>
      </c>
      <c r="P33" s="107">
        <v>-183.20257608140835</v>
      </c>
      <c r="Q33" s="107">
        <v>-183.20250858224361</v>
      </c>
      <c r="R33" s="107">
        <v>-183.20247009456065</v>
      </c>
    </row>
    <row r="34" spans="1:19" x14ac:dyDescent="0.2">
      <c r="A34" s="95"/>
      <c r="B34" s="95"/>
      <c r="H34" s="75">
        <f t="shared" ref="H34:R34" si="11">SUM(H29:H33)</f>
        <v>0</v>
      </c>
      <c r="I34" s="108">
        <f t="shared" si="11"/>
        <v>-139.68188128902858</v>
      </c>
      <c r="J34" s="108">
        <f t="shared" si="11"/>
        <v>-614.81523964075768</v>
      </c>
      <c r="K34" s="108">
        <f t="shared" si="11"/>
        <v>-658.48273545929464</v>
      </c>
      <c r="L34" s="108">
        <f t="shared" si="11"/>
        <v>-688.58929824102779</v>
      </c>
      <c r="M34" s="108">
        <f t="shared" si="11"/>
        <v>-707.85847337298605</v>
      </c>
      <c r="N34" s="108">
        <f t="shared" si="11"/>
        <v>-718.75968733776779</v>
      </c>
      <c r="O34" s="108">
        <f t="shared" si="11"/>
        <v>-722.68306255656967</v>
      </c>
      <c r="P34" s="108">
        <f t="shared" si="11"/>
        <v>-725.41698639778622</v>
      </c>
      <c r="Q34" s="108">
        <f t="shared" si="11"/>
        <v>-727.99617283651594</v>
      </c>
      <c r="R34" s="108">
        <f t="shared" si="11"/>
        <v>-728.41207748328361</v>
      </c>
    </row>
    <row r="35" spans="1:19" ht="15" x14ac:dyDescent="0.25">
      <c r="A35" s="61" t="s">
        <v>146</v>
      </c>
      <c r="B35" s="95"/>
      <c r="I35" s="107"/>
      <c r="J35" s="107"/>
      <c r="K35" s="107"/>
      <c r="L35" s="107"/>
      <c r="M35" s="107"/>
      <c r="N35" s="107"/>
      <c r="O35" s="107"/>
      <c r="P35" s="107"/>
      <c r="Q35" s="107"/>
      <c r="R35" s="107"/>
    </row>
    <row r="36" spans="1:19" x14ac:dyDescent="0.2">
      <c r="A36" s="96" t="s">
        <v>137</v>
      </c>
      <c r="B36" s="96" t="s">
        <v>138</v>
      </c>
      <c r="H36" s="72">
        <f>H$27*H29</f>
        <v>0</v>
      </c>
      <c r="I36" s="107">
        <f t="shared" ref="I36:R36" si="12">I$27*I29</f>
        <v>-52.042458249219926</v>
      </c>
      <c r="J36" s="107">
        <f t="shared" si="12"/>
        <v>-94.033316926172731</v>
      </c>
      <c r="K36" s="107">
        <f t="shared" si="12"/>
        <v>-132.87902421958231</v>
      </c>
      <c r="L36" s="107">
        <f t="shared" si="12"/>
        <v>-160.07607831243939</v>
      </c>
      <c r="M36" s="107">
        <f t="shared" si="12"/>
        <v>-178.79851340262994</v>
      </c>
      <c r="N36" s="107">
        <f t="shared" si="12"/>
        <v>-190.62442981099039</v>
      </c>
      <c r="O36" s="107">
        <f t="shared" si="12"/>
        <v>-196.44704254260739</v>
      </c>
      <c r="P36" s="107">
        <f t="shared" si="12"/>
        <v>-201.80835125447069</v>
      </c>
      <c r="Q36" s="107">
        <f t="shared" si="12"/>
        <v>-207.1261744017952</v>
      </c>
      <c r="R36" s="107">
        <f t="shared" si="12"/>
        <v>-210.13769372545784</v>
      </c>
    </row>
    <row r="37" spans="1:19" x14ac:dyDescent="0.2">
      <c r="A37" s="93" t="s">
        <v>139</v>
      </c>
      <c r="B37" s="93" t="s">
        <v>138</v>
      </c>
      <c r="H37" s="72">
        <f t="shared" ref="H37:R37" si="13">H$27*H30</f>
        <v>0</v>
      </c>
      <c r="I37" s="107">
        <f t="shared" si="13"/>
        <v>-1.353153824918496</v>
      </c>
      <c r="J37" s="107">
        <f t="shared" si="13"/>
        <v>-10.004235585129775</v>
      </c>
      <c r="K37" s="107">
        <f t="shared" si="13"/>
        <v>-15.298055390533319</v>
      </c>
      <c r="L37" s="107">
        <f t="shared" si="13"/>
        <v>-19.378228935859909</v>
      </c>
      <c r="M37" s="107">
        <f t="shared" si="13"/>
        <v>-22.14569649997264</v>
      </c>
      <c r="N37" s="107">
        <f t="shared" si="13"/>
        <v>-23.759611885500806</v>
      </c>
      <c r="O37" s="107">
        <f t="shared" si="13"/>
        <v>-24.520504233749612</v>
      </c>
      <c r="P37" s="107">
        <f t="shared" si="13"/>
        <v>-25.199661622699608</v>
      </c>
      <c r="Q37" s="107">
        <f t="shared" si="13"/>
        <v>-25.618133874805558</v>
      </c>
      <c r="R37" s="107">
        <f t="shared" si="13"/>
        <v>-25.992337268503292</v>
      </c>
    </row>
    <row r="38" spans="1:19" x14ac:dyDescent="0.2">
      <c r="A38" s="93" t="s">
        <v>140</v>
      </c>
      <c r="B38" s="93" t="s">
        <v>138</v>
      </c>
      <c r="H38" s="72">
        <f t="shared" ref="H38:R38" si="14">H$27*H31</f>
        <v>0</v>
      </c>
      <c r="I38" s="107">
        <f t="shared" si="14"/>
        <v>-52.613721146079357</v>
      </c>
      <c r="J38" s="107">
        <f t="shared" si="14"/>
        <v>-317.16910111172666</v>
      </c>
      <c r="K38" s="107">
        <f t="shared" si="14"/>
        <v>-324.13913109557291</v>
      </c>
      <c r="L38" s="107">
        <f t="shared" si="14"/>
        <v>-330.5999842221064</v>
      </c>
      <c r="M38" s="107">
        <f t="shared" si="14"/>
        <v>-336.25382233056393</v>
      </c>
      <c r="N38" s="107">
        <f t="shared" si="14"/>
        <v>-341.36038136917574</v>
      </c>
      <c r="O38" s="107">
        <f t="shared" si="14"/>
        <v>-346.01172568467217</v>
      </c>
      <c r="P38" s="107">
        <f t="shared" si="14"/>
        <v>-350.47778636378689</v>
      </c>
      <c r="Q38" s="107">
        <f t="shared" si="14"/>
        <v>-354.98785875976404</v>
      </c>
      <c r="R38" s="107">
        <f t="shared" si="14"/>
        <v>-359.53067743525867</v>
      </c>
    </row>
    <row r="39" spans="1:19" x14ac:dyDescent="0.2">
      <c r="A39" s="93" t="s">
        <v>141</v>
      </c>
      <c r="B39" s="93" t="s">
        <v>138</v>
      </c>
      <c r="H39" s="72">
        <f t="shared" ref="H39:R39" si="15">H$27*H32</f>
        <v>0</v>
      </c>
      <c r="I39" s="107">
        <f t="shared" si="15"/>
        <v>-4.5101844243014355</v>
      </c>
      <c r="J39" s="107">
        <f t="shared" si="15"/>
        <v>-21.420615709122952</v>
      </c>
      <c r="K39" s="107">
        <f t="shared" si="15"/>
        <v>-21.296784093516198</v>
      </c>
      <c r="L39" s="107">
        <f t="shared" si="15"/>
        <v>-21.496426217756781</v>
      </c>
      <c r="M39" s="107">
        <f t="shared" si="15"/>
        <v>-21.629279767231484</v>
      </c>
      <c r="N39" s="107">
        <f t="shared" si="15"/>
        <v>-21.939597517505984</v>
      </c>
      <c r="O39" s="107">
        <f t="shared" si="15"/>
        <v>-22.327378097246164</v>
      </c>
      <c r="P39" s="107">
        <f t="shared" si="15"/>
        <v>-22.329495096905397</v>
      </c>
      <c r="Q39" s="107">
        <f t="shared" si="15"/>
        <v>-22.590272845633464</v>
      </c>
      <c r="R39" s="107">
        <f t="shared" si="15"/>
        <v>-22.884717836486161</v>
      </c>
    </row>
    <row r="40" spans="1:19" x14ac:dyDescent="0.2">
      <c r="A40" s="93" t="s">
        <v>142</v>
      </c>
      <c r="B40" s="93" t="s">
        <v>138</v>
      </c>
      <c r="H40" s="72">
        <f t="shared" ref="H40:R40" si="16">H$27*H33</f>
        <v>0</v>
      </c>
      <c r="I40" s="107">
        <f t="shared" si="16"/>
        <v>-30.93632353688</v>
      </c>
      <c r="J40" s="107">
        <f t="shared" si="16"/>
        <v>-187.9034409454824</v>
      </c>
      <c r="K40" s="107">
        <f t="shared" si="16"/>
        <v>-190.27790174713681</v>
      </c>
      <c r="L40" s="107">
        <f t="shared" si="16"/>
        <v>-192.69095220272075</v>
      </c>
      <c r="M40" s="107">
        <f t="shared" si="16"/>
        <v>-195.13647132276768</v>
      </c>
      <c r="N40" s="107">
        <f t="shared" si="16"/>
        <v>-197.61381398182178</v>
      </c>
      <c r="O40" s="107">
        <f t="shared" si="16"/>
        <v>-200.12320348614017</v>
      </c>
      <c r="P40" s="107">
        <f t="shared" si="16"/>
        <v>-202.66467472084705</v>
      </c>
      <c r="Q40" s="107">
        <f t="shared" si="16"/>
        <v>-205.2384404717144</v>
      </c>
      <c r="R40" s="107">
        <f t="shared" si="16"/>
        <v>-207.84492500106694</v>
      </c>
    </row>
    <row r="41" spans="1:19" ht="15" x14ac:dyDescent="0.25">
      <c r="A41" s="93"/>
      <c r="B41" s="93"/>
      <c r="H41" s="75">
        <f>SUM(H36:H40)</f>
        <v>0</v>
      </c>
      <c r="I41" s="108">
        <f t="shared" ref="I41:R41" si="17">SUM(I36:I40)</f>
        <v>-141.45584118139919</v>
      </c>
      <c r="J41" s="108">
        <f t="shared" si="17"/>
        <v>-630.53071027763451</v>
      </c>
      <c r="K41" s="108">
        <f t="shared" si="17"/>
        <v>-683.89089654634154</v>
      </c>
      <c r="L41" s="108">
        <f t="shared" si="17"/>
        <v>-724.24166989088326</v>
      </c>
      <c r="M41" s="108">
        <f t="shared" si="17"/>
        <v>-753.96378332316567</v>
      </c>
      <c r="N41" s="108">
        <f t="shared" si="17"/>
        <v>-775.29783456499467</v>
      </c>
      <c r="O41" s="108">
        <f t="shared" si="17"/>
        <v>-789.42985404441549</v>
      </c>
      <c r="P41" s="108">
        <f t="shared" si="17"/>
        <v>-802.47996905870968</v>
      </c>
      <c r="Q41" s="108">
        <f t="shared" si="17"/>
        <v>-815.56088035371261</v>
      </c>
      <c r="R41" s="108">
        <f t="shared" si="17"/>
        <v>-826.39035126677288</v>
      </c>
      <c r="S41" s="88" t="s">
        <v>144</v>
      </c>
    </row>
    <row r="42" spans="1:19" ht="15" x14ac:dyDescent="0.25">
      <c r="S42" s="89"/>
    </row>
    <row r="43" spans="1:19" s="75" customFormat="1" ht="15" x14ac:dyDescent="0.25">
      <c r="S43" s="110"/>
    </row>
    <row r="44" spans="1:19" ht="15" x14ac:dyDescent="0.25">
      <c r="A44" s="80" t="s">
        <v>117</v>
      </c>
      <c r="C44" s="81" t="s">
        <v>110</v>
      </c>
      <c r="D44" s="82" t="s">
        <v>111</v>
      </c>
      <c r="E44" s="82" t="s">
        <v>112</v>
      </c>
    </row>
    <row r="45" spans="1:19" x14ac:dyDescent="0.2">
      <c r="A45" s="72" t="s">
        <v>102</v>
      </c>
      <c r="B45" s="77" t="s">
        <v>103</v>
      </c>
      <c r="C45" s="83" t="s">
        <v>119</v>
      </c>
      <c r="D45" s="84">
        <v>2024</v>
      </c>
      <c r="E45" s="84">
        <v>2048</v>
      </c>
      <c r="H45" s="78">
        <v>0</v>
      </c>
      <c r="I45" s="72">
        <v>0</v>
      </c>
      <c r="J45" s="72">
        <v>0</v>
      </c>
      <c r="K45" s="72">
        <v>101.72241109704775</v>
      </c>
      <c r="L45" s="72">
        <v>271.62494352642568</v>
      </c>
      <c r="M45" s="72">
        <v>379.86158476742315</v>
      </c>
      <c r="N45" s="72">
        <v>438.10711293283504</v>
      </c>
      <c r="O45" s="72">
        <v>442.82066636359036</v>
      </c>
      <c r="P45" s="72">
        <v>424.3698052651074</v>
      </c>
      <c r="Q45" s="72">
        <v>405.91894416662444</v>
      </c>
      <c r="R45" s="72">
        <v>387.46808306814154</v>
      </c>
    </row>
    <row r="46" spans="1:19" ht="15" x14ac:dyDescent="0.25">
      <c r="A46" s="72" t="s">
        <v>104</v>
      </c>
      <c r="B46" s="77" t="s">
        <v>103</v>
      </c>
      <c r="F46" s="100" t="s">
        <v>186</v>
      </c>
      <c r="G46" s="79">
        <v>460.34495088090375</v>
      </c>
      <c r="H46" s="86"/>
      <c r="I46" s="72">
        <v>0</v>
      </c>
      <c r="J46" s="72">
        <v>101.72241109704775</v>
      </c>
      <c r="K46" s="72">
        <v>169.90253242937791</v>
      </c>
      <c r="L46" s="72">
        <v>108.23664124099747</v>
      </c>
      <c r="M46" s="72">
        <v>58.245528165411883</v>
      </c>
      <c r="N46" s="72">
        <v>22.237837948068698</v>
      </c>
      <c r="O46" s="72">
        <v>0</v>
      </c>
      <c r="P46" s="72">
        <v>0</v>
      </c>
      <c r="Q46" s="72">
        <v>0</v>
      </c>
      <c r="R46" s="72">
        <v>0</v>
      </c>
    </row>
    <row r="47" spans="1:19" x14ac:dyDescent="0.2">
      <c r="A47" s="72" t="s">
        <v>105</v>
      </c>
      <c r="B47" s="77" t="s">
        <v>103</v>
      </c>
      <c r="G47" s="79">
        <v>-91.327728911245131</v>
      </c>
      <c r="H47" s="86"/>
      <c r="I47" s="72">
        <v>0</v>
      </c>
      <c r="J47" s="72">
        <v>0</v>
      </c>
      <c r="K47" s="72">
        <v>0</v>
      </c>
      <c r="L47" s="72">
        <v>0</v>
      </c>
      <c r="M47" s="72">
        <v>0</v>
      </c>
      <c r="N47" s="72">
        <v>-17.524284517313401</v>
      </c>
      <c r="O47" s="72">
        <v>-18.450861098482932</v>
      </c>
      <c r="P47" s="72">
        <v>-18.450861098482932</v>
      </c>
      <c r="Q47" s="72">
        <v>-18.450861098482928</v>
      </c>
      <c r="R47" s="72">
        <v>-18.450861098482932</v>
      </c>
    </row>
    <row r="48" spans="1:19" x14ac:dyDescent="0.2">
      <c r="A48" s="72" t="s">
        <v>106</v>
      </c>
      <c r="B48" s="77" t="s">
        <v>103</v>
      </c>
      <c r="H48" s="65">
        <v>0</v>
      </c>
      <c r="I48" s="65">
        <v>0</v>
      </c>
      <c r="J48" s="65">
        <v>101.72241109704775</v>
      </c>
      <c r="K48" s="65">
        <v>271.62494352642568</v>
      </c>
      <c r="L48" s="65">
        <v>379.86158476742315</v>
      </c>
      <c r="M48" s="65">
        <v>438.10711293283504</v>
      </c>
      <c r="N48" s="65">
        <v>442.82066636359036</v>
      </c>
      <c r="O48" s="65">
        <v>424.3698052651074</v>
      </c>
      <c r="P48" s="65">
        <v>405.91894416662444</v>
      </c>
      <c r="Q48" s="65">
        <v>387.46808306814154</v>
      </c>
      <c r="R48" s="65">
        <v>369.01722196965864</v>
      </c>
    </row>
    <row r="49" spans="1:18" ht="15.75" x14ac:dyDescent="0.25">
      <c r="A49" s="76"/>
    </row>
    <row r="50" spans="1:18" x14ac:dyDescent="0.2">
      <c r="A50" s="72" t="s">
        <v>107</v>
      </c>
      <c r="B50" s="77" t="s">
        <v>103</v>
      </c>
      <c r="H50" s="72">
        <v>0</v>
      </c>
      <c r="I50" s="72">
        <v>0</v>
      </c>
      <c r="J50" s="72">
        <v>50.861205548523877</v>
      </c>
      <c r="K50" s="72">
        <v>186.67367731173672</v>
      </c>
      <c r="L50" s="72">
        <v>325.74326414692439</v>
      </c>
      <c r="M50" s="72">
        <v>408.98434885012909</v>
      </c>
      <c r="N50" s="72">
        <v>440.46388964821267</v>
      </c>
      <c r="O50" s="72">
        <v>433.59523581434888</v>
      </c>
      <c r="P50" s="72">
        <v>415.14437471586592</v>
      </c>
      <c r="Q50" s="72">
        <v>396.69351361738302</v>
      </c>
      <c r="R50" s="72">
        <v>378.24265251890006</v>
      </c>
    </row>
    <row r="52" spans="1:18" ht="15" x14ac:dyDescent="0.25">
      <c r="A52" s="80" t="s">
        <v>118</v>
      </c>
      <c r="C52" s="81" t="s">
        <v>110</v>
      </c>
      <c r="D52" s="82" t="s">
        <v>111</v>
      </c>
      <c r="E52" s="82" t="s">
        <v>112</v>
      </c>
    </row>
    <row r="53" spans="1:18" x14ac:dyDescent="0.2">
      <c r="A53" s="72" t="s">
        <v>102</v>
      </c>
      <c r="B53" s="77" t="s">
        <v>103</v>
      </c>
      <c r="C53" s="83" t="s">
        <v>120</v>
      </c>
      <c r="D53" s="84">
        <v>2024</v>
      </c>
      <c r="E53" s="84">
        <v>2048</v>
      </c>
      <c r="H53" s="78">
        <v>0</v>
      </c>
      <c r="I53" s="72">
        <v>0</v>
      </c>
      <c r="J53" s="72">
        <v>0</v>
      </c>
      <c r="K53" s="72">
        <v>54.99165193940263</v>
      </c>
      <c r="L53" s="72">
        <v>62.167026028349085</v>
      </c>
      <c r="M53" s="72">
        <v>67.841551550066953</v>
      </c>
      <c r="N53" s="72">
        <v>71.097929953187275</v>
      </c>
      <c r="O53" s="72">
        <v>69.019350719826235</v>
      </c>
      <c r="P53" s="72">
        <v>66.143544439833477</v>
      </c>
      <c r="Q53" s="72">
        <v>63.267738159840718</v>
      </c>
      <c r="R53" s="72">
        <v>60.391931879847959</v>
      </c>
    </row>
    <row r="54" spans="1:18" ht="15" x14ac:dyDescent="0.25">
      <c r="A54" s="72" t="s">
        <v>104</v>
      </c>
      <c r="B54" s="77" t="s">
        <v>103</v>
      </c>
      <c r="F54" s="88" t="s">
        <v>187</v>
      </c>
      <c r="G54" s="79">
        <v>71.863267917953721</v>
      </c>
      <c r="H54" s="86"/>
      <c r="I54" s="72">
        <v>0</v>
      </c>
      <c r="J54" s="72">
        <v>54.99165193940263</v>
      </c>
      <c r="K54" s="72">
        <v>7.1753740889464552</v>
      </c>
      <c r="L54" s="72">
        <v>5.6745255217178681</v>
      </c>
      <c r="M54" s="72">
        <v>3.2563784031203227</v>
      </c>
      <c r="N54" s="72">
        <v>0.76533796476644511</v>
      </c>
      <c r="O54" s="72">
        <v>0</v>
      </c>
      <c r="P54" s="72">
        <v>0</v>
      </c>
      <c r="Q54" s="72">
        <v>0</v>
      </c>
      <c r="R54" s="72">
        <v>0</v>
      </c>
    </row>
    <row r="55" spans="1:18" x14ac:dyDescent="0.2">
      <c r="A55" s="72" t="s">
        <v>105</v>
      </c>
      <c r="B55" s="77" t="s">
        <v>103</v>
      </c>
      <c r="G55" s="79">
        <v>-14.347142318098532</v>
      </c>
      <c r="H55" s="86"/>
      <c r="I55" s="72">
        <v>0</v>
      </c>
      <c r="J55" s="72">
        <v>0</v>
      </c>
      <c r="K55" s="72">
        <v>0</v>
      </c>
      <c r="L55" s="72">
        <v>0</v>
      </c>
      <c r="M55" s="72">
        <v>0</v>
      </c>
      <c r="N55" s="72">
        <v>-2.8439171981274911</v>
      </c>
      <c r="O55" s="72">
        <v>-2.87580627999276</v>
      </c>
      <c r="P55" s="72">
        <v>-2.87580627999276</v>
      </c>
      <c r="Q55" s="72">
        <v>-2.87580627999276</v>
      </c>
      <c r="R55" s="72">
        <v>-2.87580627999276</v>
      </c>
    </row>
    <row r="56" spans="1:18" x14ac:dyDescent="0.2">
      <c r="A56" s="72" t="s">
        <v>106</v>
      </c>
      <c r="B56" s="77" t="s">
        <v>103</v>
      </c>
      <c r="H56" s="65">
        <v>0</v>
      </c>
      <c r="I56" s="65">
        <v>0</v>
      </c>
      <c r="J56" s="65">
        <v>54.99165193940263</v>
      </c>
      <c r="K56" s="65">
        <v>62.167026028349085</v>
      </c>
      <c r="L56" s="65">
        <v>67.841551550066953</v>
      </c>
      <c r="M56" s="65">
        <v>71.097929953187275</v>
      </c>
      <c r="N56" s="65">
        <v>69.019350719826235</v>
      </c>
      <c r="O56" s="65">
        <v>66.143544439833477</v>
      </c>
      <c r="P56" s="65">
        <v>63.267738159840718</v>
      </c>
      <c r="Q56" s="65">
        <v>60.391931879847959</v>
      </c>
      <c r="R56" s="65">
        <v>57.516125599855201</v>
      </c>
    </row>
    <row r="57" spans="1:18" ht="15.75" x14ac:dyDescent="0.25">
      <c r="A57" s="76"/>
    </row>
    <row r="58" spans="1:18" x14ac:dyDescent="0.2">
      <c r="A58" s="72" t="s">
        <v>107</v>
      </c>
      <c r="B58" s="77" t="s">
        <v>103</v>
      </c>
      <c r="H58" s="72">
        <v>0</v>
      </c>
      <c r="I58" s="72">
        <v>0</v>
      </c>
      <c r="J58" s="72">
        <v>27.495825969701315</v>
      </c>
      <c r="K58" s="72">
        <v>58.579338983875857</v>
      </c>
      <c r="L58" s="72">
        <v>65.004288789208019</v>
      </c>
      <c r="M58" s="72">
        <v>69.469740751627114</v>
      </c>
      <c r="N58" s="72">
        <v>70.058640336506755</v>
      </c>
      <c r="O58" s="72">
        <v>67.581447579829856</v>
      </c>
      <c r="P58" s="72">
        <v>64.705641299837097</v>
      </c>
      <c r="Q58" s="72">
        <v>61.829835019844339</v>
      </c>
      <c r="R58" s="72">
        <v>58.95402873985158</v>
      </c>
    </row>
    <row r="60" spans="1:18" s="75" customFormat="1" ht="20.25" x14ac:dyDescent="0.3">
      <c r="A60" s="112" t="s">
        <v>182</v>
      </c>
    </row>
    <row r="61" spans="1:18" ht="15" x14ac:dyDescent="0.25">
      <c r="A61" s="97" t="s">
        <v>114</v>
      </c>
      <c r="B61" s="98"/>
    </row>
    <row r="62" spans="1:18" ht="15" x14ac:dyDescent="0.25">
      <c r="A62" s="99" t="s">
        <v>121</v>
      </c>
      <c r="B62" s="98" t="s">
        <v>103</v>
      </c>
      <c r="F62" s="100" t="s">
        <v>166</v>
      </c>
      <c r="G62" s="79">
        <v>2634.8421406332345</v>
      </c>
      <c r="H62" s="87">
        <f>SUM(I62:R62)-G62</f>
        <v>0</v>
      </c>
      <c r="I62" s="67">
        <f t="shared" ref="I62:R62" si="18">I86*I$75/1000</f>
        <v>29.806298770006098</v>
      </c>
      <c r="J62" s="67">
        <f t="shared" si="18"/>
        <v>109.97913621875544</v>
      </c>
      <c r="K62" s="67">
        <f t="shared" si="18"/>
        <v>195.86708487064755</v>
      </c>
      <c r="L62" s="67">
        <f t="shared" si="18"/>
        <v>254.79286494372104</v>
      </c>
      <c r="M62" s="67">
        <f t="shared" si="18"/>
        <v>298.71165393568015</v>
      </c>
      <c r="N62" s="67">
        <f t="shared" si="18"/>
        <v>329.5326104225133</v>
      </c>
      <c r="O62" s="67">
        <f t="shared" si="18"/>
        <v>343.64441886576157</v>
      </c>
      <c r="P62" s="67">
        <f t="shared" si="18"/>
        <v>350.93942105056033</v>
      </c>
      <c r="Q62" s="67">
        <f t="shared" si="18"/>
        <v>357.80780147291568</v>
      </c>
      <c r="R62" s="67">
        <f t="shared" si="18"/>
        <v>363.76085008267319</v>
      </c>
    </row>
    <row r="63" spans="1:18" ht="15" x14ac:dyDescent="0.25">
      <c r="A63" s="99" t="s">
        <v>122</v>
      </c>
      <c r="B63" s="98" t="s">
        <v>103</v>
      </c>
      <c r="F63" s="100" t="s">
        <v>167</v>
      </c>
      <c r="G63" s="79">
        <v>1607.4447362751005</v>
      </c>
      <c r="H63" s="87">
        <f>SUM(I63:R63)-G63</f>
        <v>0</v>
      </c>
      <c r="I63" s="67">
        <f t="shared" ref="I63:R63" si="19">I87*I$76/1000</f>
        <v>14.038796238875891</v>
      </c>
      <c r="J63" s="67">
        <f t="shared" si="19"/>
        <v>50.82438458363157</v>
      </c>
      <c r="K63" s="67">
        <f t="shared" si="19"/>
        <v>101.95424321785531</v>
      </c>
      <c r="L63" s="67">
        <f t="shared" si="19"/>
        <v>155.70821460727413</v>
      </c>
      <c r="M63" s="67">
        <f t="shared" si="19"/>
        <v>190.95104654705128</v>
      </c>
      <c r="N63" s="67">
        <f t="shared" si="19"/>
        <v>208.32931721170954</v>
      </c>
      <c r="O63" s="67">
        <f t="shared" si="19"/>
        <v>217.23618487531539</v>
      </c>
      <c r="P63" s="67">
        <f t="shared" si="19"/>
        <v>219.99508442323187</v>
      </c>
      <c r="Q63" s="67">
        <f t="shared" si="19"/>
        <v>222.7890219954069</v>
      </c>
      <c r="R63" s="67">
        <f t="shared" si="19"/>
        <v>225.61844257474857</v>
      </c>
    </row>
    <row r="64" spans="1:18" ht="15" x14ac:dyDescent="0.25">
      <c r="A64" s="99" t="s">
        <v>123</v>
      </c>
      <c r="B64" s="98" t="s">
        <v>103</v>
      </c>
      <c r="F64" s="100" t="s">
        <v>168</v>
      </c>
      <c r="G64" s="79">
        <v>207.49130812952731</v>
      </c>
      <c r="H64" s="87">
        <f>SUM(I64:R64)-G64</f>
        <v>0</v>
      </c>
      <c r="I64" s="67">
        <f t="shared" ref="I64:R64" si="20">I88*I$77/1000</f>
        <v>3.0812965720214649</v>
      </c>
      <c r="J64" s="67">
        <f t="shared" si="20"/>
        <v>6.240858076972275</v>
      </c>
      <c r="K64" s="67">
        <f t="shared" si="20"/>
        <v>13.90425734400961</v>
      </c>
      <c r="L64" s="67">
        <f t="shared" si="20"/>
        <v>23.681415102468435</v>
      </c>
      <c r="M64" s="67">
        <f t="shared" si="20"/>
        <v>25.926669269480843</v>
      </c>
      <c r="N64" s="67">
        <f t="shared" si="20"/>
        <v>26.255937969203252</v>
      </c>
      <c r="O64" s="67">
        <f t="shared" si="20"/>
        <v>26.589388381412128</v>
      </c>
      <c r="P64" s="67">
        <f t="shared" si="20"/>
        <v>26.927073613856063</v>
      </c>
      <c r="Q64" s="67">
        <f t="shared" si="20"/>
        <v>27.269047448752033</v>
      </c>
      <c r="R64" s="67">
        <f t="shared" si="20"/>
        <v>27.615364351351182</v>
      </c>
    </row>
    <row r="65" spans="1:19" ht="15" x14ac:dyDescent="0.25">
      <c r="A65" s="99" t="s">
        <v>124</v>
      </c>
      <c r="B65" s="98" t="s">
        <v>103</v>
      </c>
      <c r="F65" s="100" t="s">
        <v>170</v>
      </c>
      <c r="G65" s="79">
        <v>1852.559751653607</v>
      </c>
      <c r="H65" s="87">
        <f>SUM(I65:R65)-G65</f>
        <v>0</v>
      </c>
      <c r="I65" s="63">
        <f t="shared" ref="I65:R65" si="21">I93*I94*I78/1000</f>
        <v>33.066085896511375</v>
      </c>
      <c r="J65" s="63">
        <f t="shared" si="21"/>
        <v>204.50274980482263</v>
      </c>
      <c r="K65" s="63">
        <f t="shared" si="21"/>
        <v>200.83310345774808</v>
      </c>
      <c r="L65" s="63">
        <f t="shared" si="21"/>
        <v>195.89255943278619</v>
      </c>
      <c r="M65" s="63">
        <f t="shared" si="21"/>
        <v>196.73638548044781</v>
      </c>
      <c r="N65" s="63">
        <f t="shared" si="21"/>
        <v>199.26967294653511</v>
      </c>
      <c r="O65" s="63">
        <f t="shared" si="21"/>
        <v>201.90923955097315</v>
      </c>
      <c r="P65" s="63">
        <f t="shared" si="21"/>
        <v>204.19195274152764</v>
      </c>
      <c r="Q65" s="63">
        <f t="shared" si="21"/>
        <v>206.76230808425501</v>
      </c>
      <c r="R65" s="63">
        <f t="shared" si="21"/>
        <v>209.39569425799996</v>
      </c>
    </row>
    <row r="66" spans="1:19" ht="15" x14ac:dyDescent="0.25">
      <c r="A66" s="72" t="s">
        <v>125</v>
      </c>
      <c r="B66" s="98" t="s">
        <v>103</v>
      </c>
      <c r="G66" s="79">
        <v>6302.3379366914696</v>
      </c>
      <c r="H66" s="87">
        <f>SUM(I66:R66)-G66</f>
        <v>0</v>
      </c>
      <c r="I66" s="64">
        <f>SUM(I62:I65)</f>
        <v>79.992477477414837</v>
      </c>
      <c r="J66" s="64">
        <f t="shared" ref="J66:R66" si="22">SUM(J62:J65)</f>
        <v>371.54712868418193</v>
      </c>
      <c r="K66" s="64">
        <f t="shared" si="22"/>
        <v>512.55868889026056</v>
      </c>
      <c r="L66" s="64">
        <f t="shared" si="22"/>
        <v>630.07505408624979</v>
      </c>
      <c r="M66" s="64">
        <f t="shared" si="22"/>
        <v>712.32575523266007</v>
      </c>
      <c r="N66" s="64">
        <f t="shared" si="22"/>
        <v>763.38753854996128</v>
      </c>
      <c r="O66" s="64">
        <f t="shared" si="22"/>
        <v>789.3792316734623</v>
      </c>
      <c r="P66" s="64">
        <f t="shared" si="22"/>
        <v>802.05353182917588</v>
      </c>
      <c r="Q66" s="64">
        <f t="shared" si="22"/>
        <v>814.62817900132961</v>
      </c>
      <c r="R66" s="64">
        <f t="shared" si="22"/>
        <v>826.39035126677288</v>
      </c>
      <c r="S66" s="101" t="s">
        <v>145</v>
      </c>
    </row>
    <row r="67" spans="1:19" ht="15" x14ac:dyDescent="0.25">
      <c r="A67" s="97" t="s">
        <v>126</v>
      </c>
      <c r="B67" s="98"/>
    </row>
    <row r="68" spans="1:19" ht="15" x14ac:dyDescent="0.25">
      <c r="A68" s="99" t="s">
        <v>121</v>
      </c>
      <c r="B68" s="98" t="s">
        <v>103</v>
      </c>
      <c r="F68" s="100" t="s">
        <v>176</v>
      </c>
      <c r="G68" s="79">
        <v>1410.1290696401561</v>
      </c>
      <c r="H68" s="87">
        <f>SUM(I68:R68)-G68</f>
        <v>0</v>
      </c>
      <c r="I68" s="67">
        <f t="shared" ref="I68:R68" si="23">I86*I79/1000</f>
        <v>16.28246712736998</v>
      </c>
      <c r="J68" s="67">
        <f t="shared" si="23"/>
        <v>59.325533727591058</v>
      </c>
      <c r="K68" s="67">
        <f t="shared" si="23"/>
        <v>104.3306707219196</v>
      </c>
      <c r="L68" s="67">
        <f t="shared" si="23"/>
        <v>134.01610508195427</v>
      </c>
      <c r="M68" s="67">
        <f t="shared" si="23"/>
        <v>155.14617977423393</v>
      </c>
      <c r="N68" s="67">
        <f t="shared" si="23"/>
        <v>194.27930188970126</v>
      </c>
      <c r="O68" s="67">
        <f t="shared" si="23"/>
        <v>192.01186685403522</v>
      </c>
      <c r="P68" s="67">
        <f t="shared" si="23"/>
        <v>188.45008187989112</v>
      </c>
      <c r="Q68" s="67">
        <f t="shared" si="23"/>
        <v>184.90900516918146</v>
      </c>
      <c r="R68" s="67">
        <f t="shared" si="23"/>
        <v>181.37785741427831</v>
      </c>
    </row>
    <row r="69" spans="1:19" ht="15" x14ac:dyDescent="0.25">
      <c r="A69" s="99" t="s">
        <v>122</v>
      </c>
      <c r="B69" s="98" t="s">
        <v>103</v>
      </c>
      <c r="F69" s="100" t="s">
        <v>177</v>
      </c>
      <c r="G69" s="79">
        <v>826.09381890173893</v>
      </c>
      <c r="H69" s="87">
        <f>SUM(I69:R69)-G69</f>
        <v>0</v>
      </c>
      <c r="I69" s="67">
        <f t="shared" ref="I69:R69" si="24">I87*I80/1000</f>
        <v>7.2667082946757091</v>
      </c>
      <c r="J69" s="67">
        <f t="shared" si="24"/>
        <v>25.977608939194166</v>
      </c>
      <c r="K69" s="67">
        <f t="shared" si="24"/>
        <v>51.457838722881888</v>
      </c>
      <c r="L69" s="67">
        <f t="shared" si="24"/>
        <v>77.602721338108339</v>
      </c>
      <c r="M69" s="67">
        <f t="shared" si="24"/>
        <v>93.973771971480815</v>
      </c>
      <c r="N69" s="67">
        <f t="shared" si="24"/>
        <v>117.64579366843097</v>
      </c>
      <c r="O69" s="67">
        <f t="shared" si="24"/>
        <v>116.26590360238028</v>
      </c>
      <c r="P69" s="67">
        <f t="shared" si="24"/>
        <v>114.10966087458122</v>
      </c>
      <c r="Q69" s="67">
        <f t="shared" si="24"/>
        <v>111.965838988287</v>
      </c>
      <c r="R69" s="67">
        <f t="shared" si="24"/>
        <v>109.82797250171859</v>
      </c>
    </row>
    <row r="70" spans="1:19" ht="15" x14ac:dyDescent="0.25">
      <c r="A70" s="99" t="s">
        <v>123</v>
      </c>
      <c r="B70" s="98" t="s">
        <v>103</v>
      </c>
      <c r="F70" s="100" t="s">
        <v>178</v>
      </c>
      <c r="G70" s="79">
        <v>2.0733814676547424</v>
      </c>
      <c r="H70" s="87">
        <f>SUM(I70:R70)-G70</f>
        <v>0</v>
      </c>
      <c r="I70" s="67">
        <f t="shared" ref="I70:R70" si="25">I88*I81/1000</f>
        <v>5.973467827619975E-2</v>
      </c>
      <c r="J70" s="67">
        <f t="shared" si="25"/>
        <v>0.1194693565523995</v>
      </c>
      <c r="K70" s="67">
        <f t="shared" si="25"/>
        <v>0.2628325844152789</v>
      </c>
      <c r="L70" s="67">
        <f t="shared" si="25"/>
        <v>0.44203661924387821</v>
      </c>
      <c r="M70" s="67">
        <f t="shared" si="25"/>
        <v>0.477877426209598</v>
      </c>
      <c r="N70" s="67">
        <f t="shared" si="25"/>
        <v>0.14506454218274678</v>
      </c>
      <c r="O70" s="67">
        <f t="shared" si="25"/>
        <v>0.14585373713179473</v>
      </c>
      <c r="P70" s="67">
        <f t="shared" si="25"/>
        <v>0.14297828867106416</v>
      </c>
      <c r="Q70" s="67">
        <f t="shared" si="25"/>
        <v>0.14016147072351029</v>
      </c>
      <c r="R70" s="67">
        <f t="shared" si="25"/>
        <v>0.13737276424827197</v>
      </c>
    </row>
    <row r="71" spans="1:19" ht="15" x14ac:dyDescent="0.25">
      <c r="A71" s="99" t="s">
        <v>124</v>
      </c>
      <c r="B71" s="98" t="s">
        <v>103</v>
      </c>
      <c r="F71" s="100" t="s">
        <v>179</v>
      </c>
      <c r="G71" s="79">
        <v>1386.820759691481</v>
      </c>
      <c r="H71" s="87">
        <f>SUM(I71:R71)-G71</f>
        <v>0</v>
      </c>
      <c r="I71" s="63">
        <f t="shared" ref="I71:R71" si="26">I82*I93*I94/1000</f>
        <v>25.625549222563436</v>
      </c>
      <c r="J71" s="63">
        <f t="shared" si="26"/>
        <v>153.75329533538061</v>
      </c>
      <c r="K71" s="63">
        <f t="shared" si="26"/>
        <v>153.75329533538061</v>
      </c>
      <c r="L71" s="63">
        <f t="shared" si="26"/>
        <v>153.75329533538061</v>
      </c>
      <c r="M71" s="63">
        <f t="shared" si="26"/>
        <v>153.75329533538061</v>
      </c>
      <c r="N71" s="63">
        <f t="shared" si="26"/>
        <v>154.72730231147619</v>
      </c>
      <c r="O71" s="63">
        <f t="shared" si="26"/>
        <v>152.00988457143717</v>
      </c>
      <c r="P71" s="63">
        <f t="shared" si="26"/>
        <v>149.24574932646556</v>
      </c>
      <c r="Q71" s="63">
        <f t="shared" si="26"/>
        <v>146.48161408149394</v>
      </c>
      <c r="R71" s="63">
        <f t="shared" si="26"/>
        <v>143.71747883652233</v>
      </c>
    </row>
    <row r="72" spans="1:19" x14ac:dyDescent="0.2">
      <c r="A72" s="72" t="s">
        <v>125</v>
      </c>
      <c r="B72" s="98" t="s">
        <v>103</v>
      </c>
      <c r="G72" s="79">
        <v>3625.1170297010312</v>
      </c>
      <c r="H72" s="87">
        <f>SUM(I72:R72)-G72</f>
        <v>0</v>
      </c>
      <c r="I72" s="64">
        <f>SUM(I68:I71)</f>
        <v>49.234459322885328</v>
      </c>
      <c r="J72" s="64">
        <f t="shared" ref="J72:R72" si="27">SUM(J68:J71)</f>
        <v>239.17590735871823</v>
      </c>
      <c r="K72" s="64">
        <f t="shared" si="27"/>
        <v>309.8046373645974</v>
      </c>
      <c r="L72" s="64">
        <f t="shared" si="27"/>
        <v>365.81415837468705</v>
      </c>
      <c r="M72" s="64">
        <f t="shared" si="27"/>
        <v>403.35112450730492</v>
      </c>
      <c r="N72" s="64">
        <f t="shared" si="27"/>
        <v>466.79746241179117</v>
      </c>
      <c r="O72" s="64">
        <f t="shared" si="27"/>
        <v>460.43350876498448</v>
      </c>
      <c r="P72" s="64">
        <f t="shared" si="27"/>
        <v>451.94847036960897</v>
      </c>
      <c r="Q72" s="64">
        <f t="shared" si="27"/>
        <v>443.49661970968594</v>
      </c>
      <c r="R72" s="64">
        <f t="shared" si="27"/>
        <v>435.06068151676749</v>
      </c>
    </row>
    <row r="73" spans="1:19" ht="15" x14ac:dyDescent="0.25">
      <c r="B73" s="98"/>
      <c r="G73" s="90"/>
      <c r="H73" s="87"/>
      <c r="I73" s="64"/>
      <c r="J73" s="64"/>
      <c r="K73" s="64"/>
      <c r="L73" s="64"/>
      <c r="M73" s="64"/>
      <c r="N73" s="64"/>
      <c r="O73" s="64"/>
      <c r="P73" s="64"/>
      <c r="Q73" s="64"/>
      <c r="R73" s="64"/>
      <c r="S73" s="101"/>
    </row>
    <row r="74" spans="1:19" s="75" customFormat="1" ht="20.25" x14ac:dyDescent="0.3">
      <c r="A74" s="112" t="s">
        <v>180</v>
      </c>
      <c r="I74" s="65"/>
      <c r="J74" s="65"/>
      <c r="K74" s="65"/>
      <c r="L74" s="65"/>
      <c r="M74" s="65"/>
      <c r="N74" s="65"/>
      <c r="O74" s="65"/>
      <c r="P74" s="65"/>
      <c r="Q74" s="65"/>
      <c r="R74" s="65"/>
      <c r="S74" s="111"/>
    </row>
    <row r="75" spans="1:19" ht="15" x14ac:dyDescent="0.25">
      <c r="A75" s="72" t="s">
        <v>150</v>
      </c>
      <c r="B75" s="62" t="s">
        <v>151</v>
      </c>
      <c r="C75" s="72" t="s">
        <v>134</v>
      </c>
      <c r="F75" s="100" t="s">
        <v>158</v>
      </c>
      <c r="H75" s="68"/>
      <c r="I75" s="68">
        <v>2.7054332107982155E-2</v>
      </c>
      <c r="J75" s="68">
        <v>2.7397922125753527E-2</v>
      </c>
      <c r="K75" s="68">
        <v>2.7745875736750594E-2</v>
      </c>
      <c r="L75" s="68">
        <v>2.8098248358607324E-2</v>
      </c>
      <c r="M75" s="68">
        <v>2.8455096112761636E-2</v>
      </c>
      <c r="N75" s="68">
        <v>2.8816475833393706E-2</v>
      </c>
      <c r="O75" s="68">
        <v>2.9182445076477805E-2</v>
      </c>
      <c r="P75" s="68">
        <v>2.9553062128949072E-2</v>
      </c>
      <c r="Q75" s="68">
        <v>2.9928386017986724E-2</v>
      </c>
      <c r="R75" s="68">
        <v>3.0308476520415153E-2</v>
      </c>
    </row>
    <row r="76" spans="1:19" ht="15" x14ac:dyDescent="0.25">
      <c r="A76" s="72" t="s">
        <v>150</v>
      </c>
      <c r="B76" s="62" t="s">
        <v>152</v>
      </c>
      <c r="C76" s="72" t="s">
        <v>134</v>
      </c>
      <c r="F76" s="100" t="s">
        <v>159</v>
      </c>
      <c r="H76" s="68"/>
      <c r="I76" s="68">
        <v>5.6564143714559832E-2</v>
      </c>
      <c r="J76" s="68">
        <v>5.7282508339734736E-2</v>
      </c>
      <c r="K76" s="68">
        <v>5.8009996195649366E-2</v>
      </c>
      <c r="L76" s="68">
        <v>5.8746723147334111E-2</v>
      </c>
      <c r="M76" s="68">
        <v>5.9492806531305252E-2</v>
      </c>
      <c r="N76" s="68">
        <v>6.0248365174252826E-2</v>
      </c>
      <c r="O76" s="68">
        <v>6.1013519411965832E-2</v>
      </c>
      <c r="P76" s="68">
        <v>6.1788391108497792E-2</v>
      </c>
      <c r="Q76" s="68">
        <v>6.2573103675575711E-2</v>
      </c>
      <c r="R76" s="68">
        <v>6.336778209225552E-2</v>
      </c>
    </row>
    <row r="77" spans="1:19" ht="15" x14ac:dyDescent="0.25">
      <c r="A77" s="72" t="s">
        <v>150</v>
      </c>
      <c r="B77" s="62" t="s">
        <v>153</v>
      </c>
      <c r="C77" s="72" t="s">
        <v>134</v>
      </c>
      <c r="F77" s="100" t="s">
        <v>160</v>
      </c>
      <c r="H77" s="68"/>
      <c r="I77" s="68">
        <v>1.8214653303984807E-2</v>
      </c>
      <c r="J77" s="68">
        <v>1.8445979400945414E-2</v>
      </c>
      <c r="K77" s="68">
        <v>1.8680243339337418E-2</v>
      </c>
      <c r="L77" s="68">
        <v>1.8917482429747001E-2</v>
      </c>
      <c r="M77" s="68">
        <v>1.9157734456604788E-2</v>
      </c>
      <c r="N77" s="68">
        <v>1.9401037684203669E-2</v>
      </c>
      <c r="O77" s="68">
        <v>1.9647430862793053E-2</v>
      </c>
      <c r="P77" s="68">
        <v>1.9896953234750523E-2</v>
      </c>
      <c r="Q77" s="68">
        <v>2.0149644540831853E-2</v>
      </c>
      <c r="R77" s="68">
        <v>2.0405545026500417E-2</v>
      </c>
    </row>
    <row r="78" spans="1:19" ht="15" x14ac:dyDescent="0.25">
      <c r="A78" s="72" t="s">
        <v>150</v>
      </c>
      <c r="B78" s="62" t="s">
        <v>154</v>
      </c>
      <c r="C78" s="72" t="s">
        <v>135</v>
      </c>
      <c r="F78" s="100" t="s">
        <v>161</v>
      </c>
      <c r="H78" s="68"/>
      <c r="I78" s="68">
        <v>0.18428198925783235</v>
      </c>
      <c r="J78" s="68">
        <v>0.18995380776080692</v>
      </c>
      <c r="K78" s="68">
        <v>0.18654523111610347</v>
      </c>
      <c r="L78" s="68">
        <v>0.18195617228512398</v>
      </c>
      <c r="M78" s="68">
        <v>0.18273996600425027</v>
      </c>
      <c r="N78" s="68">
        <v>0.18509302776403233</v>
      </c>
      <c r="O78" s="68">
        <v>0.18754480764391074</v>
      </c>
      <c r="P78" s="68">
        <v>0.18966512173741551</v>
      </c>
      <c r="Q78" s="68">
        <v>0.19205261425336154</v>
      </c>
      <c r="R78" s="68">
        <v>0.19449865339701575</v>
      </c>
    </row>
    <row r="79" spans="1:19" ht="15" x14ac:dyDescent="0.25">
      <c r="A79" s="72" t="s">
        <v>127</v>
      </c>
      <c r="B79" s="62" t="s">
        <v>151</v>
      </c>
      <c r="F79" s="100" t="s">
        <v>172</v>
      </c>
      <c r="H79" s="68"/>
      <c r="I79" s="68">
        <v>1.4779133652261899E-2</v>
      </c>
      <c r="J79" s="68">
        <v>1.4779133652261899E-2</v>
      </c>
      <c r="K79" s="68">
        <v>1.4779133652261899E-2</v>
      </c>
      <c r="L79" s="68">
        <v>1.4779133652261899E-2</v>
      </c>
      <c r="M79" s="68">
        <v>1.4779133652261899E-2</v>
      </c>
      <c r="N79" s="68">
        <v>1.6989046397123123E-2</v>
      </c>
      <c r="O79" s="68">
        <v>1.6305737707000879E-2</v>
      </c>
      <c r="P79" s="68">
        <v>1.5869624909421585E-2</v>
      </c>
      <c r="Q79" s="68">
        <v>1.5466482458248089E-2</v>
      </c>
      <c r="R79" s="68">
        <v>1.5112364432605859E-2</v>
      </c>
    </row>
    <row r="80" spans="1:19" ht="15" x14ac:dyDescent="0.25">
      <c r="A80" s="72" t="s">
        <v>127</v>
      </c>
      <c r="B80" s="62" t="s">
        <v>152</v>
      </c>
      <c r="F80" s="100" t="s">
        <v>173</v>
      </c>
      <c r="H80" s="68"/>
      <c r="I80" s="68">
        <v>2.9278516855568596E-2</v>
      </c>
      <c r="J80" s="68">
        <v>2.9278516855568596E-2</v>
      </c>
      <c r="K80" s="68">
        <v>2.9278516855568596E-2</v>
      </c>
      <c r="L80" s="68">
        <v>2.9278516855568596E-2</v>
      </c>
      <c r="M80" s="68">
        <v>2.9278516855568596E-2</v>
      </c>
      <c r="N80" s="68">
        <v>3.40228962155502E-2</v>
      </c>
      <c r="O80" s="68">
        <v>3.2654743823940388E-2</v>
      </c>
      <c r="P80" s="68">
        <v>3.2049135888020379E-2</v>
      </c>
      <c r="Q80" s="68">
        <v>3.144701650192324E-2</v>
      </c>
      <c r="R80" s="68">
        <v>3.084656976486928E-2</v>
      </c>
    </row>
    <row r="81" spans="1:18" ht="15" x14ac:dyDescent="0.25">
      <c r="A81" s="72" t="s">
        <v>127</v>
      </c>
      <c r="B81" s="62" t="s">
        <v>153</v>
      </c>
      <c r="F81" s="100" t="s">
        <v>174</v>
      </c>
      <c r="H81" s="68"/>
      <c r="I81" s="68">
        <v>3.5311318777479621E-4</v>
      </c>
      <c r="J81" s="68">
        <v>3.5311318777479621E-4</v>
      </c>
      <c r="K81" s="68">
        <v>3.5311318777479621E-4</v>
      </c>
      <c r="L81" s="68">
        <v>3.5311318777479621E-4</v>
      </c>
      <c r="M81" s="68">
        <v>3.5311318777479621E-4</v>
      </c>
      <c r="N81" s="68">
        <v>1.0719109150967526E-4</v>
      </c>
      <c r="O81" s="68">
        <v>1.0777424344142577E-4</v>
      </c>
      <c r="P81" s="68">
        <v>1.0564951706482274E-4</v>
      </c>
      <c r="Q81" s="68">
        <v>1.0356811394701623E-4</v>
      </c>
      <c r="R81" s="68">
        <v>1.0150748295833313E-4</v>
      </c>
    </row>
    <row r="82" spans="1:18" ht="15" x14ac:dyDescent="0.25">
      <c r="A82" s="72" t="s">
        <v>127</v>
      </c>
      <c r="B82" s="62" t="s">
        <v>154</v>
      </c>
      <c r="F82" s="100" t="s">
        <v>175</v>
      </c>
      <c r="H82" s="68"/>
      <c r="I82" s="68">
        <v>0.142814822453985</v>
      </c>
      <c r="J82" s="68">
        <v>0.142814822453985</v>
      </c>
      <c r="K82" s="68">
        <v>0.142814822453985</v>
      </c>
      <c r="L82" s="68">
        <v>0.142814822453985</v>
      </c>
      <c r="M82" s="68">
        <v>0.142814822453985</v>
      </c>
      <c r="N82" s="68">
        <v>0.1437195356378983</v>
      </c>
      <c r="O82" s="68">
        <v>0.14119544318686852</v>
      </c>
      <c r="P82" s="68">
        <v>0.13862795685502546</v>
      </c>
      <c r="Q82" s="68">
        <v>0.13606047052318238</v>
      </c>
      <c r="R82" s="68">
        <v>0.13349298419133926</v>
      </c>
    </row>
    <row r="83" spans="1:18" ht="15" x14ac:dyDescent="0.25">
      <c r="F83" s="100"/>
      <c r="I83" s="69"/>
      <c r="J83" s="69"/>
      <c r="K83" s="69"/>
      <c r="L83" s="69"/>
      <c r="M83" s="69"/>
      <c r="N83" s="69"/>
      <c r="O83" s="69"/>
      <c r="P83" s="69"/>
      <c r="Q83" s="69"/>
      <c r="R83" s="69"/>
    </row>
    <row r="84" spans="1:18" s="75" customFormat="1" ht="20.25" x14ac:dyDescent="0.3">
      <c r="A84" s="112" t="s">
        <v>181</v>
      </c>
      <c r="F84" s="113"/>
      <c r="I84" s="114"/>
      <c r="J84" s="114"/>
      <c r="K84" s="114"/>
      <c r="L84" s="114"/>
      <c r="M84" s="114"/>
      <c r="N84" s="114"/>
      <c r="O84" s="114"/>
      <c r="P84" s="114"/>
      <c r="Q84" s="114"/>
      <c r="R84" s="114"/>
    </row>
    <row r="85" spans="1:18" ht="15.75" x14ac:dyDescent="0.25">
      <c r="A85" s="76" t="s">
        <v>149</v>
      </c>
      <c r="B85" s="76"/>
      <c r="F85" s="100"/>
      <c r="G85" s="76"/>
      <c r="H85" s="76"/>
      <c r="I85" s="66"/>
      <c r="J85" s="66"/>
      <c r="K85" s="66"/>
      <c r="L85" s="66"/>
      <c r="M85" s="66"/>
      <c r="N85" s="66"/>
      <c r="O85" s="66"/>
      <c r="P85" s="66"/>
      <c r="Q85" s="66"/>
      <c r="R85" s="66"/>
    </row>
    <row r="86" spans="1:18" ht="15" x14ac:dyDescent="0.25">
      <c r="A86" s="99" t="s">
        <v>121</v>
      </c>
      <c r="B86" s="98" t="s">
        <v>133</v>
      </c>
      <c r="F86" s="100" t="s">
        <v>162</v>
      </c>
      <c r="G86" s="79">
        <v>90784357</v>
      </c>
      <c r="H86" s="87">
        <f>SUM(I86:R86)-G86</f>
        <v>0</v>
      </c>
      <c r="I86" s="70">
        <v>1101720</v>
      </c>
      <c r="J86" s="70">
        <v>4014141.5</v>
      </c>
      <c r="K86" s="70">
        <v>7059322.5</v>
      </c>
      <c r="L86" s="70">
        <v>9067927</v>
      </c>
      <c r="M86" s="70">
        <v>10497650.499999998</v>
      </c>
      <c r="N86" s="70">
        <v>11435562.499999998</v>
      </c>
      <c r="O86" s="70">
        <v>11775724</v>
      </c>
      <c r="P86" s="70">
        <v>11874892</v>
      </c>
      <c r="Q86" s="70">
        <v>11955466</v>
      </c>
      <c r="R86" s="70">
        <v>12001951</v>
      </c>
    </row>
    <row r="87" spans="1:18" ht="15" x14ac:dyDescent="0.25">
      <c r="A87" s="99" t="s">
        <v>122</v>
      </c>
      <c r="B87" s="98" t="s">
        <v>133</v>
      </c>
      <c r="F87" s="100" t="s">
        <v>163</v>
      </c>
      <c r="G87" s="79">
        <v>26452810.6320576</v>
      </c>
      <c r="H87" s="87">
        <f>SUM(I87:R87)-G87</f>
        <v>0</v>
      </c>
      <c r="I87" s="70">
        <v>248192.5</v>
      </c>
      <c r="J87" s="70">
        <v>887258.36309749354</v>
      </c>
      <c r="K87" s="70">
        <v>1757528.872679045</v>
      </c>
      <c r="L87" s="70">
        <v>2650500.4239430516</v>
      </c>
      <c r="M87" s="70">
        <v>3209649.3287230013</v>
      </c>
      <c r="N87" s="70">
        <v>3457841.8287230008</v>
      </c>
      <c r="O87" s="70">
        <v>3560459.8287230013</v>
      </c>
      <c r="P87" s="70">
        <v>3560459.8287230013</v>
      </c>
      <c r="Q87" s="70">
        <v>3560459.8287230013</v>
      </c>
      <c r="R87" s="70">
        <v>3560459.8287230013</v>
      </c>
    </row>
    <row r="88" spans="1:18" ht="15" x14ac:dyDescent="0.25">
      <c r="A88" s="99" t="s">
        <v>123</v>
      </c>
      <c r="B88" s="98" t="s">
        <v>133</v>
      </c>
      <c r="F88" s="100" t="s">
        <v>164</v>
      </c>
      <c r="G88" s="79">
        <v>10623612.840361608</v>
      </c>
      <c r="H88" s="87">
        <f>SUM(I88:R88)-G88</f>
        <v>0</v>
      </c>
      <c r="I88" s="70">
        <v>169165.80955989822</v>
      </c>
      <c r="J88" s="70">
        <v>338331.61911979644</v>
      </c>
      <c r="K88" s="70">
        <v>744329.56206355221</v>
      </c>
      <c r="L88" s="70">
        <v>1251826.9907432469</v>
      </c>
      <c r="M88" s="70">
        <v>1353326.4764791857</v>
      </c>
      <c r="N88" s="70">
        <v>1353326.4764791857</v>
      </c>
      <c r="O88" s="70">
        <v>1353326.4764791857</v>
      </c>
      <c r="P88" s="70">
        <v>1353326.4764791857</v>
      </c>
      <c r="Q88" s="70">
        <v>1353326.4764791857</v>
      </c>
      <c r="R88" s="70">
        <v>1353326.4764791857</v>
      </c>
    </row>
    <row r="89" spans="1:18" ht="15" x14ac:dyDescent="0.25">
      <c r="A89" s="99" t="s">
        <v>124</v>
      </c>
      <c r="B89" s="98" t="s">
        <v>133</v>
      </c>
      <c r="F89" s="100" t="s">
        <v>171</v>
      </c>
      <c r="G89" s="79">
        <v>214325960.16666669</v>
      </c>
      <c r="H89" s="87">
        <f>SUM(I89:R89)-G89</f>
        <v>0</v>
      </c>
      <c r="I89" s="70">
        <v>3894613.166666667</v>
      </c>
      <c r="J89" s="70">
        <v>23411347</v>
      </c>
      <c r="K89" s="70">
        <v>23385129</v>
      </c>
      <c r="L89" s="70">
        <v>23367679</v>
      </c>
      <c r="M89" s="70">
        <v>23367679</v>
      </c>
      <c r="N89" s="70">
        <v>23367679</v>
      </c>
      <c r="O89" s="70">
        <v>23411347</v>
      </c>
      <c r="P89" s="70">
        <v>23385129</v>
      </c>
      <c r="Q89" s="70">
        <v>23367679</v>
      </c>
      <c r="R89" s="70">
        <v>23367679</v>
      </c>
    </row>
    <row r="90" spans="1:18" ht="15" x14ac:dyDescent="0.25">
      <c r="A90" s="72" t="s">
        <v>125</v>
      </c>
      <c r="B90" s="98" t="s">
        <v>133</v>
      </c>
      <c r="F90" s="100"/>
      <c r="G90" s="79">
        <v>342186740.63908589</v>
      </c>
      <c r="H90" s="87">
        <f>SUM(I90:R90)-G90</f>
        <v>0</v>
      </c>
      <c r="I90" s="65">
        <v>5413691.4762265654</v>
      </c>
      <c r="J90" s="65">
        <v>28651078.48221729</v>
      </c>
      <c r="K90" s="65">
        <v>32946309.9347426</v>
      </c>
      <c r="L90" s="65">
        <v>36337933.4146863</v>
      </c>
      <c r="M90" s="65">
        <v>38428305.305202186</v>
      </c>
      <c r="N90" s="65">
        <v>39614409.805202186</v>
      </c>
      <c r="O90" s="65">
        <v>40100857.305202186</v>
      </c>
      <c r="P90" s="65">
        <v>40173807.305202186</v>
      </c>
      <c r="Q90" s="65">
        <v>40236931.305202186</v>
      </c>
      <c r="R90" s="65">
        <v>40283416.305202186</v>
      </c>
    </row>
    <row r="91" spans="1:18" ht="15" x14ac:dyDescent="0.25">
      <c r="B91" s="98"/>
      <c r="F91" s="100"/>
      <c r="G91" s="79"/>
      <c r="H91" s="102"/>
      <c r="I91" s="65"/>
      <c r="J91" s="65"/>
      <c r="K91" s="65"/>
      <c r="L91" s="65"/>
      <c r="M91" s="65"/>
      <c r="N91" s="65"/>
      <c r="O91" s="65"/>
      <c r="P91" s="65"/>
      <c r="Q91" s="65"/>
      <c r="R91" s="65"/>
    </row>
    <row r="92" spans="1:18" ht="15.75" x14ac:dyDescent="0.25">
      <c r="A92" s="76" t="s">
        <v>155</v>
      </c>
      <c r="B92" s="98"/>
      <c r="F92" s="100"/>
      <c r="G92" s="79"/>
      <c r="H92" s="102"/>
      <c r="I92" s="65"/>
      <c r="J92" s="65"/>
      <c r="K92" s="65"/>
      <c r="L92" s="65"/>
      <c r="M92" s="65"/>
      <c r="N92" s="65"/>
      <c r="O92" s="65"/>
      <c r="P92" s="65"/>
      <c r="Q92" s="65"/>
      <c r="R92" s="65"/>
    </row>
    <row r="93" spans="1:18" ht="15" x14ac:dyDescent="0.25">
      <c r="A93" s="72" t="s">
        <v>124</v>
      </c>
      <c r="B93" s="98" t="s">
        <v>156</v>
      </c>
      <c r="F93" s="100" t="s">
        <v>165</v>
      </c>
      <c r="I93" s="71">
        <v>89716</v>
      </c>
      <c r="J93" s="71">
        <v>89716</v>
      </c>
      <c r="K93" s="71">
        <v>89716</v>
      </c>
      <c r="L93" s="71">
        <v>89716</v>
      </c>
      <c r="M93" s="71">
        <v>89716</v>
      </c>
      <c r="N93" s="71">
        <v>89716</v>
      </c>
      <c r="O93" s="71">
        <v>89716</v>
      </c>
      <c r="P93" s="71">
        <v>89716</v>
      </c>
      <c r="Q93" s="71">
        <v>89716</v>
      </c>
      <c r="R93" s="71">
        <v>89716</v>
      </c>
    </row>
    <row r="94" spans="1:18" ht="15" x14ac:dyDescent="0.25">
      <c r="A94" s="72" t="s">
        <v>157</v>
      </c>
      <c r="B94" s="98"/>
      <c r="F94" s="100" t="s">
        <v>169</v>
      </c>
      <c r="I94" s="71">
        <v>2</v>
      </c>
      <c r="J94" s="71">
        <v>12</v>
      </c>
      <c r="K94" s="71">
        <v>12</v>
      </c>
      <c r="L94" s="71">
        <v>12</v>
      </c>
      <c r="M94" s="71">
        <v>12</v>
      </c>
      <c r="N94" s="71">
        <v>12</v>
      </c>
      <c r="O94" s="71">
        <v>12</v>
      </c>
      <c r="P94" s="71">
        <v>12</v>
      </c>
      <c r="Q94" s="71">
        <v>12</v>
      </c>
      <c r="R94" s="71">
        <v>12</v>
      </c>
    </row>
    <row r="95" spans="1:18" x14ac:dyDescent="0.2">
      <c r="B95" s="98"/>
      <c r="I95" s="71"/>
      <c r="J95" s="71"/>
      <c r="K95" s="71"/>
      <c r="L95" s="71"/>
      <c r="M95" s="71"/>
      <c r="N95" s="71"/>
      <c r="O95" s="71"/>
      <c r="P95" s="71"/>
      <c r="Q95" s="71"/>
      <c r="R95" s="71"/>
    </row>
    <row r="96" spans="1:18" s="75" customFormat="1" x14ac:dyDescent="0.2"/>
    <row r="97" spans="1:18" x14ac:dyDescent="0.2">
      <c r="I97" s="65"/>
      <c r="J97" s="65"/>
      <c r="K97" s="65"/>
      <c r="L97" s="65"/>
      <c r="M97" s="65"/>
      <c r="N97" s="65"/>
      <c r="O97" s="65"/>
      <c r="P97" s="65"/>
      <c r="Q97" s="65"/>
      <c r="R97" s="65"/>
    </row>
    <row r="98" spans="1:18" ht="15.75" x14ac:dyDescent="0.25">
      <c r="A98" s="76" t="s">
        <v>127</v>
      </c>
      <c r="J98" s="103"/>
      <c r="K98" s="104"/>
    </row>
    <row r="100" spans="1:18" ht="15" x14ac:dyDescent="0.25">
      <c r="A100" s="80" t="s">
        <v>128</v>
      </c>
    </row>
    <row r="101" spans="1:18" x14ac:dyDescent="0.2">
      <c r="A101" s="99" t="s">
        <v>121</v>
      </c>
      <c r="B101" s="98" t="s">
        <v>103</v>
      </c>
      <c r="H101" s="86"/>
      <c r="I101" s="72">
        <v>77.963533616728228</v>
      </c>
      <c r="J101" s="72">
        <v>158.84029754558989</v>
      </c>
      <c r="K101" s="72">
        <v>164.44077666479265</v>
      </c>
      <c r="L101" s="72">
        <v>168.20400929644654</v>
      </c>
      <c r="M101" s="72">
        <v>169.1661430528963</v>
      </c>
      <c r="N101" s="72">
        <v>194.27930188970126</v>
      </c>
      <c r="O101" s="72">
        <v>192.01186685403519</v>
      </c>
      <c r="P101" s="72">
        <v>188.45008187989112</v>
      </c>
      <c r="Q101" s="72">
        <v>184.90900516918146</v>
      </c>
      <c r="R101" s="72">
        <v>181.37785741427831</v>
      </c>
    </row>
    <row r="102" spans="1:18" x14ac:dyDescent="0.2">
      <c r="A102" s="99" t="s">
        <v>122</v>
      </c>
      <c r="B102" s="98" t="s">
        <v>103</v>
      </c>
      <c r="H102" s="86"/>
      <c r="I102" s="72">
        <v>47.365767934220251</v>
      </c>
      <c r="J102" s="72">
        <v>96.468955048407878</v>
      </c>
      <c r="K102" s="72">
        <v>99.808249427733614</v>
      </c>
      <c r="L102" s="72">
        <v>102.04556113723092</v>
      </c>
      <c r="M102" s="72">
        <v>102.60277034667175</v>
      </c>
      <c r="N102" s="72">
        <v>117.64579366843097</v>
      </c>
      <c r="O102" s="72">
        <v>116.26590360238026</v>
      </c>
      <c r="P102" s="72">
        <v>114.10966087458124</v>
      </c>
      <c r="Q102" s="72">
        <v>111.965838988287</v>
      </c>
      <c r="R102" s="72">
        <v>109.82797250171859</v>
      </c>
    </row>
    <row r="103" spans="1:18" x14ac:dyDescent="0.2">
      <c r="A103" s="99" t="s">
        <v>123</v>
      </c>
      <c r="B103" s="98" t="s">
        <v>103</v>
      </c>
      <c r="H103" s="86"/>
      <c r="I103" s="105">
        <v>2.0196464211572479E-3</v>
      </c>
      <c r="J103" s="105">
        <v>1.5891858717750243E-2</v>
      </c>
      <c r="K103" s="105">
        <v>3.8957177687977081E-2</v>
      </c>
      <c r="L103" s="105">
        <v>5.6820771040901961E-2</v>
      </c>
      <c r="M103" s="105">
        <v>6.675372042499049E-2</v>
      </c>
      <c r="N103" s="105">
        <v>0.14506454218274678</v>
      </c>
      <c r="O103" s="105">
        <v>0.14585373713179473</v>
      </c>
      <c r="P103" s="105">
        <v>0.14297828867106416</v>
      </c>
      <c r="Q103" s="105">
        <v>0.14016147072351029</v>
      </c>
      <c r="R103" s="105">
        <v>0.13737276424827197</v>
      </c>
    </row>
    <row r="104" spans="1:18" x14ac:dyDescent="0.2">
      <c r="A104" s="99" t="s">
        <v>124</v>
      </c>
      <c r="B104" s="98" t="s">
        <v>103</v>
      </c>
      <c r="H104" s="86"/>
      <c r="I104" s="72">
        <v>80.617201161966065</v>
      </c>
      <c r="J104" s="72">
        <v>160.92866942432707</v>
      </c>
      <c r="K104" s="72">
        <v>159.42782085709848</v>
      </c>
      <c r="L104" s="72">
        <v>157.00967373850094</v>
      </c>
      <c r="M104" s="72">
        <v>154.51863330014706</v>
      </c>
      <c r="N104" s="72">
        <v>154.72730231147619</v>
      </c>
      <c r="O104" s="72">
        <v>152.00988457143717</v>
      </c>
      <c r="P104" s="72">
        <v>149.24574932646559</v>
      </c>
      <c r="Q104" s="72">
        <v>146.48161408149394</v>
      </c>
      <c r="R104" s="72">
        <v>143.71747883652233</v>
      </c>
    </row>
    <row r="105" spans="1:18" x14ac:dyDescent="0.2">
      <c r="A105" s="72" t="s">
        <v>125</v>
      </c>
      <c r="B105" s="98" t="s">
        <v>103</v>
      </c>
      <c r="H105" s="86"/>
      <c r="I105" s="65">
        <v>205.9485223593357</v>
      </c>
      <c r="J105" s="65">
        <v>416.2538138770426</v>
      </c>
      <c r="K105" s="65">
        <v>423.71580412731271</v>
      </c>
      <c r="L105" s="65">
        <v>427.31606494321932</v>
      </c>
      <c r="M105" s="65">
        <v>426.35430042014013</v>
      </c>
      <c r="N105" s="65">
        <v>466.79746241179117</v>
      </c>
      <c r="O105" s="65">
        <v>460.43350876498442</v>
      </c>
      <c r="P105" s="65">
        <v>451.94847036960903</v>
      </c>
      <c r="Q105" s="65">
        <v>443.49661970968594</v>
      </c>
      <c r="R105" s="65">
        <v>435.06068151676749</v>
      </c>
    </row>
    <row r="107" spans="1:18" ht="15" x14ac:dyDescent="0.25">
      <c r="A107" s="80" t="s">
        <v>129</v>
      </c>
    </row>
    <row r="108" spans="1:18" x14ac:dyDescent="0.2">
      <c r="A108" s="99" t="s">
        <v>121</v>
      </c>
      <c r="B108" s="98" t="s">
        <v>103</v>
      </c>
      <c r="H108" s="86"/>
      <c r="I108" s="72">
        <v>-61.681066489358244</v>
      </c>
      <c r="J108" s="72">
        <v>-99.514763817998841</v>
      </c>
      <c r="K108" s="72">
        <v>-60.110105942873048</v>
      </c>
      <c r="L108" s="72">
        <v>-34.187904214492278</v>
      </c>
      <c r="M108" s="72">
        <v>-14.019963278662374</v>
      </c>
      <c r="N108" s="72">
        <v>0</v>
      </c>
      <c r="O108" s="72">
        <v>0</v>
      </c>
      <c r="P108" s="105">
        <v>0</v>
      </c>
      <c r="Q108" s="105">
        <v>0</v>
      </c>
      <c r="R108" s="105">
        <v>0</v>
      </c>
    </row>
    <row r="109" spans="1:18" x14ac:dyDescent="0.2">
      <c r="A109" s="99" t="s">
        <v>122</v>
      </c>
      <c r="B109" s="98" t="s">
        <v>103</v>
      </c>
      <c r="H109" s="86"/>
      <c r="I109" s="72">
        <v>-40.099059639544542</v>
      </c>
      <c r="J109" s="72">
        <v>-70.491346109213708</v>
      </c>
      <c r="K109" s="72">
        <v>-48.350410704851726</v>
      </c>
      <c r="L109" s="72">
        <v>-24.442839799122581</v>
      </c>
      <c r="M109" s="72">
        <v>-8.6289983751909318</v>
      </c>
      <c r="N109" s="72">
        <v>0</v>
      </c>
      <c r="O109" s="72">
        <v>0</v>
      </c>
      <c r="P109" s="105">
        <v>0</v>
      </c>
      <c r="Q109" s="105">
        <v>0</v>
      </c>
      <c r="R109" s="105">
        <v>0</v>
      </c>
    </row>
    <row r="110" spans="1:18" x14ac:dyDescent="0.2">
      <c r="A110" s="99" t="s">
        <v>123</v>
      </c>
      <c r="B110" s="98" t="s">
        <v>103</v>
      </c>
      <c r="H110" s="86"/>
      <c r="I110" s="105">
        <v>5.7715031855042502E-2</v>
      </c>
      <c r="J110" s="105">
        <v>0.10357749783464926</v>
      </c>
      <c r="K110" s="105">
        <v>0.22387540672730183</v>
      </c>
      <c r="L110" s="105">
        <v>0.38521584820297627</v>
      </c>
      <c r="M110" s="105">
        <v>0.4111237057846075</v>
      </c>
      <c r="N110" s="105">
        <v>0</v>
      </c>
      <c r="O110" s="105">
        <v>0</v>
      </c>
      <c r="P110" s="105">
        <v>0</v>
      </c>
      <c r="Q110" s="105">
        <v>0</v>
      </c>
      <c r="R110" s="105">
        <v>0</v>
      </c>
    </row>
    <row r="111" spans="1:18" x14ac:dyDescent="0.2">
      <c r="A111" s="99" t="s">
        <v>124</v>
      </c>
      <c r="B111" s="98" t="s">
        <v>103</v>
      </c>
      <c r="H111" s="86"/>
      <c r="I111" s="86"/>
      <c r="J111" s="86"/>
      <c r="K111" s="86"/>
      <c r="L111" s="86"/>
      <c r="M111" s="86"/>
      <c r="N111" s="86"/>
      <c r="O111" s="86"/>
      <c r="P111" s="86"/>
      <c r="Q111" s="86"/>
      <c r="R111" s="86"/>
    </row>
    <row r="112" spans="1:18" x14ac:dyDescent="0.2">
      <c r="A112" s="72" t="s">
        <v>125</v>
      </c>
      <c r="B112" s="98" t="s">
        <v>103</v>
      </c>
      <c r="H112" s="86"/>
      <c r="I112" s="65">
        <v>-101.72241109704775</v>
      </c>
      <c r="J112" s="65">
        <v>-169.90253242937791</v>
      </c>
      <c r="K112" s="65">
        <v>-108.23664124099747</v>
      </c>
      <c r="L112" s="65">
        <v>-58.245528165411883</v>
      </c>
      <c r="M112" s="65">
        <v>-22.237837948068698</v>
      </c>
      <c r="N112" s="65">
        <v>0</v>
      </c>
      <c r="O112" s="65">
        <v>0</v>
      </c>
      <c r="P112" s="65">
        <v>0</v>
      </c>
      <c r="Q112" s="65">
        <v>0</v>
      </c>
      <c r="R112" s="65">
        <v>0</v>
      </c>
    </row>
    <row r="114" spans="1:18" ht="15" x14ac:dyDescent="0.25">
      <c r="A114" s="80" t="s">
        <v>130</v>
      </c>
    </row>
    <row r="115" spans="1:18" x14ac:dyDescent="0.2">
      <c r="A115" s="99" t="s">
        <v>121</v>
      </c>
      <c r="B115" s="98" t="s">
        <v>103</v>
      </c>
      <c r="H115" s="86"/>
      <c r="I115" s="86"/>
      <c r="J115" s="86"/>
      <c r="K115" s="86"/>
      <c r="L115" s="86"/>
      <c r="M115" s="86"/>
      <c r="N115" s="86"/>
      <c r="O115" s="86"/>
      <c r="P115" s="86"/>
      <c r="Q115" s="86"/>
      <c r="R115" s="86"/>
    </row>
    <row r="116" spans="1:18" x14ac:dyDescent="0.2">
      <c r="A116" s="99" t="s">
        <v>122</v>
      </c>
      <c r="B116" s="98" t="s">
        <v>103</v>
      </c>
      <c r="H116" s="86"/>
      <c r="I116" s="86"/>
      <c r="J116" s="86"/>
      <c r="K116" s="86"/>
      <c r="L116" s="86"/>
      <c r="M116" s="86"/>
      <c r="N116" s="86"/>
      <c r="O116" s="86"/>
      <c r="P116" s="86"/>
      <c r="Q116" s="86"/>
      <c r="R116" s="86"/>
    </row>
    <row r="117" spans="1:18" x14ac:dyDescent="0.2">
      <c r="A117" s="99" t="s">
        <v>123</v>
      </c>
      <c r="B117" s="98" t="s">
        <v>103</v>
      </c>
      <c r="H117" s="86"/>
      <c r="I117" s="86"/>
      <c r="J117" s="86"/>
      <c r="K117" s="86"/>
      <c r="L117" s="86"/>
      <c r="M117" s="86"/>
      <c r="N117" s="86"/>
      <c r="O117" s="86"/>
      <c r="P117" s="86"/>
      <c r="Q117" s="86"/>
      <c r="R117" s="86"/>
    </row>
    <row r="118" spans="1:18" x14ac:dyDescent="0.2">
      <c r="A118" s="99" t="s">
        <v>124</v>
      </c>
      <c r="B118" s="98" t="s">
        <v>103</v>
      </c>
      <c r="H118" s="86"/>
      <c r="I118" s="72">
        <v>-54.99165193940263</v>
      </c>
      <c r="J118" s="72">
        <v>-7.1753740889464552</v>
      </c>
      <c r="K118" s="72">
        <v>-5.6745255217178681</v>
      </c>
      <c r="L118" s="72">
        <v>-3.2563784031203227</v>
      </c>
      <c r="M118" s="72">
        <v>-0.76533796476644511</v>
      </c>
      <c r="N118" s="72">
        <v>0</v>
      </c>
      <c r="O118" s="72">
        <v>0</v>
      </c>
      <c r="P118" s="105">
        <v>0</v>
      </c>
      <c r="Q118" s="105">
        <v>0</v>
      </c>
      <c r="R118" s="105">
        <v>0</v>
      </c>
    </row>
    <row r="119" spans="1:18" x14ac:dyDescent="0.2">
      <c r="A119" s="72" t="s">
        <v>125</v>
      </c>
      <c r="B119" s="98" t="s">
        <v>103</v>
      </c>
      <c r="H119" s="86"/>
      <c r="I119" s="65">
        <v>-54.99165193940263</v>
      </c>
      <c r="J119" s="65">
        <v>-7.1753740889464552</v>
      </c>
      <c r="K119" s="65">
        <v>-5.6745255217178681</v>
      </c>
      <c r="L119" s="65">
        <v>-3.2563784031203227</v>
      </c>
      <c r="M119" s="65">
        <v>-0.76533796476644511</v>
      </c>
      <c r="N119" s="65">
        <v>0</v>
      </c>
      <c r="O119" s="65">
        <v>0</v>
      </c>
      <c r="P119" s="65">
        <v>0</v>
      </c>
      <c r="Q119" s="65">
        <v>0</v>
      </c>
      <c r="R119" s="65">
        <v>0</v>
      </c>
    </row>
    <row r="121" spans="1:18" ht="15" x14ac:dyDescent="0.25">
      <c r="A121" s="80" t="s">
        <v>131</v>
      </c>
    </row>
    <row r="122" spans="1:18" x14ac:dyDescent="0.2">
      <c r="A122" s="99" t="s">
        <v>121</v>
      </c>
      <c r="B122" s="98" t="s">
        <v>103</v>
      </c>
      <c r="H122" s="86"/>
      <c r="I122" s="72">
        <v>16.282467127369983</v>
      </c>
      <c r="J122" s="72">
        <v>59.325533727591051</v>
      </c>
      <c r="K122" s="72">
        <v>104.3306707219196</v>
      </c>
      <c r="L122" s="72">
        <v>134.01610508195427</v>
      </c>
      <c r="M122" s="72">
        <v>155.14617977423393</v>
      </c>
      <c r="N122" s="72">
        <v>194.27930188970126</v>
      </c>
      <c r="O122" s="72">
        <v>192.01186685403519</v>
      </c>
      <c r="P122" s="72">
        <v>188.45008187989112</v>
      </c>
      <c r="Q122" s="72">
        <v>184.90900516918146</v>
      </c>
      <c r="R122" s="72">
        <v>181.37785741427831</v>
      </c>
    </row>
    <row r="123" spans="1:18" x14ac:dyDescent="0.2">
      <c r="A123" s="99" t="s">
        <v>122</v>
      </c>
      <c r="B123" s="98" t="s">
        <v>103</v>
      </c>
      <c r="H123" s="86"/>
      <c r="I123" s="72">
        <v>7.2667082946757091</v>
      </c>
      <c r="J123" s="72">
        <v>25.97760893919417</v>
      </c>
      <c r="K123" s="72">
        <v>51.457838722881888</v>
      </c>
      <c r="L123" s="72">
        <v>77.602721338108339</v>
      </c>
      <c r="M123" s="72">
        <v>93.973771971480815</v>
      </c>
      <c r="N123" s="72">
        <v>117.64579366843097</v>
      </c>
      <c r="O123" s="72">
        <v>116.26590360238026</v>
      </c>
      <c r="P123" s="72">
        <v>114.10966087458124</v>
      </c>
      <c r="Q123" s="72">
        <v>111.965838988287</v>
      </c>
      <c r="R123" s="72">
        <v>109.82797250171859</v>
      </c>
    </row>
    <row r="124" spans="1:18" x14ac:dyDescent="0.2">
      <c r="A124" s="99" t="s">
        <v>123</v>
      </c>
      <c r="B124" s="98" t="s">
        <v>103</v>
      </c>
      <c r="H124" s="86"/>
      <c r="I124" s="72">
        <v>5.973467827619975E-2</v>
      </c>
      <c r="J124" s="72">
        <v>0.1194693565523995</v>
      </c>
      <c r="K124" s="72">
        <v>0.2628325844152789</v>
      </c>
      <c r="L124" s="72">
        <v>0.44203661924387821</v>
      </c>
      <c r="M124" s="72">
        <v>0.477877426209598</v>
      </c>
      <c r="N124" s="72">
        <v>0.14506454218274678</v>
      </c>
      <c r="O124" s="72">
        <v>0.14585373713179473</v>
      </c>
      <c r="P124" s="72">
        <v>0.14297828867106416</v>
      </c>
      <c r="Q124" s="72">
        <v>0.14016147072351029</v>
      </c>
      <c r="R124" s="72">
        <v>0.13737276424827197</v>
      </c>
    </row>
    <row r="125" spans="1:18" x14ac:dyDescent="0.2">
      <c r="A125" s="99" t="s">
        <v>124</v>
      </c>
      <c r="B125" s="98" t="s">
        <v>103</v>
      </c>
      <c r="H125" s="86"/>
      <c r="I125" s="60">
        <v>25.625549222563436</v>
      </c>
      <c r="J125" s="60">
        <v>153.75329533538061</v>
      </c>
      <c r="K125" s="60">
        <v>153.75329533538061</v>
      </c>
      <c r="L125" s="60">
        <v>153.75329533538061</v>
      </c>
      <c r="M125" s="60">
        <v>153.75329533538061</v>
      </c>
      <c r="N125" s="60">
        <v>154.72730231147619</v>
      </c>
      <c r="O125" s="60">
        <v>152.00988457143717</v>
      </c>
      <c r="P125" s="60">
        <v>149.24574932646559</v>
      </c>
      <c r="Q125" s="60">
        <v>146.48161408149394</v>
      </c>
      <c r="R125" s="60">
        <v>143.71747883652233</v>
      </c>
    </row>
    <row r="126" spans="1:18" x14ac:dyDescent="0.2">
      <c r="A126" s="72" t="s">
        <v>125</v>
      </c>
      <c r="B126" s="98" t="s">
        <v>103</v>
      </c>
      <c r="H126" s="86"/>
      <c r="I126" s="65">
        <v>49.234459322885328</v>
      </c>
      <c r="J126" s="65">
        <v>239.17590735871823</v>
      </c>
      <c r="K126" s="65">
        <v>309.8046373645974</v>
      </c>
      <c r="L126" s="65">
        <v>365.81415837468705</v>
      </c>
      <c r="M126" s="65">
        <v>403.35112450730492</v>
      </c>
      <c r="N126" s="65">
        <v>466.79746241179117</v>
      </c>
      <c r="O126" s="65">
        <v>460.43350876498442</v>
      </c>
      <c r="P126" s="65">
        <v>451.94847036960903</v>
      </c>
      <c r="Q126" s="65">
        <v>443.49661970968594</v>
      </c>
      <c r="R126" s="65">
        <v>435.06068151676749</v>
      </c>
    </row>
    <row r="128" spans="1:18" ht="15" x14ac:dyDescent="0.25">
      <c r="A128" s="80" t="s">
        <v>132</v>
      </c>
    </row>
    <row r="129" spans="1:18" x14ac:dyDescent="0.2">
      <c r="A129" s="99" t="s">
        <v>121</v>
      </c>
      <c r="B129" s="98" t="s">
        <v>133</v>
      </c>
      <c r="H129" s="86"/>
      <c r="I129" s="72">
        <v>1101720</v>
      </c>
      <c r="J129" s="72">
        <v>4014141.5</v>
      </c>
      <c r="K129" s="72">
        <v>7059322.5</v>
      </c>
      <c r="L129" s="72">
        <v>9067927</v>
      </c>
      <c r="M129" s="72">
        <v>10497650.499999998</v>
      </c>
      <c r="N129" s="72">
        <v>11435562.499999998</v>
      </c>
      <c r="O129" s="72">
        <v>11775724</v>
      </c>
      <c r="P129" s="72">
        <v>11874892</v>
      </c>
      <c r="Q129" s="72">
        <v>11955466</v>
      </c>
      <c r="R129" s="72">
        <v>12001951</v>
      </c>
    </row>
    <row r="130" spans="1:18" x14ac:dyDescent="0.2">
      <c r="A130" s="99" t="s">
        <v>122</v>
      </c>
      <c r="B130" s="98" t="s">
        <v>133</v>
      </c>
      <c r="H130" s="86"/>
      <c r="I130" s="72">
        <v>248192.5</v>
      </c>
      <c r="J130" s="72">
        <v>887258.36309749354</v>
      </c>
      <c r="K130" s="72">
        <v>1757528.872679045</v>
      </c>
      <c r="L130" s="72">
        <v>2650500.4239430516</v>
      </c>
      <c r="M130" s="72">
        <v>3209649.3287230013</v>
      </c>
      <c r="N130" s="72">
        <v>3457841.8287230008</v>
      </c>
      <c r="O130" s="72">
        <v>3560459.8287230013</v>
      </c>
      <c r="P130" s="72">
        <v>3560459.8287230013</v>
      </c>
      <c r="Q130" s="72">
        <v>3560459.8287230013</v>
      </c>
      <c r="R130" s="72">
        <v>3560459.8287230013</v>
      </c>
    </row>
    <row r="131" spans="1:18" x14ac:dyDescent="0.2">
      <c r="A131" s="99" t="s">
        <v>123</v>
      </c>
      <c r="B131" s="98" t="s">
        <v>133</v>
      </c>
      <c r="H131" s="86"/>
      <c r="I131" s="72">
        <v>169165.80955989822</v>
      </c>
      <c r="J131" s="72">
        <v>338331.61911979644</v>
      </c>
      <c r="K131" s="72">
        <v>744329.56206355221</v>
      </c>
      <c r="L131" s="72">
        <v>1251826.9907432469</v>
      </c>
      <c r="M131" s="72">
        <v>1353326.4764791857</v>
      </c>
      <c r="N131" s="72">
        <v>1353326.4764791857</v>
      </c>
      <c r="O131" s="72">
        <v>1353326.4764791857</v>
      </c>
      <c r="P131" s="72">
        <v>1353326.4764791857</v>
      </c>
      <c r="Q131" s="72">
        <v>1353326.4764791857</v>
      </c>
      <c r="R131" s="72">
        <v>1353326.4764791857</v>
      </c>
    </row>
    <row r="132" spans="1:18" x14ac:dyDescent="0.2">
      <c r="A132" s="99" t="s">
        <v>124</v>
      </c>
      <c r="B132" s="98" t="s">
        <v>133</v>
      </c>
      <c r="H132" s="86"/>
      <c r="I132" s="72">
        <v>3894613.166666667</v>
      </c>
      <c r="J132" s="72">
        <v>23411347</v>
      </c>
      <c r="K132" s="72">
        <v>23385129</v>
      </c>
      <c r="L132" s="72">
        <v>23367679</v>
      </c>
      <c r="M132" s="72">
        <v>23367679</v>
      </c>
      <c r="N132" s="72">
        <v>23367679</v>
      </c>
      <c r="O132" s="72">
        <v>23411347</v>
      </c>
      <c r="P132" s="72">
        <v>23385129</v>
      </c>
      <c r="Q132" s="72">
        <v>23367679</v>
      </c>
      <c r="R132" s="72">
        <v>23367679</v>
      </c>
    </row>
    <row r="134" spans="1:18" ht="15" x14ac:dyDescent="0.25">
      <c r="A134" s="80" t="s">
        <v>127</v>
      </c>
      <c r="F134" s="81"/>
    </row>
    <row r="135" spans="1:18" x14ac:dyDescent="0.2">
      <c r="A135" s="99" t="s">
        <v>121</v>
      </c>
      <c r="B135" s="98" t="s">
        <v>134</v>
      </c>
      <c r="H135" s="86"/>
      <c r="I135" s="106">
        <v>1.4779133652261899E-2</v>
      </c>
      <c r="J135" s="106">
        <v>1.4779133652261899E-2</v>
      </c>
      <c r="K135" s="106">
        <v>1.4779133652261899E-2</v>
      </c>
      <c r="L135" s="106">
        <v>1.4779133652261899E-2</v>
      </c>
      <c r="M135" s="106">
        <v>1.4779133652261899E-2</v>
      </c>
      <c r="N135" s="106">
        <v>1.6989046397123123E-2</v>
      </c>
      <c r="O135" s="106">
        <v>1.6305737707000879E-2</v>
      </c>
      <c r="P135" s="106">
        <v>1.5869624909421585E-2</v>
      </c>
      <c r="Q135" s="106">
        <v>1.5466482458248089E-2</v>
      </c>
      <c r="R135" s="106">
        <v>1.5112364432605859E-2</v>
      </c>
    </row>
    <row r="136" spans="1:18" x14ac:dyDescent="0.2">
      <c r="A136" s="99" t="s">
        <v>122</v>
      </c>
      <c r="B136" s="98" t="s">
        <v>134</v>
      </c>
      <c r="H136" s="86"/>
      <c r="I136" s="106">
        <v>2.9278516855568596E-2</v>
      </c>
      <c r="J136" s="106">
        <v>2.9278516855568596E-2</v>
      </c>
      <c r="K136" s="106">
        <v>2.9278516855568596E-2</v>
      </c>
      <c r="L136" s="106">
        <v>2.9278516855568596E-2</v>
      </c>
      <c r="M136" s="106">
        <v>2.9278516855568596E-2</v>
      </c>
      <c r="N136" s="106">
        <v>3.40228962155502E-2</v>
      </c>
      <c r="O136" s="106">
        <v>3.2654743823940388E-2</v>
      </c>
      <c r="P136" s="106">
        <v>3.2049135888020379E-2</v>
      </c>
      <c r="Q136" s="106">
        <v>3.144701650192324E-2</v>
      </c>
      <c r="R136" s="106">
        <v>3.084656976486928E-2</v>
      </c>
    </row>
    <row r="137" spans="1:18" x14ac:dyDescent="0.2">
      <c r="A137" s="99" t="s">
        <v>123</v>
      </c>
      <c r="B137" s="98" t="s">
        <v>134</v>
      </c>
      <c r="H137" s="86"/>
      <c r="I137" s="106">
        <v>3.5311318777479621E-4</v>
      </c>
      <c r="J137" s="106">
        <v>3.5311318777479621E-4</v>
      </c>
      <c r="K137" s="106">
        <v>3.5311318777479621E-4</v>
      </c>
      <c r="L137" s="106">
        <v>3.5311318777479621E-4</v>
      </c>
      <c r="M137" s="106">
        <v>3.5311318777479621E-4</v>
      </c>
      <c r="N137" s="106">
        <v>1.0719109150967526E-4</v>
      </c>
      <c r="O137" s="106">
        <v>1.0777424344142577E-4</v>
      </c>
      <c r="P137" s="106">
        <v>1.0564951706482274E-4</v>
      </c>
      <c r="Q137" s="106">
        <v>1.0356811394701623E-4</v>
      </c>
      <c r="R137" s="106">
        <v>1.0150748295833313E-4</v>
      </c>
    </row>
    <row r="138" spans="1:18" x14ac:dyDescent="0.2">
      <c r="A138" s="99" t="s">
        <v>124</v>
      </c>
      <c r="B138" s="98" t="s">
        <v>135</v>
      </c>
      <c r="H138" s="86"/>
      <c r="I138" s="106">
        <v>0.142814822453985</v>
      </c>
      <c r="J138" s="106">
        <v>0.142814822453985</v>
      </c>
      <c r="K138" s="106">
        <v>0.142814822453985</v>
      </c>
      <c r="L138" s="106">
        <v>0.142814822453985</v>
      </c>
      <c r="M138" s="106">
        <v>0.142814822453985</v>
      </c>
      <c r="N138" s="106">
        <v>0.1437195356378983</v>
      </c>
      <c r="O138" s="106">
        <v>0.14119544318686852</v>
      </c>
      <c r="P138" s="106">
        <v>0.13862795685502546</v>
      </c>
      <c r="Q138" s="106">
        <v>0.13606047052318238</v>
      </c>
      <c r="R138" s="106">
        <v>0.13349298419133926</v>
      </c>
    </row>
  </sheetData>
  <dataValidations count="1">
    <dataValidation type="list" allowBlank="1" showInputMessage="1" showErrorMessage="1" sqref="B29:B41" xr:uid="{00000000-0002-0000-0A00-000000000000}">
      <formula1>"Upstream,Delivery"</formula1>
    </dataValidation>
  </dataValidation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V64"/>
  <sheetViews>
    <sheetView zoomScale="90" zoomScaleNormal="90" workbookViewId="0">
      <pane xSplit="1" ySplit="2" topLeftCell="AE27" activePane="bottomRight" state="frozen"/>
      <selection pane="topRight" activeCell="B1" sqref="B1"/>
      <selection pane="bottomLeft" activeCell="A3" sqref="A3"/>
      <selection pane="bottomRight" activeCell="AS54" sqref="AS54"/>
    </sheetView>
  </sheetViews>
  <sheetFormatPr defaultRowHeight="15" outlineLevelCol="1" x14ac:dyDescent="0.25"/>
  <cols>
    <col min="1" max="1" width="8.85546875" bestFit="1" customWidth="1"/>
    <col min="2" max="2" width="9.140625" customWidth="1"/>
    <col min="3" max="3" width="15.85546875" style="171" customWidth="1" outlineLevel="1"/>
    <col min="4" max="5" width="15.85546875" customWidth="1" outlineLevel="1"/>
    <col min="6" max="6" width="15.85546875" style="172" customWidth="1" outlineLevel="1"/>
    <col min="7" max="8" width="15.85546875" customWidth="1" outlineLevel="1"/>
    <col min="9" max="9" width="15.85546875" style="172" customWidth="1" outlineLevel="1"/>
    <col min="10" max="10" width="13.42578125" style="141" customWidth="1" outlineLevel="1"/>
    <col min="11" max="11" width="14.140625" style="141" customWidth="1" outlineLevel="1"/>
    <col min="12" max="12" width="12.42578125" style="141" customWidth="1" outlineLevel="1"/>
    <col min="13" max="13" width="11.85546875" style="141" customWidth="1" outlineLevel="1"/>
    <col min="14" max="14" width="11.85546875" style="146" customWidth="1" outlineLevel="1"/>
    <col min="15" max="15" width="13" style="144" customWidth="1" outlineLevel="1"/>
    <col min="16" max="18" width="12.85546875" style="144" customWidth="1" outlineLevel="1"/>
    <col min="19" max="19" width="12.85546875" style="147" customWidth="1" outlineLevel="1"/>
    <col min="20" max="24" width="13" style="144" customWidth="1" outlineLevel="1"/>
    <col min="25" max="25" width="3.5703125" style="281" customWidth="1"/>
    <col min="26" max="26" width="10.85546875" style="300" customWidth="1" outlineLevel="1"/>
    <col min="27" max="27" width="10.140625" style="278" customWidth="1" outlineLevel="1"/>
    <col min="28" max="31" width="12" style="200" customWidth="1" outlineLevel="1"/>
    <col min="32" max="32" width="12.140625" style="278" customWidth="1" outlineLevel="1"/>
    <col min="33" max="33" width="13.140625" style="278" customWidth="1" outlineLevel="1"/>
    <col min="34" max="34" width="15.5703125" style="278" customWidth="1" outlineLevel="1"/>
    <col min="35" max="37" width="15.42578125" style="278" customWidth="1" outlineLevel="1"/>
    <col min="38" max="39" width="15.42578125" style="201" customWidth="1" outlineLevel="1"/>
    <col min="40" max="42" width="14.85546875" style="278" customWidth="1" outlineLevel="1"/>
    <col min="43" max="45" width="15.42578125" style="296" customWidth="1" outlineLevel="1"/>
    <col min="46" max="46" width="15.42578125" style="297" customWidth="1" outlineLevel="1"/>
    <col min="47" max="48" width="12.140625" style="278" customWidth="1" outlineLevel="1"/>
    <col min="49" max="49" width="14.85546875" style="278" customWidth="1" outlineLevel="1"/>
    <col min="50" max="50" width="14.5703125" style="278" customWidth="1" outlineLevel="1"/>
    <col min="51" max="51" width="11.85546875" style="278" customWidth="1" outlineLevel="1"/>
    <col min="52" max="52" width="16.85546875" style="278" customWidth="1" outlineLevel="1"/>
    <col min="53" max="54" width="16.85546875" style="252" customWidth="1" outlineLevel="1"/>
    <col min="55" max="55" width="15.42578125" style="278" customWidth="1" outlineLevel="1"/>
    <col min="56" max="56" width="3.5703125" style="238" customWidth="1"/>
    <col min="57" max="57" width="14.85546875" style="287" customWidth="1" outlineLevel="1"/>
    <col min="58" max="58" width="15.42578125" style="292" customWidth="1" outlineLevel="1"/>
    <col min="59" max="59" width="12.5703125" style="301" customWidth="1" outlineLevel="1"/>
    <col min="60" max="60" width="12.42578125" style="302" customWidth="1" outlineLevel="1"/>
    <col min="61" max="61" width="17.140625" style="303" customWidth="1" outlineLevel="1"/>
    <col min="62" max="62" width="15.5703125" style="309" customWidth="1" outlineLevel="1"/>
    <col min="63" max="63" width="3.5703125" style="239" customWidth="1"/>
    <col min="64" max="64" width="9.85546875" style="304" customWidth="1" outlineLevel="1"/>
    <col min="65" max="65" width="13.5703125" style="305" customWidth="1" outlineLevel="1"/>
    <col min="66" max="66" width="15.140625" style="306" customWidth="1" outlineLevel="1"/>
    <col min="67" max="67" width="15.140625" style="307" customWidth="1" outlineLevel="1"/>
    <col min="68" max="68" width="19.140625" style="305" customWidth="1" outlineLevel="1"/>
    <col min="69" max="70" width="14.140625" style="305" customWidth="1" outlineLevel="1"/>
    <col min="71" max="71" width="14.140625" style="308" customWidth="1" outlineLevel="1"/>
    <col min="72" max="72" width="3.5703125" style="283" customWidth="1"/>
    <col min="74" max="74" width="17.42578125" bestFit="1" customWidth="1"/>
  </cols>
  <sheetData>
    <row r="1" spans="1:72" s="175" customFormat="1" ht="69" customHeight="1" thickBot="1" x14ac:dyDescent="0.3">
      <c r="A1" s="121"/>
      <c r="B1" s="122"/>
      <c r="C1" s="526" t="s">
        <v>188</v>
      </c>
      <c r="D1" s="527"/>
      <c r="E1" s="527"/>
      <c r="F1" s="528"/>
      <c r="G1" s="529" t="s">
        <v>189</v>
      </c>
      <c r="H1" s="527"/>
      <c r="I1" s="527"/>
      <c r="J1" s="530" t="s">
        <v>190</v>
      </c>
      <c r="K1" s="530"/>
      <c r="L1" s="530"/>
      <c r="M1" s="530"/>
      <c r="N1" s="531"/>
      <c r="O1" s="532" t="s">
        <v>191</v>
      </c>
      <c r="P1" s="533"/>
      <c r="Q1" s="533"/>
      <c r="R1" s="533"/>
      <c r="S1" s="534"/>
      <c r="T1" s="533" t="s">
        <v>192</v>
      </c>
      <c r="U1" s="533"/>
      <c r="V1" s="533"/>
      <c r="W1" s="533"/>
      <c r="X1" s="533"/>
      <c r="Y1" s="525" t="s">
        <v>206</v>
      </c>
      <c r="Z1" s="515" t="s">
        <v>207</v>
      </c>
      <c r="AA1" s="516"/>
      <c r="AB1" s="516"/>
      <c r="AC1" s="516"/>
      <c r="AD1" s="516"/>
      <c r="AE1" s="516"/>
      <c r="AF1" s="516"/>
      <c r="AG1" s="516"/>
      <c r="AH1" s="516"/>
      <c r="AI1" s="516"/>
      <c r="AJ1" s="516"/>
      <c r="AK1" s="516"/>
      <c r="AL1" s="516"/>
      <c r="AM1" s="516"/>
      <c r="AN1" s="516"/>
      <c r="AO1" s="516"/>
      <c r="AP1" s="516"/>
      <c r="AQ1" s="517"/>
      <c r="AR1" s="518" t="s">
        <v>208</v>
      </c>
      <c r="AS1" s="516"/>
      <c r="AT1" s="517"/>
      <c r="AU1" s="518" t="s">
        <v>209</v>
      </c>
      <c r="AV1" s="516"/>
      <c r="AW1" s="516"/>
      <c r="AX1" s="516"/>
      <c r="AY1" s="516"/>
      <c r="AZ1" s="516"/>
      <c r="BA1" s="516"/>
      <c r="BB1" s="516"/>
      <c r="BC1" s="519"/>
      <c r="BD1" s="520" t="s">
        <v>210</v>
      </c>
      <c r="BE1" s="521" t="s">
        <v>211</v>
      </c>
      <c r="BF1" s="522"/>
      <c r="BG1" s="522"/>
      <c r="BH1" s="523"/>
      <c r="BI1" s="173" t="s">
        <v>212</v>
      </c>
      <c r="BJ1" s="174" t="s">
        <v>213</v>
      </c>
      <c r="BK1" s="524" t="s">
        <v>214</v>
      </c>
      <c r="BL1" s="510" t="s">
        <v>215</v>
      </c>
      <c r="BM1" s="511"/>
      <c r="BN1" s="511"/>
      <c r="BO1" s="511"/>
      <c r="BP1" s="512" t="s">
        <v>37</v>
      </c>
      <c r="BQ1" s="513"/>
      <c r="BR1" s="513"/>
      <c r="BS1" s="513"/>
      <c r="BT1" s="514" t="s">
        <v>216</v>
      </c>
    </row>
    <row r="2" spans="1:72" s="197" customFormat="1" ht="48.6" customHeight="1" x14ac:dyDescent="0.25">
      <c r="A2" s="123" t="s">
        <v>193</v>
      </c>
      <c r="B2" s="124" t="s">
        <v>194</v>
      </c>
      <c r="C2" s="125" t="s">
        <v>195</v>
      </c>
      <c r="D2" s="126" t="s">
        <v>196</v>
      </c>
      <c r="E2" s="127" t="s">
        <v>197</v>
      </c>
      <c r="F2" s="127" t="s">
        <v>198</v>
      </c>
      <c r="G2" s="126" t="s">
        <v>199</v>
      </c>
      <c r="H2" s="128" t="s">
        <v>200</v>
      </c>
      <c r="I2" s="127" t="s">
        <v>196</v>
      </c>
      <c r="J2" s="129" t="s">
        <v>201</v>
      </c>
      <c r="K2" s="129" t="s">
        <v>202</v>
      </c>
      <c r="L2" s="129" t="s">
        <v>203</v>
      </c>
      <c r="M2" s="129" t="s">
        <v>204</v>
      </c>
      <c r="N2" s="130" t="s">
        <v>205</v>
      </c>
      <c r="O2" s="131" t="s">
        <v>201</v>
      </c>
      <c r="P2" s="131" t="s">
        <v>202</v>
      </c>
      <c r="Q2" s="131" t="s">
        <v>203</v>
      </c>
      <c r="R2" s="131" t="s">
        <v>204</v>
      </c>
      <c r="S2" s="132" t="s">
        <v>205</v>
      </c>
      <c r="T2" s="131" t="s">
        <v>201</v>
      </c>
      <c r="U2" s="131" t="s">
        <v>202</v>
      </c>
      <c r="V2" s="131" t="s">
        <v>203</v>
      </c>
      <c r="W2" s="131" t="s">
        <v>204</v>
      </c>
      <c r="X2" s="131" t="s">
        <v>205</v>
      </c>
      <c r="Y2" s="525"/>
      <c r="Z2" s="176" t="s">
        <v>217</v>
      </c>
      <c r="AA2" s="177" t="s">
        <v>218</v>
      </c>
      <c r="AB2" s="178" t="s">
        <v>219</v>
      </c>
      <c r="AC2" s="178" t="s">
        <v>220</v>
      </c>
      <c r="AD2" s="178" t="s">
        <v>221</v>
      </c>
      <c r="AE2" s="179" t="s">
        <v>222</v>
      </c>
      <c r="AF2" s="177" t="s">
        <v>223</v>
      </c>
      <c r="AG2" s="177" t="s">
        <v>224</v>
      </c>
      <c r="AH2" s="177" t="s">
        <v>225</v>
      </c>
      <c r="AI2" s="177" t="s">
        <v>226</v>
      </c>
      <c r="AJ2" s="177" t="s">
        <v>227</v>
      </c>
      <c r="AK2" s="177" t="s">
        <v>228</v>
      </c>
      <c r="AL2" s="180" t="s">
        <v>229</v>
      </c>
      <c r="AM2" s="180" t="s">
        <v>230</v>
      </c>
      <c r="AN2" s="177" t="s">
        <v>231</v>
      </c>
      <c r="AO2" s="177" t="s">
        <v>232</v>
      </c>
      <c r="AP2" s="177" t="s">
        <v>233</v>
      </c>
      <c r="AQ2" s="181" t="s">
        <v>234</v>
      </c>
      <c r="AR2" s="181" t="s">
        <v>235</v>
      </c>
      <c r="AS2" s="181" t="s">
        <v>236</v>
      </c>
      <c r="AT2" s="182" t="s">
        <v>237</v>
      </c>
      <c r="AU2" s="177" t="s">
        <v>238</v>
      </c>
      <c r="AV2" s="177" t="s">
        <v>239</v>
      </c>
      <c r="AW2" s="177" t="s">
        <v>240</v>
      </c>
      <c r="AX2" s="177" t="s">
        <v>223</v>
      </c>
      <c r="AY2" s="177" t="s">
        <v>241</v>
      </c>
      <c r="AZ2" s="177" t="s">
        <v>242</v>
      </c>
      <c r="BA2" s="180" t="s">
        <v>243</v>
      </c>
      <c r="BB2" s="180" t="s">
        <v>244</v>
      </c>
      <c r="BC2" s="181" t="s">
        <v>245</v>
      </c>
      <c r="BD2" s="520"/>
      <c r="BE2" s="183" t="s">
        <v>217</v>
      </c>
      <c r="BF2" s="184" t="s">
        <v>240</v>
      </c>
      <c r="BG2" s="185" t="s">
        <v>246</v>
      </c>
      <c r="BH2" s="186" t="s">
        <v>247</v>
      </c>
      <c r="BI2" s="187" t="s">
        <v>248</v>
      </c>
      <c r="BJ2" s="188" t="s">
        <v>249</v>
      </c>
      <c r="BK2" s="524"/>
      <c r="BL2" s="189" t="s">
        <v>217</v>
      </c>
      <c r="BM2" s="190" t="s">
        <v>250</v>
      </c>
      <c r="BN2" s="191" t="s">
        <v>251</v>
      </c>
      <c r="BO2" s="192" t="s">
        <v>252</v>
      </c>
      <c r="BP2" s="193" t="s">
        <v>217</v>
      </c>
      <c r="BQ2" s="194" t="s">
        <v>250</v>
      </c>
      <c r="BR2" s="195" t="s">
        <v>251</v>
      </c>
      <c r="BS2" s="196" t="s">
        <v>252</v>
      </c>
      <c r="BT2" s="514"/>
    </row>
    <row r="3" spans="1:72" ht="14.45" customHeight="1" x14ac:dyDescent="0.25">
      <c r="A3" s="133">
        <v>43861</v>
      </c>
      <c r="B3" s="134">
        <v>38.979999999999997</v>
      </c>
      <c r="C3" s="135">
        <v>100000</v>
      </c>
      <c r="D3" s="136">
        <v>6.0000000000000001E-3</v>
      </c>
      <c r="E3" s="137">
        <v>6.0000000000000001E-3</v>
      </c>
      <c r="F3" s="137"/>
      <c r="G3" s="138">
        <v>4.431</v>
      </c>
      <c r="H3" s="138">
        <v>2E-3</v>
      </c>
      <c r="I3" s="139">
        <v>7.6400000000000001E-3</v>
      </c>
      <c r="J3" s="140"/>
      <c r="K3" s="140"/>
      <c r="N3" s="142"/>
      <c r="O3" s="143"/>
      <c r="P3" s="143"/>
      <c r="S3" s="145"/>
      <c r="X3" s="143"/>
      <c r="Y3" s="525"/>
      <c r="Z3" s="198"/>
      <c r="AA3" s="199"/>
      <c r="AF3" s="201"/>
      <c r="AG3" s="201"/>
      <c r="AH3" s="201"/>
      <c r="AI3" s="201"/>
      <c r="AJ3" s="201"/>
      <c r="AK3" s="201"/>
      <c r="AN3" s="201"/>
      <c r="AO3" s="201"/>
      <c r="AP3" s="201"/>
      <c r="AQ3" s="202"/>
      <c r="AR3" s="202"/>
      <c r="AS3" s="202"/>
      <c r="AT3" s="203"/>
      <c r="AU3" s="204"/>
      <c r="AV3" s="204"/>
      <c r="AW3" s="204"/>
      <c r="AX3" s="204"/>
      <c r="AY3" s="204"/>
      <c r="AZ3" s="204"/>
      <c r="BA3" s="204"/>
      <c r="BB3" s="204"/>
      <c r="BC3" s="205"/>
      <c r="BD3" s="520"/>
      <c r="BE3" s="206"/>
      <c r="BF3" s="207"/>
      <c r="BG3" s="208"/>
      <c r="BH3" s="209"/>
      <c r="BI3" s="210"/>
      <c r="BJ3" s="211"/>
      <c r="BK3" s="524"/>
      <c r="BL3" s="212"/>
      <c r="BM3" s="213"/>
      <c r="BN3" s="214"/>
      <c r="BO3" s="215"/>
      <c r="BP3" s="213"/>
      <c r="BQ3" s="213"/>
      <c r="BR3" s="213"/>
      <c r="BS3" s="216"/>
      <c r="BT3" s="514"/>
    </row>
    <row r="4" spans="1:72" ht="14.45" customHeight="1" x14ac:dyDescent="0.25">
      <c r="A4" s="133">
        <v>43890</v>
      </c>
      <c r="B4" s="134">
        <v>38.979999999999997</v>
      </c>
      <c r="C4" s="135">
        <v>100000</v>
      </c>
      <c r="D4" s="136">
        <v>6.0000000000000001E-3</v>
      </c>
      <c r="E4" s="137">
        <v>6.0000000000000001E-3</v>
      </c>
      <c r="F4" s="137"/>
      <c r="G4" s="138">
        <v>4.431</v>
      </c>
      <c r="H4" s="138">
        <v>2E-3</v>
      </c>
      <c r="I4" s="139">
        <v>7.6400000000000001E-3</v>
      </c>
      <c r="Y4" s="525"/>
      <c r="Z4" s="198"/>
      <c r="AA4" s="199"/>
      <c r="AF4" s="201"/>
      <c r="AG4" s="201"/>
      <c r="AH4" s="201"/>
      <c r="AI4" s="201"/>
      <c r="AJ4" s="201"/>
      <c r="AK4" s="201"/>
      <c r="AN4" s="201"/>
      <c r="AO4" s="201"/>
      <c r="AP4" s="201"/>
      <c r="AQ4" s="202"/>
      <c r="AR4" s="202"/>
      <c r="AS4" s="202"/>
      <c r="AT4" s="203"/>
      <c r="AU4" s="204"/>
      <c r="AV4" s="204"/>
      <c r="AW4" s="204"/>
      <c r="AX4" s="204"/>
      <c r="AY4" s="204"/>
      <c r="AZ4" s="204"/>
      <c r="BA4" s="204"/>
      <c r="BB4" s="204"/>
      <c r="BC4" s="205"/>
      <c r="BD4" s="520"/>
      <c r="BE4" s="206"/>
      <c r="BF4" s="207"/>
      <c r="BG4" s="208"/>
      <c r="BH4" s="209"/>
      <c r="BI4" s="210"/>
      <c r="BJ4" s="211"/>
      <c r="BK4" s="524"/>
      <c r="BL4" s="212"/>
      <c r="BM4" s="213"/>
      <c r="BN4" s="214"/>
      <c r="BO4" s="215"/>
      <c r="BP4" s="213"/>
      <c r="BQ4" s="213"/>
      <c r="BR4" s="213"/>
      <c r="BS4" s="216"/>
      <c r="BT4" s="514"/>
    </row>
    <row r="5" spans="1:72" s="236" customFormat="1" ht="14.45" customHeight="1" x14ac:dyDescent="0.25">
      <c r="A5" s="148">
        <v>43921</v>
      </c>
      <c r="B5" s="149">
        <v>38.979999999999997</v>
      </c>
      <c r="C5" s="150">
        <v>100000</v>
      </c>
      <c r="D5" s="151">
        <v>6.0000000000000001E-3</v>
      </c>
      <c r="E5" s="152">
        <v>6.0000000000000001E-3</v>
      </c>
      <c r="F5" s="152"/>
      <c r="G5" s="153">
        <v>4.431</v>
      </c>
      <c r="H5" s="153">
        <v>2E-3</v>
      </c>
      <c r="I5" s="154">
        <v>7.6400000000000001E-3</v>
      </c>
      <c r="J5" s="155"/>
      <c r="K5" s="155"/>
      <c r="L5" s="155"/>
      <c r="M5" s="155"/>
      <c r="N5" s="156"/>
      <c r="O5" s="157"/>
      <c r="P5" s="157"/>
      <c r="Q5" s="157"/>
      <c r="R5" s="157"/>
      <c r="S5" s="158"/>
      <c r="T5" s="157"/>
      <c r="U5" s="157"/>
      <c r="V5" s="157"/>
      <c r="W5" s="157"/>
      <c r="X5" s="157"/>
      <c r="Y5" s="525"/>
      <c r="Z5" s="217"/>
      <c r="AA5" s="218"/>
      <c r="AB5" s="219"/>
      <c r="AC5" s="219"/>
      <c r="AD5" s="219"/>
      <c r="AE5" s="219"/>
      <c r="AF5" s="220"/>
      <c r="AG5" s="220"/>
      <c r="AH5" s="220"/>
      <c r="AI5" s="220"/>
      <c r="AJ5" s="220"/>
      <c r="AK5" s="220"/>
      <c r="AL5" s="220"/>
      <c r="AM5" s="220"/>
      <c r="AN5" s="220"/>
      <c r="AO5" s="220"/>
      <c r="AP5" s="220"/>
      <c r="AQ5" s="221"/>
      <c r="AR5" s="221"/>
      <c r="AS5" s="221"/>
      <c r="AT5" s="222"/>
      <c r="AU5" s="223"/>
      <c r="AV5" s="223"/>
      <c r="AW5" s="223"/>
      <c r="AX5" s="223"/>
      <c r="AY5" s="223"/>
      <c r="AZ5" s="223"/>
      <c r="BA5" s="223"/>
      <c r="BB5" s="223"/>
      <c r="BC5" s="224"/>
      <c r="BD5" s="520"/>
      <c r="BE5" s="225"/>
      <c r="BF5" s="226"/>
      <c r="BG5" s="227"/>
      <c r="BH5" s="228"/>
      <c r="BI5" s="229"/>
      <c r="BJ5" s="230"/>
      <c r="BK5" s="524"/>
      <c r="BL5" s="231"/>
      <c r="BM5" s="232"/>
      <c r="BN5" s="233"/>
      <c r="BO5" s="234"/>
      <c r="BP5" s="232"/>
      <c r="BQ5" s="232"/>
      <c r="BR5" s="232"/>
      <c r="BS5" s="235"/>
      <c r="BT5" s="514"/>
    </row>
    <row r="6" spans="1:72" ht="14.45" customHeight="1" x14ac:dyDescent="0.25">
      <c r="A6" s="133">
        <v>43951</v>
      </c>
      <c r="B6" s="134">
        <v>39.28</v>
      </c>
      <c r="C6" s="135">
        <v>100000</v>
      </c>
      <c r="D6" s="136">
        <v>6.0000000000000001E-3</v>
      </c>
      <c r="E6" s="137">
        <v>6.0000000000000001E-3</v>
      </c>
      <c r="F6" s="137"/>
      <c r="G6" s="138">
        <v>4.431</v>
      </c>
      <c r="H6" s="138">
        <v>2E-3</v>
      </c>
      <c r="I6" s="139">
        <v>3.1900000000000001E-3</v>
      </c>
      <c r="Y6" s="237"/>
      <c r="Z6" s="198"/>
      <c r="AA6" s="199"/>
      <c r="AF6" s="201"/>
      <c r="AG6" s="201"/>
      <c r="AH6" s="201"/>
      <c r="AI6" s="201"/>
      <c r="AJ6" s="201"/>
      <c r="AK6" s="201"/>
      <c r="AN6" s="201"/>
      <c r="AO6" s="201"/>
      <c r="AP6" s="201"/>
      <c r="AQ6" s="202"/>
      <c r="AR6" s="202"/>
      <c r="AS6" s="202"/>
      <c r="AT6" s="203"/>
      <c r="AU6" s="204"/>
      <c r="AV6" s="204"/>
      <c r="AW6" s="204"/>
      <c r="AX6" s="204"/>
      <c r="AY6" s="204"/>
      <c r="AZ6" s="204"/>
      <c r="BA6" s="204"/>
      <c r="BB6" s="204"/>
      <c r="BC6" s="205"/>
      <c r="BE6" s="206"/>
      <c r="BF6" s="207"/>
      <c r="BG6" s="208"/>
      <c r="BH6" s="209"/>
      <c r="BI6" s="210"/>
      <c r="BJ6" s="211"/>
      <c r="BL6" s="212"/>
      <c r="BM6" s="213"/>
      <c r="BN6" s="214"/>
      <c r="BO6" s="215"/>
      <c r="BP6" s="213"/>
      <c r="BQ6" s="213"/>
      <c r="BR6" s="213"/>
      <c r="BS6" s="216"/>
      <c r="BT6" s="240"/>
    </row>
    <row r="7" spans="1:72" ht="14.45" customHeight="1" x14ac:dyDescent="0.25">
      <c r="A7" s="133">
        <v>43982</v>
      </c>
      <c r="B7" s="134">
        <v>39.28</v>
      </c>
      <c r="C7" s="135">
        <v>100000</v>
      </c>
      <c r="D7" s="136">
        <v>6.0000000000000001E-3</v>
      </c>
      <c r="E7" s="137">
        <v>6.0000000000000001E-3</v>
      </c>
      <c r="F7" s="137"/>
      <c r="G7" s="138">
        <v>4.431</v>
      </c>
      <c r="H7" s="138">
        <v>2E-3</v>
      </c>
      <c r="I7" s="139">
        <v>3.1900000000000001E-3</v>
      </c>
      <c r="Y7" s="237"/>
      <c r="Z7" s="198" t="s">
        <v>253</v>
      </c>
      <c r="AA7" s="199">
        <v>100000</v>
      </c>
      <c r="AB7" s="200">
        <v>11936</v>
      </c>
      <c r="AF7" s="201">
        <v>3541.67</v>
      </c>
      <c r="AG7" s="201">
        <f t="shared" ref="AG7:AG62" si="0">AB7*E6</f>
        <v>71.616</v>
      </c>
      <c r="AH7" s="201"/>
      <c r="AI7" s="241">
        <v>64</v>
      </c>
      <c r="AJ7" s="241"/>
      <c r="AK7" s="241"/>
      <c r="AN7" s="201"/>
      <c r="AO7" s="201"/>
      <c r="AP7" s="201"/>
      <c r="AQ7" s="205">
        <f>AF7+AG7+AL7</f>
        <v>3613.2860000000001</v>
      </c>
      <c r="AR7" s="205"/>
      <c r="AS7" s="205"/>
      <c r="AT7" s="242"/>
      <c r="AU7" s="204"/>
      <c r="AV7" s="204"/>
      <c r="AW7" s="204"/>
      <c r="AX7" s="204"/>
      <c r="AY7" s="204"/>
      <c r="AZ7" s="204"/>
      <c r="BA7" s="204"/>
      <c r="BB7" s="204"/>
      <c r="BC7" s="205"/>
      <c r="BE7" s="206"/>
      <c r="BF7" s="207"/>
      <c r="BG7" s="208"/>
      <c r="BH7" s="209"/>
      <c r="BI7" s="210"/>
      <c r="BJ7" s="211"/>
      <c r="BL7" s="247" t="str">
        <f t="shared" ref="BL7:BL62" si="1">Z7</f>
        <v>838 454</v>
      </c>
      <c r="BM7" s="213">
        <f>AQ7+BC7</f>
        <v>3613.2860000000001</v>
      </c>
      <c r="BN7" s="214"/>
      <c r="BO7" s="216">
        <f t="shared" ref="BO7:BO9" si="2">BM7+BN7</f>
        <v>3613.2860000000001</v>
      </c>
      <c r="BP7" s="213"/>
      <c r="BQ7" s="213"/>
      <c r="BR7" s="213"/>
      <c r="BS7" s="216"/>
      <c r="BT7" s="240"/>
    </row>
    <row r="8" spans="1:72" ht="14.45" customHeight="1" x14ac:dyDescent="0.25">
      <c r="A8" s="133">
        <v>44012</v>
      </c>
      <c r="B8" s="134">
        <v>39.28</v>
      </c>
      <c r="C8" s="135">
        <v>100000</v>
      </c>
      <c r="D8" s="136">
        <v>6.0000000000000001E-3</v>
      </c>
      <c r="E8" s="137">
        <v>6.0000000000000001E-3</v>
      </c>
      <c r="F8" s="137"/>
      <c r="G8" s="138">
        <v>4.431</v>
      </c>
      <c r="H8" s="138">
        <v>2E-3</v>
      </c>
      <c r="I8" s="139">
        <v>3.1900000000000001E-3</v>
      </c>
      <c r="Y8" s="237"/>
      <c r="Z8" s="198" t="s">
        <v>254</v>
      </c>
      <c r="AA8" s="199">
        <v>100000</v>
      </c>
      <c r="AB8" s="200">
        <v>22500</v>
      </c>
      <c r="AF8" s="201">
        <v>7083.33</v>
      </c>
      <c r="AG8" s="201">
        <f t="shared" si="0"/>
        <v>135</v>
      </c>
      <c r="AH8" s="201"/>
      <c r="AI8" s="241">
        <v>120</v>
      </c>
      <c r="AJ8" s="241"/>
      <c r="AK8" s="241"/>
      <c r="AN8" s="201"/>
      <c r="AP8" s="201"/>
      <c r="AQ8" s="205">
        <f>AF8+AG8+AL8</f>
        <v>7218.33</v>
      </c>
      <c r="AR8" s="205"/>
      <c r="AS8" s="205"/>
      <c r="AT8" s="242"/>
      <c r="AU8" s="201">
        <v>1798.84</v>
      </c>
      <c r="AV8" s="253">
        <v>2979</v>
      </c>
      <c r="AW8" s="204"/>
      <c r="AX8" s="252">
        <f t="shared" ref="AX8:AY23" si="3">AV8*G8</f>
        <v>13199.949000000001</v>
      </c>
      <c r="AY8" s="204"/>
      <c r="AZ8" s="204"/>
      <c r="BA8" s="204"/>
      <c r="BB8" s="204"/>
      <c r="BC8" s="256">
        <f t="shared" ref="BC8:BC33" si="4">AU8+AX8+AY8</f>
        <v>14998.789000000001</v>
      </c>
      <c r="BE8" s="206"/>
      <c r="BF8" s="207"/>
      <c r="BG8" s="208"/>
      <c r="BH8" s="209"/>
      <c r="BI8" s="210"/>
      <c r="BJ8" s="211"/>
      <c r="BL8" s="247" t="str">
        <f t="shared" si="1"/>
        <v>842 770</v>
      </c>
      <c r="BM8" s="213">
        <f>AQ8+BC8</f>
        <v>22217.118999999999</v>
      </c>
      <c r="BN8" s="214"/>
      <c r="BO8" s="216">
        <f t="shared" si="2"/>
        <v>22217.118999999999</v>
      </c>
      <c r="BP8" s="213"/>
      <c r="BQ8" s="213"/>
      <c r="BR8" s="213"/>
      <c r="BS8" s="216"/>
      <c r="BT8" s="240"/>
    </row>
    <row r="9" spans="1:72" ht="14.45" customHeight="1" x14ac:dyDescent="0.25">
      <c r="A9" s="133">
        <v>44043</v>
      </c>
      <c r="B9" s="134">
        <v>39.28</v>
      </c>
      <c r="C9" s="135">
        <v>100000</v>
      </c>
      <c r="D9" s="136">
        <v>6.0000000000000001E-3</v>
      </c>
      <c r="E9" s="137">
        <v>6.0000000000000001E-3</v>
      </c>
      <c r="F9" s="137"/>
      <c r="G9" s="138">
        <v>4.431</v>
      </c>
      <c r="H9" s="138">
        <v>2E-3</v>
      </c>
      <c r="I9" s="139">
        <v>3.1900000000000001E-3</v>
      </c>
      <c r="Y9" s="237"/>
      <c r="Z9" s="198" t="s">
        <v>255</v>
      </c>
      <c r="AA9" s="199">
        <v>100000</v>
      </c>
      <c r="AB9" s="200">
        <v>23250</v>
      </c>
      <c r="AF9" s="201">
        <v>7083.33</v>
      </c>
      <c r="AG9" s="201">
        <f t="shared" si="0"/>
        <v>139.5</v>
      </c>
      <c r="AH9" s="201"/>
      <c r="AI9" s="241">
        <v>124</v>
      </c>
      <c r="AJ9" s="241"/>
      <c r="AK9" s="241"/>
      <c r="AN9" s="201"/>
      <c r="AP9" s="201"/>
      <c r="AQ9" s="205">
        <f>AF9+AG9+AL9</f>
        <v>7222.83</v>
      </c>
      <c r="AR9" s="205"/>
      <c r="AS9" s="205"/>
      <c r="AT9" s="242"/>
      <c r="AU9" s="201">
        <v>1998.71</v>
      </c>
      <c r="AV9" s="253">
        <v>3310</v>
      </c>
      <c r="AW9" s="204"/>
      <c r="AX9" s="252">
        <f t="shared" si="3"/>
        <v>14666.61</v>
      </c>
      <c r="AY9" s="204"/>
      <c r="AZ9" s="204"/>
      <c r="BA9" s="204"/>
      <c r="BB9" s="204"/>
      <c r="BC9" s="256">
        <f t="shared" si="4"/>
        <v>16665.32</v>
      </c>
      <c r="BE9" s="206"/>
      <c r="BF9" s="207"/>
      <c r="BG9" s="208"/>
      <c r="BH9" s="209"/>
      <c r="BI9" s="210"/>
      <c r="BJ9" s="211"/>
      <c r="BL9" s="247" t="str">
        <f t="shared" si="1"/>
        <v>847 784</v>
      </c>
      <c r="BM9" s="213">
        <f>AQ9+BC9</f>
        <v>23888.15</v>
      </c>
      <c r="BN9" s="214"/>
      <c r="BO9" s="216">
        <f t="shared" si="2"/>
        <v>23888.15</v>
      </c>
      <c r="BP9" s="213"/>
      <c r="BQ9" s="213"/>
      <c r="BR9" s="213"/>
      <c r="BS9" s="216"/>
      <c r="BT9" s="240"/>
    </row>
    <row r="10" spans="1:72" ht="14.45" customHeight="1" x14ac:dyDescent="0.25">
      <c r="A10" s="133">
        <v>44074</v>
      </c>
      <c r="B10" s="134">
        <v>39.28</v>
      </c>
      <c r="C10" s="135">
        <v>100000</v>
      </c>
      <c r="D10" s="136">
        <v>6.0000000000000001E-3</v>
      </c>
      <c r="E10" s="137">
        <v>6.0000000000000001E-3</v>
      </c>
      <c r="F10" s="137"/>
      <c r="G10" s="138">
        <v>4.431</v>
      </c>
      <c r="H10" s="138">
        <v>2E-3</v>
      </c>
      <c r="I10" s="139">
        <v>3.1900000000000001E-3</v>
      </c>
      <c r="J10" s="141">
        <v>41957</v>
      </c>
      <c r="K10" s="141">
        <f>J10-L10-M10-N10</f>
        <v>7478</v>
      </c>
      <c r="L10" s="141">
        <v>5304</v>
      </c>
      <c r="M10" s="141">
        <v>29175</v>
      </c>
      <c r="O10" s="144">
        <v>40639</v>
      </c>
      <c r="P10" s="144">
        <f>O10-Q10-R10-S10</f>
        <v>6400.7141127607974</v>
      </c>
      <c r="Q10" s="144">
        <v>5299.8486339592</v>
      </c>
      <c r="R10" s="144">
        <v>28938.437253280004</v>
      </c>
      <c r="T10" s="144">
        <v>8863</v>
      </c>
      <c r="U10" s="144">
        <f>T10-V10-W10-X10</f>
        <v>5452.4354400000002</v>
      </c>
      <c r="V10" s="144">
        <f>22800*B10/1000</f>
        <v>895.58399999999995</v>
      </c>
      <c r="W10" s="144">
        <f>64027*B10/1000</f>
        <v>2514.98056</v>
      </c>
      <c r="Y10" s="237"/>
      <c r="Z10" s="198" t="s">
        <v>256</v>
      </c>
      <c r="AA10" s="199">
        <v>100000</v>
      </c>
      <c r="AB10" s="200">
        <v>17500</v>
      </c>
      <c r="AF10" s="201">
        <v>7083.33</v>
      </c>
      <c r="AG10" s="201">
        <f t="shared" si="0"/>
        <v>105</v>
      </c>
      <c r="AH10" s="201"/>
      <c r="AI10" s="241">
        <v>109</v>
      </c>
      <c r="AJ10" s="241"/>
      <c r="AK10" s="201">
        <f>9750*0.041</f>
        <v>399.75</v>
      </c>
      <c r="AN10" s="201"/>
      <c r="AP10" s="201"/>
      <c r="AQ10" s="205">
        <f>AF10+AG10+AK10</f>
        <v>7588.08</v>
      </c>
      <c r="AR10" s="205"/>
      <c r="AS10" s="205"/>
      <c r="AT10" s="242"/>
      <c r="AU10" s="201">
        <v>1998.71</v>
      </c>
      <c r="AV10" s="253">
        <v>3310</v>
      </c>
      <c r="AW10" s="253">
        <v>41957</v>
      </c>
      <c r="AX10" s="252">
        <f t="shared" si="3"/>
        <v>14666.61</v>
      </c>
      <c r="AY10" s="252">
        <f t="shared" si="3"/>
        <v>83.914000000000001</v>
      </c>
      <c r="AZ10" s="204"/>
      <c r="BA10" s="204"/>
      <c r="BB10" s="204"/>
      <c r="BC10" s="256">
        <f t="shared" si="4"/>
        <v>16749.234</v>
      </c>
      <c r="BE10" s="243" t="s">
        <v>257</v>
      </c>
      <c r="BF10" s="244">
        <f t="shared" ref="BF10:BF37" si="5">SUM(P10:S10)</f>
        <v>40639</v>
      </c>
      <c r="BG10" s="245">
        <v>0.04</v>
      </c>
      <c r="BH10" s="246">
        <f t="shared" ref="BH10:BH62" si="6">BF10*BG10</f>
        <v>1625.56</v>
      </c>
      <c r="BI10" s="210">
        <v>3057</v>
      </c>
      <c r="BJ10" s="211"/>
      <c r="BL10" s="247" t="str">
        <f t="shared" si="1"/>
        <v>851 508</v>
      </c>
      <c r="BM10" s="251">
        <f>AQ10
+(K10/AW10*AU10)
+((T10-V10-W10-X10)/T10*AX10)
+(K10/AW10*AY10)</f>
        <v>16982.028781150184</v>
      </c>
      <c r="BN10" s="248">
        <f t="shared" ref="BN10:BN38" si="7">((L10+M10+N10)/AW10*AU10)
+((V10+W10+X10)/T10*AX10)
+((L10+M10+N10)/AW10*AY10)</f>
        <v>7355.2852188498155</v>
      </c>
      <c r="BO10" s="216">
        <f>BM10+BN10</f>
        <v>24337.313999999998</v>
      </c>
      <c r="BP10" s="249" t="str">
        <f t="shared" ref="BP10:BP62" si="8">BE10</f>
        <v>E194CC-2008-1</v>
      </c>
      <c r="BQ10" s="250">
        <f t="shared" ref="BQ10:BQ41" si="9">P10*BG10+BI10</f>
        <v>3313.0285645104318</v>
      </c>
      <c r="BR10" s="250">
        <f t="shared" ref="BR10:BR49" si="10">(Q10+R10+S10)*BG10</f>
        <v>1369.5314354895681</v>
      </c>
      <c r="BS10" s="216">
        <f t="shared" ref="BS10:BS49" si="11">BQ10+BR10</f>
        <v>4682.5599999999995</v>
      </c>
      <c r="BT10" s="240"/>
    </row>
    <row r="11" spans="1:72" ht="14.45" customHeight="1" x14ac:dyDescent="0.25">
      <c r="A11" s="133">
        <v>44104</v>
      </c>
      <c r="B11" s="134">
        <v>39.28</v>
      </c>
      <c r="C11" s="135">
        <v>100000</v>
      </c>
      <c r="D11" s="136">
        <v>6.0000000000000001E-3</v>
      </c>
      <c r="E11" s="137">
        <v>6.0000000000000001E-3</v>
      </c>
      <c r="F11" s="137"/>
      <c r="G11" s="138">
        <v>4.431</v>
      </c>
      <c r="H11" s="138">
        <v>2E-3</v>
      </c>
      <c r="I11" s="139">
        <v>3.1900000000000001E-3</v>
      </c>
      <c r="J11" s="141">
        <v>46856</v>
      </c>
      <c r="K11" s="141">
        <f t="shared" ref="K11:K38" si="12">J11-L11-M11-N11</f>
        <v>0</v>
      </c>
      <c r="L11" s="141">
        <v>13001</v>
      </c>
      <c r="M11" s="141">
        <v>33855</v>
      </c>
      <c r="O11" s="144">
        <v>46481</v>
      </c>
      <c r="P11" s="144">
        <f t="shared" ref="P11:P62" si="13">O11-Q11-R11-S11</f>
        <v>80.248272488795919</v>
      </c>
      <c r="Q11" s="144">
        <v>12810.21694065936</v>
      </c>
      <c r="R11" s="144">
        <v>33590.534786851844</v>
      </c>
      <c r="T11" s="144">
        <v>8863</v>
      </c>
      <c r="U11" s="144">
        <f t="shared" ref="U11:U55" si="14">T11-V11-W11-X11</f>
        <v>5452.4354400000002</v>
      </c>
      <c r="V11" s="144">
        <f t="shared" ref="V11:V62" si="15">22800*B11/1000</f>
        <v>895.58399999999995</v>
      </c>
      <c r="W11" s="144">
        <f t="shared" ref="W11:W62" si="16">64027*B11/1000</f>
        <v>2514.98056</v>
      </c>
      <c r="Y11" s="237"/>
      <c r="Z11" s="198" t="s">
        <v>258</v>
      </c>
      <c r="AA11" s="199">
        <v>100000</v>
      </c>
      <c r="AB11" s="200">
        <v>15000</v>
      </c>
      <c r="AF11" s="201">
        <v>7083.33</v>
      </c>
      <c r="AG11" s="201">
        <f t="shared" si="0"/>
        <v>90</v>
      </c>
      <c r="AH11" s="201"/>
      <c r="AI11" s="241">
        <v>90</v>
      </c>
      <c r="AJ11" s="241"/>
      <c r="AK11" s="241"/>
      <c r="AN11" s="201"/>
      <c r="AP11" s="201"/>
      <c r="AQ11" s="205">
        <f t="shared" ref="AQ11:AQ17" si="17">AF11+AG11+AL11</f>
        <v>7173.33</v>
      </c>
      <c r="AR11" s="205"/>
      <c r="AS11" s="205"/>
      <c r="AT11" s="242"/>
      <c r="AU11" s="201">
        <v>1998.71</v>
      </c>
      <c r="AV11" s="253">
        <v>3310</v>
      </c>
      <c r="AW11" s="253">
        <v>46856</v>
      </c>
      <c r="AX11" s="252">
        <f t="shared" si="3"/>
        <v>14666.61</v>
      </c>
      <c r="AY11" s="252">
        <f t="shared" si="3"/>
        <v>93.712000000000003</v>
      </c>
      <c r="AZ11" s="204"/>
      <c r="BA11" s="204"/>
      <c r="BB11" s="204"/>
      <c r="BC11" s="256">
        <f t="shared" si="4"/>
        <v>16759.031999999999</v>
      </c>
      <c r="BE11" s="243" t="s">
        <v>259</v>
      </c>
      <c r="BF11" s="244">
        <f t="shared" si="5"/>
        <v>46481</v>
      </c>
      <c r="BG11" s="245">
        <v>0.04</v>
      </c>
      <c r="BH11" s="246">
        <f t="shared" si="6"/>
        <v>1859.24</v>
      </c>
      <c r="BI11" s="210">
        <v>3057</v>
      </c>
      <c r="BJ11" s="211"/>
      <c r="BL11" s="247" t="str">
        <f t="shared" si="1"/>
        <v>855 478</v>
      </c>
      <c r="BM11" s="251">
        <f t="shared" ref="BM11:BM14" si="18">AQ11
+(K11/AW11*AU11)
+((T11-V11-W11-X11)/T11*AX11)
+(K11/AW11*AY11)</f>
        <v>16196.092512541849</v>
      </c>
      <c r="BN11" s="248">
        <f>((L11+M11+N11)/AW11*AU11)
+((V11+W11+X11)/T11*AX11)
+((L11+M11+N11)/AW11*AY11)</f>
        <v>7736.269487458153</v>
      </c>
      <c r="BO11" s="216">
        <f t="shared" ref="BO11:BO62" si="19">BM11+BN11</f>
        <v>23932.362000000001</v>
      </c>
      <c r="BP11" s="249" t="str">
        <f t="shared" si="8"/>
        <v>E194CC-2009-1</v>
      </c>
      <c r="BQ11" s="250">
        <f t="shared" si="9"/>
        <v>3060.2099308995516</v>
      </c>
      <c r="BR11" s="250">
        <f t="shared" si="10"/>
        <v>1856.0300691004481</v>
      </c>
      <c r="BS11" s="216">
        <f t="shared" si="11"/>
        <v>4916.24</v>
      </c>
      <c r="BT11" s="240"/>
    </row>
    <row r="12" spans="1:72" ht="14.45" customHeight="1" x14ac:dyDescent="0.25">
      <c r="A12" s="133">
        <v>44135</v>
      </c>
      <c r="B12" s="134">
        <v>39.28</v>
      </c>
      <c r="C12" s="135">
        <v>100000</v>
      </c>
      <c r="D12" s="136">
        <v>6.0000000000000001E-3</v>
      </c>
      <c r="E12" s="137">
        <v>6.0000000000000001E-3</v>
      </c>
      <c r="F12" s="137"/>
      <c r="G12" s="138">
        <v>4.431</v>
      </c>
      <c r="H12" s="138">
        <v>2E-3</v>
      </c>
      <c r="I12" s="139">
        <v>3.1900000000000001E-3</v>
      </c>
      <c r="J12" s="141">
        <v>67529</v>
      </c>
      <c r="K12" s="141">
        <f t="shared" si="12"/>
        <v>0</v>
      </c>
      <c r="L12" s="141">
        <v>12349</v>
      </c>
      <c r="M12" s="141">
        <v>55180</v>
      </c>
      <c r="O12" s="144">
        <v>70664</v>
      </c>
      <c r="P12" s="144">
        <f t="shared" si="13"/>
        <v>2290.1165727904008</v>
      </c>
      <c r="Q12" s="144">
        <v>12497.3400771704</v>
      </c>
      <c r="R12" s="144">
        <v>55876.543350039196</v>
      </c>
      <c r="T12" s="144">
        <v>8863</v>
      </c>
      <c r="U12" s="144">
        <f t="shared" si="14"/>
        <v>5452.4354400000002</v>
      </c>
      <c r="V12" s="144">
        <f t="shared" si="15"/>
        <v>895.58399999999995</v>
      </c>
      <c r="W12" s="144">
        <f t="shared" si="16"/>
        <v>2514.98056</v>
      </c>
      <c r="Y12" s="237"/>
      <c r="Z12" s="198" t="s">
        <v>260</v>
      </c>
      <c r="AA12" s="199">
        <v>100000</v>
      </c>
      <c r="AF12" s="201">
        <v>7083.33</v>
      </c>
      <c r="AG12" s="201">
        <f t="shared" si="0"/>
        <v>0</v>
      </c>
      <c r="AH12" s="201"/>
      <c r="AI12" s="241"/>
      <c r="AJ12" s="241"/>
      <c r="AK12" s="241"/>
      <c r="AN12" s="201"/>
      <c r="AP12" s="201"/>
      <c r="AQ12" s="205">
        <f t="shared" si="17"/>
        <v>7083.33</v>
      </c>
      <c r="AR12" s="205"/>
      <c r="AS12" s="205"/>
      <c r="AT12" s="242"/>
      <c r="AU12" s="201">
        <v>1998.71</v>
      </c>
      <c r="AV12" s="253">
        <v>3310</v>
      </c>
      <c r="AW12" s="253">
        <v>67529</v>
      </c>
      <c r="AX12" s="252">
        <f t="shared" si="3"/>
        <v>14666.61</v>
      </c>
      <c r="AY12" s="252">
        <f t="shared" si="3"/>
        <v>135.05799999999999</v>
      </c>
      <c r="AZ12" s="204"/>
      <c r="BA12" s="204"/>
      <c r="BB12" s="204"/>
      <c r="BC12" s="256">
        <f t="shared" si="4"/>
        <v>16800.378000000001</v>
      </c>
      <c r="BE12" s="243" t="s">
        <v>261</v>
      </c>
      <c r="BF12" s="244">
        <f t="shared" si="5"/>
        <v>70664</v>
      </c>
      <c r="BG12" s="245">
        <v>0.04</v>
      </c>
      <c r="BH12" s="246">
        <f t="shared" si="6"/>
        <v>2826.56</v>
      </c>
      <c r="BI12" s="210">
        <v>3057</v>
      </c>
      <c r="BJ12" s="211"/>
      <c r="BL12" s="247" t="str">
        <f t="shared" si="1"/>
        <v>858 032</v>
      </c>
      <c r="BM12" s="251">
        <f t="shared" si="18"/>
        <v>16106.092512541849</v>
      </c>
      <c r="BN12" s="248">
        <f>((L12+M12+N12)/AW12*AU12)
+((V12+W12+X12)/T12*AX12)
+((L12+M12+N12)/AW12*AY12)</f>
        <v>7777.6154874581525</v>
      </c>
      <c r="BO12" s="216">
        <f t="shared" si="19"/>
        <v>23883.708000000002</v>
      </c>
      <c r="BP12" s="249" t="str">
        <f t="shared" si="8"/>
        <v>E194CC-2010-1</v>
      </c>
      <c r="BQ12" s="250">
        <f t="shared" si="9"/>
        <v>3148.6046629116158</v>
      </c>
      <c r="BR12" s="250">
        <f t="shared" si="10"/>
        <v>2734.9553370883841</v>
      </c>
      <c r="BS12" s="216">
        <f t="shared" si="11"/>
        <v>5883.5599999999995</v>
      </c>
      <c r="BT12" s="240"/>
    </row>
    <row r="13" spans="1:72" ht="14.45" customHeight="1" x14ac:dyDescent="0.25">
      <c r="A13" s="133">
        <v>44165</v>
      </c>
      <c r="B13" s="134">
        <v>39.28</v>
      </c>
      <c r="C13" s="135">
        <v>100000</v>
      </c>
      <c r="D13" s="136">
        <v>6.0000000000000001E-3</v>
      </c>
      <c r="E13" s="137">
        <v>6.0000000000000001E-3</v>
      </c>
      <c r="F13" s="137"/>
      <c r="G13" s="138">
        <v>4.431</v>
      </c>
      <c r="H13" s="138">
        <v>2E-3</v>
      </c>
      <c r="I13" s="139">
        <v>7.6400000000000001E-3</v>
      </c>
      <c r="J13" s="141">
        <v>72432</v>
      </c>
      <c r="K13" s="141">
        <f t="shared" si="12"/>
        <v>4450</v>
      </c>
      <c r="L13" s="141">
        <v>10432</v>
      </c>
      <c r="M13" s="141">
        <v>57550</v>
      </c>
      <c r="O13" s="144">
        <v>69958</v>
      </c>
      <c r="P13" s="144">
        <f t="shared" si="13"/>
        <v>2146.8721594315139</v>
      </c>
      <c r="Q13" s="144">
        <v>10197.95885111232</v>
      </c>
      <c r="R13" s="144">
        <v>57613.168989456164</v>
      </c>
      <c r="T13" s="144">
        <v>8863</v>
      </c>
      <c r="U13" s="144">
        <f t="shared" si="14"/>
        <v>5452.4354400000002</v>
      </c>
      <c r="V13" s="144">
        <f t="shared" si="15"/>
        <v>895.58399999999995</v>
      </c>
      <c r="W13" s="144">
        <f t="shared" si="16"/>
        <v>2514.98056</v>
      </c>
      <c r="Y13" s="237"/>
      <c r="Z13" s="198" t="s">
        <v>262</v>
      </c>
      <c r="AA13" s="199">
        <v>100000</v>
      </c>
      <c r="AB13" s="200">
        <v>1866</v>
      </c>
      <c r="AF13" s="201">
        <v>7083.33</v>
      </c>
      <c r="AG13" s="201">
        <f t="shared" si="0"/>
        <v>11.196</v>
      </c>
      <c r="AH13" s="201"/>
      <c r="AI13" s="241">
        <v>12</v>
      </c>
      <c r="AJ13" s="241"/>
      <c r="AK13" s="241"/>
      <c r="AN13" s="201"/>
      <c r="AP13" s="201"/>
      <c r="AQ13" s="205">
        <f t="shared" si="17"/>
        <v>7094.5259999999998</v>
      </c>
      <c r="AR13" s="205"/>
      <c r="AS13" s="205"/>
      <c r="AT13" s="242"/>
      <c r="AU13" s="201">
        <v>1998.71</v>
      </c>
      <c r="AV13" s="253">
        <v>5531</v>
      </c>
      <c r="AW13" s="253">
        <v>72432</v>
      </c>
      <c r="AX13" s="252">
        <f t="shared" si="3"/>
        <v>24507.861000000001</v>
      </c>
      <c r="AY13" s="252">
        <f t="shared" si="3"/>
        <v>144.864</v>
      </c>
      <c r="AZ13" s="204"/>
      <c r="BA13" s="204"/>
      <c r="BB13" s="204"/>
      <c r="BC13" s="256">
        <f t="shared" si="4"/>
        <v>26651.435000000001</v>
      </c>
      <c r="BE13" s="243" t="s">
        <v>263</v>
      </c>
      <c r="BF13" s="244">
        <f t="shared" si="5"/>
        <v>69958</v>
      </c>
      <c r="BG13" s="245">
        <v>0.04</v>
      </c>
      <c r="BH13" s="246">
        <f t="shared" si="6"/>
        <v>2798.32</v>
      </c>
      <c r="BI13" s="210">
        <v>3057</v>
      </c>
      <c r="BJ13" s="211"/>
      <c r="BL13" s="247" t="str">
        <f t="shared" si="1"/>
        <v>863 949</v>
      </c>
      <c r="BM13" s="251">
        <f t="shared" si="18"/>
        <v>22303.229513615075</v>
      </c>
      <c r="BN13" s="248">
        <f t="shared" si="7"/>
        <v>11442.731486384928</v>
      </c>
      <c r="BO13" s="216">
        <f t="shared" si="19"/>
        <v>33745.961000000003</v>
      </c>
      <c r="BP13" s="249" t="str">
        <f t="shared" si="8"/>
        <v>E194CC-2011-1</v>
      </c>
      <c r="BQ13" s="250">
        <f t="shared" si="9"/>
        <v>3142.8748863772607</v>
      </c>
      <c r="BR13" s="250">
        <f t="shared" si="10"/>
        <v>2712.4451136227394</v>
      </c>
      <c r="BS13" s="216">
        <f t="shared" si="11"/>
        <v>5855.32</v>
      </c>
      <c r="BT13" s="240"/>
    </row>
    <row r="14" spans="1:72" ht="14.45" customHeight="1" x14ac:dyDescent="0.25">
      <c r="A14" s="133">
        <v>44196</v>
      </c>
      <c r="B14" s="134">
        <v>39.28</v>
      </c>
      <c r="C14" s="135">
        <v>100000</v>
      </c>
      <c r="D14" s="136">
        <v>6.0000000000000001E-3</v>
      </c>
      <c r="E14" s="137">
        <v>6.0000000000000001E-3</v>
      </c>
      <c r="F14" s="137"/>
      <c r="G14" s="138">
        <v>4.431</v>
      </c>
      <c r="H14" s="138">
        <v>2E-3</v>
      </c>
      <c r="I14" s="139">
        <v>7.6400000000000001E-3</v>
      </c>
      <c r="J14" s="141">
        <v>73390</v>
      </c>
      <c r="K14" s="141">
        <f t="shared" si="12"/>
        <v>0</v>
      </c>
      <c r="L14" s="141">
        <v>12157</v>
      </c>
      <c r="M14" s="141">
        <v>61233</v>
      </c>
      <c r="O14" s="144">
        <v>74104</v>
      </c>
      <c r="P14" s="144">
        <f t="shared" si="13"/>
        <v>470.13368226974126</v>
      </c>
      <c r="Q14" s="144">
        <v>12558.009091995522</v>
      </c>
      <c r="R14" s="144">
        <v>61075.857225734733</v>
      </c>
      <c r="T14" s="144">
        <v>8863</v>
      </c>
      <c r="U14" s="144">
        <f t="shared" si="14"/>
        <v>5452.4354400000002</v>
      </c>
      <c r="V14" s="144">
        <f t="shared" si="15"/>
        <v>895.58399999999995</v>
      </c>
      <c r="W14" s="144">
        <f t="shared" si="16"/>
        <v>2514.98056</v>
      </c>
      <c r="Y14" s="237"/>
      <c r="Z14" s="198" t="s">
        <v>264</v>
      </c>
      <c r="AA14" s="199">
        <v>100000</v>
      </c>
      <c r="AF14" s="201">
        <v>7083.33</v>
      </c>
      <c r="AG14" s="201">
        <f t="shared" si="0"/>
        <v>0</v>
      </c>
      <c r="AH14" s="201"/>
      <c r="AI14" s="241"/>
      <c r="AJ14" s="241"/>
      <c r="AK14" s="241"/>
      <c r="AN14" s="201"/>
      <c r="AP14" s="201"/>
      <c r="AQ14" s="205">
        <f t="shared" si="17"/>
        <v>7083.33</v>
      </c>
      <c r="AR14" s="205"/>
      <c r="AS14" s="205"/>
      <c r="AT14" s="242"/>
      <c r="AU14" s="201">
        <v>1998.71</v>
      </c>
      <c r="AV14" s="253">
        <v>8863</v>
      </c>
      <c r="AW14" s="253">
        <v>73390</v>
      </c>
      <c r="AX14" s="252">
        <f t="shared" si="3"/>
        <v>39271.953000000001</v>
      </c>
      <c r="AY14" s="252">
        <f t="shared" si="3"/>
        <v>146.78</v>
      </c>
      <c r="AZ14" s="204"/>
      <c r="BA14" s="204"/>
      <c r="BB14" s="204"/>
      <c r="BC14" s="256">
        <f t="shared" si="4"/>
        <v>41417.442999999999</v>
      </c>
      <c r="BE14" s="243" t="s">
        <v>265</v>
      </c>
      <c r="BF14" s="244">
        <f t="shared" si="5"/>
        <v>74104</v>
      </c>
      <c r="BG14" s="245">
        <v>0.04</v>
      </c>
      <c r="BH14" s="246">
        <f t="shared" si="6"/>
        <v>2964.16</v>
      </c>
      <c r="BI14" s="210">
        <v>3057</v>
      </c>
      <c r="BJ14" s="211"/>
      <c r="BL14" s="247" t="str">
        <f t="shared" si="1"/>
        <v>867 741</v>
      </c>
      <c r="BM14" s="251">
        <f t="shared" si="18"/>
        <v>31243.071434640005</v>
      </c>
      <c r="BN14" s="248">
        <f t="shared" si="7"/>
        <v>17257.701565359999</v>
      </c>
      <c r="BO14" s="216">
        <f t="shared" si="19"/>
        <v>48500.773000000001</v>
      </c>
      <c r="BP14" s="249" t="str">
        <f t="shared" si="8"/>
        <v>E194CC-2012-1</v>
      </c>
      <c r="BQ14" s="250">
        <f t="shared" si="9"/>
        <v>3075.8053472907895</v>
      </c>
      <c r="BR14" s="250">
        <f t="shared" si="10"/>
        <v>2945.3546527092103</v>
      </c>
      <c r="BS14" s="216">
        <f t="shared" si="11"/>
        <v>6021.16</v>
      </c>
      <c r="BT14" s="240"/>
    </row>
    <row r="15" spans="1:72" ht="14.45" customHeight="1" x14ac:dyDescent="0.25">
      <c r="A15" s="133">
        <v>44227</v>
      </c>
      <c r="B15" s="134">
        <v>39.28</v>
      </c>
      <c r="C15" s="135">
        <v>100000</v>
      </c>
      <c r="D15" s="136">
        <v>6.0000000000000001E-3</v>
      </c>
      <c r="E15" s="137">
        <v>6.0000000000000001E-3</v>
      </c>
      <c r="F15" s="137"/>
      <c r="G15" s="138">
        <v>4.5060000000000002</v>
      </c>
      <c r="H15" s="138">
        <v>2E-3</v>
      </c>
      <c r="I15" s="139">
        <v>7.9500000000000005E-3</v>
      </c>
      <c r="J15" s="141">
        <v>77773</v>
      </c>
      <c r="K15" s="141">
        <f t="shared" si="12"/>
        <v>975</v>
      </c>
      <c r="L15" s="141">
        <v>15274</v>
      </c>
      <c r="M15" s="141">
        <v>61524</v>
      </c>
      <c r="O15" s="144">
        <v>78815</v>
      </c>
      <c r="P15" s="144">
        <f t="shared" si="13"/>
        <v>1891.5939841068757</v>
      </c>
      <c r="Q15" s="144">
        <v>15424.724899912162</v>
      </c>
      <c r="R15" s="144">
        <v>61498.681115980959</v>
      </c>
      <c r="T15" s="144">
        <v>8863</v>
      </c>
      <c r="U15" s="144">
        <f t="shared" si="14"/>
        <v>5452.4354400000002</v>
      </c>
      <c r="V15" s="144">
        <f t="shared" si="15"/>
        <v>895.58399999999995</v>
      </c>
      <c r="W15" s="144">
        <f t="shared" si="16"/>
        <v>2514.98056</v>
      </c>
      <c r="Y15" s="237"/>
      <c r="Z15" s="198" t="s">
        <v>266</v>
      </c>
      <c r="AA15" s="199">
        <v>100000</v>
      </c>
      <c r="AB15" s="200">
        <v>981</v>
      </c>
      <c r="AF15" s="201">
        <v>7083.33</v>
      </c>
      <c r="AG15" s="201">
        <f t="shared" si="0"/>
        <v>5.8860000000000001</v>
      </c>
      <c r="AH15" s="201"/>
      <c r="AI15" s="241">
        <v>6</v>
      </c>
      <c r="AJ15" s="241"/>
      <c r="AK15" s="241"/>
      <c r="AN15" s="201"/>
      <c r="AO15" s="201"/>
      <c r="AP15" s="201">
        <v>253302</v>
      </c>
      <c r="AQ15" s="205">
        <f>AF15+AG15+AL15+AP15</f>
        <v>260391.21600000001</v>
      </c>
      <c r="AR15" s="205"/>
      <c r="AS15" s="205"/>
      <c r="AT15" s="242"/>
      <c r="AU15" s="252">
        <v>2032.69</v>
      </c>
      <c r="AV15" s="253">
        <v>8863</v>
      </c>
      <c r="AW15" s="253">
        <f t="shared" ref="AW15:AW37" si="20">SUM(K15:N15)</f>
        <v>77773</v>
      </c>
      <c r="AX15" s="252">
        <f>AV15*G15</f>
        <v>39936.678</v>
      </c>
      <c r="AY15" s="252">
        <f t="shared" si="3"/>
        <v>155.54599999999999</v>
      </c>
      <c r="AZ15" s="254">
        <v>615</v>
      </c>
      <c r="BA15" s="255"/>
      <c r="BB15" s="255"/>
      <c r="BC15" s="256">
        <f t="shared" si="4"/>
        <v>42124.914000000004</v>
      </c>
      <c r="BE15" s="243" t="s">
        <v>267</v>
      </c>
      <c r="BF15" s="244">
        <f t="shared" si="5"/>
        <v>78815</v>
      </c>
      <c r="BG15" s="245">
        <v>0.04</v>
      </c>
      <c r="BH15" s="246">
        <f t="shared" si="6"/>
        <v>3152.6</v>
      </c>
      <c r="BI15" s="210">
        <v>3057</v>
      </c>
      <c r="BJ15" s="211"/>
      <c r="BL15" s="247" t="str">
        <f t="shared" si="1"/>
        <v>876 030</v>
      </c>
      <c r="BM15" s="251">
        <f>AQ15
+(K15/AW15*AU15)
+((T15-V15-W15-X15)/T15*AX15)
+(K15/AW15*AY15)</f>
        <v>284987.32287908264</v>
      </c>
      <c r="BN15" s="248">
        <f t="shared" si="7"/>
        <v>17528.807120917405</v>
      </c>
      <c r="BO15" s="216">
        <f t="shared" si="19"/>
        <v>302516.13000000006</v>
      </c>
      <c r="BP15" s="249" t="str">
        <f t="shared" si="8"/>
        <v>E194CC-2101-1</v>
      </c>
      <c r="BQ15" s="250">
        <f t="shared" si="9"/>
        <v>3132.6637593642749</v>
      </c>
      <c r="BR15" s="250">
        <f t="shared" si="10"/>
        <v>3076.936240635725</v>
      </c>
      <c r="BS15" s="216">
        <f t="shared" si="11"/>
        <v>6209.6</v>
      </c>
      <c r="BT15" s="240"/>
    </row>
    <row r="16" spans="1:72" ht="14.45" customHeight="1" x14ac:dyDescent="0.25">
      <c r="A16" s="133">
        <v>44255</v>
      </c>
      <c r="B16" s="134">
        <v>39.28</v>
      </c>
      <c r="C16" s="135">
        <v>100000</v>
      </c>
      <c r="D16" s="136">
        <v>6.0000000000000001E-3</v>
      </c>
      <c r="E16" s="137">
        <v>6.0000000000000001E-3</v>
      </c>
      <c r="F16" s="137"/>
      <c r="G16" s="138">
        <v>4.5060000000000002</v>
      </c>
      <c r="H16" s="138">
        <v>2E-3</v>
      </c>
      <c r="I16" s="139">
        <v>7.9500000000000005E-3</v>
      </c>
      <c r="J16" s="141">
        <v>78963</v>
      </c>
      <c r="K16" s="141">
        <f t="shared" si="12"/>
        <v>4960</v>
      </c>
      <c r="L16" s="141">
        <v>16749</v>
      </c>
      <c r="M16" s="141">
        <v>57254</v>
      </c>
      <c r="O16" s="144">
        <v>78034</v>
      </c>
      <c r="P16" s="144">
        <f t="shared" si="13"/>
        <v>4470.4363005324922</v>
      </c>
      <c r="Q16" s="144">
        <v>16335.670915583523</v>
      </c>
      <c r="R16" s="144">
        <v>57227.892783883981</v>
      </c>
      <c r="T16" s="144">
        <v>8863</v>
      </c>
      <c r="U16" s="144">
        <f t="shared" si="14"/>
        <v>5452.4354400000002</v>
      </c>
      <c r="V16" s="144">
        <f t="shared" si="15"/>
        <v>895.58399999999995</v>
      </c>
      <c r="W16" s="144">
        <f t="shared" si="16"/>
        <v>2514.98056</v>
      </c>
      <c r="Y16" s="237"/>
      <c r="Z16" s="198" t="s">
        <v>268</v>
      </c>
      <c r="AA16" s="199">
        <v>100000</v>
      </c>
      <c r="AB16" s="200">
        <v>20747</v>
      </c>
      <c r="AF16" s="201">
        <v>7083.33</v>
      </c>
      <c r="AG16" s="201">
        <f t="shared" si="0"/>
        <v>124.482</v>
      </c>
      <c r="AH16" s="201"/>
      <c r="AI16" s="241">
        <v>121</v>
      </c>
      <c r="AJ16" s="241"/>
      <c r="AK16" s="241"/>
      <c r="AN16" s="201"/>
      <c r="AO16" s="201"/>
      <c r="AP16" s="201">
        <v>47.25</v>
      </c>
      <c r="AQ16" s="205">
        <f>AF16+AG16+AL16+AP16</f>
        <v>7255.0619999999999</v>
      </c>
      <c r="AR16" s="205"/>
      <c r="AS16" s="205"/>
      <c r="AT16" s="242"/>
      <c r="AU16" s="252">
        <v>2032.69</v>
      </c>
      <c r="AV16" s="253">
        <v>8863</v>
      </c>
      <c r="AW16" s="253">
        <f t="shared" si="20"/>
        <v>78963</v>
      </c>
      <c r="AX16" s="252">
        <f t="shared" ref="AX16:AY54" si="21">AV16*G16</f>
        <v>39936.678</v>
      </c>
      <c r="AY16" s="252">
        <f t="shared" si="3"/>
        <v>157.92600000000002</v>
      </c>
      <c r="AZ16" s="254">
        <v>628</v>
      </c>
      <c r="BA16" s="255"/>
      <c r="BB16" s="255"/>
      <c r="BC16" s="256">
        <f t="shared" si="4"/>
        <v>42127.294000000002</v>
      </c>
      <c r="BE16" s="243" t="s">
        <v>269</v>
      </c>
      <c r="BF16" s="244">
        <f t="shared" si="5"/>
        <v>78034</v>
      </c>
      <c r="BG16" s="245">
        <v>0.04</v>
      </c>
      <c r="BH16" s="246">
        <f t="shared" si="6"/>
        <v>3121.36</v>
      </c>
      <c r="BI16" s="210">
        <v>3057</v>
      </c>
      <c r="BJ16" s="211"/>
      <c r="BL16" s="247" t="str">
        <f t="shared" si="1"/>
        <v>877 881</v>
      </c>
      <c r="BM16" s="251">
        <f t="shared" ref="BM16:BM38" si="22">AQ16
+(K16/AW16*AU16)
+((T16-V16-W16-X16)/T16*AX16)
+(K16/AW16*AY16)</f>
        <v>31961.337948699169</v>
      </c>
      <c r="BN16" s="248">
        <f t="shared" si="7"/>
        <v>17421.018051300834</v>
      </c>
      <c r="BO16" s="216">
        <f t="shared" si="19"/>
        <v>49382.356</v>
      </c>
      <c r="BP16" s="249" t="str">
        <f t="shared" si="8"/>
        <v>E194CC-2102-1</v>
      </c>
      <c r="BQ16" s="250">
        <f t="shared" si="9"/>
        <v>3235.8174520212997</v>
      </c>
      <c r="BR16" s="250">
        <f t="shared" si="10"/>
        <v>2942.5425479787</v>
      </c>
      <c r="BS16" s="216">
        <f t="shared" si="11"/>
        <v>6178.36</v>
      </c>
      <c r="BT16" s="240"/>
    </row>
    <row r="17" spans="1:74" s="236" customFormat="1" ht="14.45" customHeight="1" x14ac:dyDescent="0.25">
      <c r="A17" s="148">
        <v>44256</v>
      </c>
      <c r="B17" s="149">
        <v>39.28</v>
      </c>
      <c r="C17" s="150">
        <v>100000</v>
      </c>
      <c r="D17" s="151">
        <v>6.0000000000000001E-3</v>
      </c>
      <c r="E17" s="152">
        <v>6.0000000000000001E-3</v>
      </c>
      <c r="F17" s="152"/>
      <c r="G17" s="153">
        <v>4.5060000000000002</v>
      </c>
      <c r="H17" s="153">
        <v>2E-3</v>
      </c>
      <c r="I17" s="154">
        <v>7.9500000000000005E-3</v>
      </c>
      <c r="J17" s="159">
        <v>84821</v>
      </c>
      <c r="K17" s="160">
        <f t="shared" si="12"/>
        <v>6540</v>
      </c>
      <c r="L17" s="155">
        <v>16278</v>
      </c>
      <c r="M17" s="155">
        <v>62003</v>
      </c>
      <c r="N17" s="146"/>
      <c r="O17" s="161">
        <v>81798</v>
      </c>
      <c r="P17" s="162">
        <f t="shared" si="13"/>
        <v>3805.4510305609656</v>
      </c>
      <c r="Q17" s="157">
        <v>16250.179186788799</v>
      </c>
      <c r="R17" s="157">
        <v>61742.369782650239</v>
      </c>
      <c r="S17" s="147"/>
      <c r="T17" s="157">
        <v>8863</v>
      </c>
      <c r="U17" s="157">
        <f t="shared" si="14"/>
        <v>5452.4354400000002</v>
      </c>
      <c r="V17" s="157">
        <f t="shared" si="15"/>
        <v>895.58399999999995</v>
      </c>
      <c r="W17" s="157">
        <f t="shared" si="16"/>
        <v>2514.98056</v>
      </c>
      <c r="X17" s="144"/>
      <c r="Y17" s="237"/>
      <c r="Z17" s="217" t="s">
        <v>270</v>
      </c>
      <c r="AA17" s="218">
        <v>100000</v>
      </c>
      <c r="AB17" s="219">
        <v>6598</v>
      </c>
      <c r="AC17" s="219"/>
      <c r="AD17" s="219"/>
      <c r="AE17" s="219"/>
      <c r="AF17" s="220">
        <v>7083.33</v>
      </c>
      <c r="AG17" s="201">
        <f t="shared" si="0"/>
        <v>39.588000000000001</v>
      </c>
      <c r="AH17" s="220"/>
      <c r="AI17" s="257">
        <v>35</v>
      </c>
      <c r="AJ17" s="257"/>
      <c r="AK17" s="257"/>
      <c r="AL17" s="220"/>
      <c r="AM17" s="220"/>
      <c r="AN17" s="220"/>
      <c r="AO17" s="220"/>
      <c r="AP17" s="220"/>
      <c r="AQ17" s="224">
        <f t="shared" si="17"/>
        <v>7122.9179999999997</v>
      </c>
      <c r="AR17" s="224"/>
      <c r="AS17" s="224"/>
      <c r="AT17" s="258"/>
      <c r="AU17" s="220">
        <v>2032.69</v>
      </c>
      <c r="AV17" s="218">
        <v>8863</v>
      </c>
      <c r="AW17" s="218">
        <f t="shared" si="20"/>
        <v>84821</v>
      </c>
      <c r="AX17" s="220">
        <f t="shared" si="21"/>
        <v>39936.678</v>
      </c>
      <c r="AY17" s="220">
        <f t="shared" si="3"/>
        <v>169.642</v>
      </c>
      <c r="AZ17" s="259">
        <v>674</v>
      </c>
      <c r="BA17" s="260"/>
      <c r="BB17" s="260"/>
      <c r="BC17" s="261">
        <f t="shared" si="4"/>
        <v>42139.01</v>
      </c>
      <c r="BD17" s="238"/>
      <c r="BE17" s="262" t="s">
        <v>271</v>
      </c>
      <c r="BF17" s="263">
        <f t="shared" si="5"/>
        <v>81798</v>
      </c>
      <c r="BG17" s="264">
        <v>0.04</v>
      </c>
      <c r="BH17" s="265">
        <f t="shared" si="6"/>
        <v>3271.92</v>
      </c>
      <c r="BI17" s="229">
        <v>3057</v>
      </c>
      <c r="BJ17" s="230"/>
      <c r="BK17" s="239"/>
      <c r="BL17" s="266" t="str">
        <f t="shared" si="1"/>
        <v>881 850</v>
      </c>
      <c r="BM17" s="267">
        <f t="shared" si="22"/>
        <v>31861.399702547926</v>
      </c>
      <c r="BN17" s="268">
        <f t="shared" si="7"/>
        <v>17400.528297452078</v>
      </c>
      <c r="BO17" s="235">
        <f t="shared" si="19"/>
        <v>49261.928</v>
      </c>
      <c r="BP17" s="269" t="str">
        <f t="shared" si="8"/>
        <v>E194CC-2103-1</v>
      </c>
      <c r="BQ17" s="270">
        <f t="shared" si="9"/>
        <v>3209.2180412224388</v>
      </c>
      <c r="BR17" s="270">
        <f t="shared" si="10"/>
        <v>3119.7019587775617</v>
      </c>
      <c r="BS17" s="271">
        <f t="shared" si="11"/>
        <v>6328.92</v>
      </c>
      <c r="BT17" s="240"/>
    </row>
    <row r="18" spans="1:74" ht="14.45" customHeight="1" x14ac:dyDescent="0.25">
      <c r="A18" s="133">
        <v>44287</v>
      </c>
      <c r="B18" s="134">
        <v>39.32</v>
      </c>
      <c r="C18" s="135">
        <v>100000</v>
      </c>
      <c r="D18" s="136">
        <v>6.0000000000000001E-3</v>
      </c>
      <c r="E18" s="137">
        <v>6.0000000000000001E-3</v>
      </c>
      <c r="F18" s="137"/>
      <c r="G18" s="138">
        <v>4.5060000000000002</v>
      </c>
      <c r="H18" s="138">
        <v>3.0000000000000001E-3</v>
      </c>
      <c r="I18" s="139">
        <v>3.3300000000000001E-3</v>
      </c>
      <c r="J18" s="141">
        <v>71004</v>
      </c>
      <c r="K18" s="141">
        <f t="shared" si="12"/>
        <v>0</v>
      </c>
      <c r="L18" s="141">
        <v>14404</v>
      </c>
      <c r="M18" s="141">
        <v>56600</v>
      </c>
      <c r="N18" s="350"/>
      <c r="O18" s="144">
        <v>73761</v>
      </c>
      <c r="P18" s="144">
        <f t="shared" si="13"/>
        <v>2335.9098622417732</v>
      </c>
      <c r="Q18" s="144">
        <v>14576.26507135272</v>
      </c>
      <c r="R18" s="144">
        <v>56848.825066405509</v>
      </c>
      <c r="S18" s="351"/>
      <c r="T18" s="144">
        <v>8863</v>
      </c>
      <c r="U18" s="144">
        <f t="shared" si="14"/>
        <v>5448.9623599999995</v>
      </c>
      <c r="V18" s="144">
        <f t="shared" si="15"/>
        <v>896.49599999999998</v>
      </c>
      <c r="W18" s="144">
        <f t="shared" si="16"/>
        <v>2517.5416399999999</v>
      </c>
      <c r="X18" s="352"/>
      <c r="Y18" s="237"/>
      <c r="Z18" s="198" t="s">
        <v>272</v>
      </c>
      <c r="AA18" s="199">
        <v>100000</v>
      </c>
      <c r="AF18" s="201">
        <v>7083.33</v>
      </c>
      <c r="AG18" s="353">
        <f t="shared" si="0"/>
        <v>0</v>
      </c>
      <c r="AH18" s="201"/>
      <c r="AI18" s="241"/>
      <c r="AJ18" s="241"/>
      <c r="AK18" s="241"/>
      <c r="AN18" s="201"/>
      <c r="AO18" s="201"/>
      <c r="AP18" s="201"/>
      <c r="AQ18" s="205">
        <f>AF18+AG18+AL18</f>
        <v>7083.33</v>
      </c>
      <c r="AR18" s="205"/>
      <c r="AS18" s="205"/>
      <c r="AT18" s="242"/>
      <c r="AU18" s="252">
        <v>2032.69</v>
      </c>
      <c r="AV18" s="253">
        <v>8863</v>
      </c>
      <c r="AW18" s="253">
        <f t="shared" si="20"/>
        <v>71004</v>
      </c>
      <c r="AX18" s="252">
        <f t="shared" si="21"/>
        <v>39936.678</v>
      </c>
      <c r="AY18" s="252">
        <f t="shared" si="3"/>
        <v>213.012</v>
      </c>
      <c r="AZ18" s="254">
        <v>241</v>
      </c>
      <c r="BA18" s="255"/>
      <c r="BB18" s="255"/>
      <c r="BC18" s="256">
        <f t="shared" si="4"/>
        <v>42182.380000000005</v>
      </c>
      <c r="BE18" s="243" t="s">
        <v>273</v>
      </c>
      <c r="BF18" s="244">
        <f t="shared" si="5"/>
        <v>73761</v>
      </c>
      <c r="BG18" s="245">
        <v>0.04</v>
      </c>
      <c r="BH18" s="246">
        <f t="shared" si="6"/>
        <v>2950.44</v>
      </c>
      <c r="BI18" s="210">
        <v>3057</v>
      </c>
      <c r="BJ18" s="211"/>
      <c r="BL18" s="247" t="str">
        <f t="shared" si="1"/>
        <v>887 240</v>
      </c>
      <c r="BM18" s="251">
        <f t="shared" si="22"/>
        <v>31636.35439416</v>
      </c>
      <c r="BN18" s="248">
        <f t="shared" si="7"/>
        <v>17629.355605839999</v>
      </c>
      <c r="BO18" s="216">
        <f t="shared" si="19"/>
        <v>49265.71</v>
      </c>
      <c r="BP18" s="249" t="str">
        <f t="shared" si="8"/>
        <v>E194CC-2104-1</v>
      </c>
      <c r="BQ18" s="250">
        <f t="shared" si="9"/>
        <v>3150.4363944896709</v>
      </c>
      <c r="BR18" s="250">
        <f t="shared" si="10"/>
        <v>2857.0036055103296</v>
      </c>
      <c r="BS18" s="216">
        <f t="shared" si="11"/>
        <v>6007.4400000000005</v>
      </c>
      <c r="BT18" s="240"/>
    </row>
    <row r="19" spans="1:74" ht="14.45" customHeight="1" x14ac:dyDescent="0.25">
      <c r="A19" s="133">
        <v>44317</v>
      </c>
      <c r="B19" s="134">
        <v>39.32</v>
      </c>
      <c r="C19" s="135">
        <v>100000</v>
      </c>
      <c r="D19" s="136">
        <v>6.0000000000000001E-3</v>
      </c>
      <c r="E19" s="137">
        <v>6.0000000000000001E-3</v>
      </c>
      <c r="F19" s="137"/>
      <c r="G19" s="138">
        <v>4.5060000000000002</v>
      </c>
      <c r="H19" s="138">
        <v>3.0000000000000001E-3</v>
      </c>
      <c r="I19" s="139">
        <v>3.3300000000000001E-3</v>
      </c>
      <c r="J19" s="141">
        <v>66504</v>
      </c>
      <c r="K19" s="141">
        <f t="shared" si="12"/>
        <v>0</v>
      </c>
      <c r="L19" s="141">
        <v>13436</v>
      </c>
      <c r="M19" s="141">
        <v>53068</v>
      </c>
      <c r="O19" s="144">
        <v>67094</v>
      </c>
      <c r="P19" s="144">
        <f t="shared" si="13"/>
        <v>1492.2388868187936</v>
      </c>
      <c r="Q19" s="144">
        <v>52613.427832353926</v>
      </c>
      <c r="R19" s="144">
        <v>12988.333280827281</v>
      </c>
      <c r="T19" s="144">
        <v>8863</v>
      </c>
      <c r="U19" s="144">
        <f t="shared" si="14"/>
        <v>5448.9623599999995</v>
      </c>
      <c r="V19" s="144">
        <f t="shared" si="15"/>
        <v>896.49599999999998</v>
      </c>
      <c r="W19" s="144">
        <f t="shared" si="16"/>
        <v>2517.5416399999999</v>
      </c>
      <c r="Y19" s="237"/>
      <c r="Z19" s="198" t="s">
        <v>274</v>
      </c>
      <c r="AA19" s="199">
        <v>100000</v>
      </c>
      <c r="AB19" s="200">
        <v>13485</v>
      </c>
      <c r="AF19" s="201">
        <v>7083.33</v>
      </c>
      <c r="AG19" s="201">
        <f t="shared" si="0"/>
        <v>80.91</v>
      </c>
      <c r="AH19" s="201"/>
      <c r="AI19" s="241"/>
      <c r="AJ19" s="241"/>
      <c r="AK19" s="241"/>
      <c r="AN19" s="201"/>
      <c r="AO19" s="201"/>
      <c r="AP19" s="201"/>
      <c r="AQ19" s="205">
        <f t="shared" ref="AQ19:AQ29" si="23">AF19+AG19+AL19</f>
        <v>7164.24</v>
      </c>
      <c r="AR19" s="205"/>
      <c r="AS19" s="205"/>
      <c r="AT19" s="242"/>
      <c r="AU19" s="252">
        <v>2032.69</v>
      </c>
      <c r="AV19" s="253">
        <v>8863</v>
      </c>
      <c r="AW19" s="253">
        <f t="shared" si="20"/>
        <v>66504</v>
      </c>
      <c r="AX19" s="252">
        <f t="shared" si="21"/>
        <v>39936.678</v>
      </c>
      <c r="AY19" s="252">
        <f t="shared" si="3"/>
        <v>199.512</v>
      </c>
      <c r="AZ19" s="254">
        <v>210</v>
      </c>
      <c r="BA19" s="255"/>
      <c r="BB19" s="255"/>
      <c r="BC19" s="256">
        <f t="shared" si="4"/>
        <v>42168.880000000005</v>
      </c>
      <c r="BE19" s="243" t="s">
        <v>275</v>
      </c>
      <c r="BF19" s="244">
        <f t="shared" si="5"/>
        <v>67094</v>
      </c>
      <c r="BG19" s="245">
        <v>0.04</v>
      </c>
      <c r="BH19" s="246">
        <f t="shared" si="6"/>
        <v>2683.76</v>
      </c>
      <c r="BI19" s="210">
        <v>3057</v>
      </c>
      <c r="BJ19" s="211"/>
      <c r="BL19" s="247" t="str">
        <f t="shared" si="1"/>
        <v>889 724</v>
      </c>
      <c r="BM19" s="251">
        <f t="shared" si="22"/>
        <v>31717.264394159996</v>
      </c>
      <c r="BN19" s="248">
        <f t="shared" si="7"/>
        <v>17615.855605839999</v>
      </c>
      <c r="BO19" s="216">
        <f t="shared" si="19"/>
        <v>49333.119999999995</v>
      </c>
      <c r="BP19" s="249" t="str">
        <f t="shared" si="8"/>
        <v>E194CC-2105-1</v>
      </c>
      <c r="BQ19" s="250">
        <f t="shared" si="9"/>
        <v>3116.6895554727516</v>
      </c>
      <c r="BR19" s="250">
        <f t="shared" si="10"/>
        <v>2624.0704445272481</v>
      </c>
      <c r="BS19" s="216">
        <f t="shared" si="11"/>
        <v>5740.76</v>
      </c>
      <c r="BT19" s="240"/>
    </row>
    <row r="20" spans="1:74" ht="14.45" customHeight="1" x14ac:dyDescent="0.25">
      <c r="A20" s="133">
        <v>44348</v>
      </c>
      <c r="B20" s="134">
        <v>39.32</v>
      </c>
      <c r="C20" s="135">
        <v>100000</v>
      </c>
      <c r="D20" s="136">
        <v>6.0000000000000001E-3</v>
      </c>
      <c r="E20" s="137">
        <v>6.0000000000000001E-3</v>
      </c>
      <c r="F20" s="137"/>
      <c r="G20" s="138">
        <v>4.5060000000000002</v>
      </c>
      <c r="H20" s="138">
        <v>3.0000000000000001E-3</v>
      </c>
      <c r="I20" s="139">
        <v>3.3300000000000001E-3</v>
      </c>
      <c r="J20" s="141">
        <v>47183</v>
      </c>
      <c r="K20" s="141">
        <f t="shared" si="12"/>
        <v>0</v>
      </c>
      <c r="L20" s="141">
        <v>9700</v>
      </c>
      <c r="M20" s="141">
        <v>37483</v>
      </c>
      <c r="O20" s="144">
        <v>48234</v>
      </c>
      <c r="P20" s="144">
        <f t="shared" si="13"/>
        <v>11.600028514149017</v>
      </c>
      <c r="Q20" s="144">
        <v>10280.942413223205</v>
      </c>
      <c r="R20" s="144">
        <v>37941.457558262642</v>
      </c>
      <c r="T20" s="144">
        <v>8863</v>
      </c>
      <c r="U20" s="144">
        <f t="shared" si="14"/>
        <v>5448.9623599999995</v>
      </c>
      <c r="V20" s="144">
        <f t="shared" si="15"/>
        <v>896.49599999999998</v>
      </c>
      <c r="W20" s="144">
        <f t="shared" si="16"/>
        <v>2517.5416399999999</v>
      </c>
      <c r="Y20" s="237"/>
      <c r="Z20" s="198" t="s">
        <v>276</v>
      </c>
      <c r="AA20" s="199">
        <v>100000</v>
      </c>
      <c r="AB20" s="200">
        <v>14370</v>
      </c>
      <c r="AF20" s="201">
        <v>7083.33</v>
      </c>
      <c r="AG20" s="201">
        <f t="shared" si="0"/>
        <v>86.22</v>
      </c>
      <c r="AH20" s="201"/>
      <c r="AI20" s="241">
        <v>90</v>
      </c>
      <c r="AJ20" s="241"/>
      <c r="AK20" s="241"/>
      <c r="AN20" s="201"/>
      <c r="AO20" s="201"/>
      <c r="AP20" s="201"/>
      <c r="AQ20" s="205">
        <f t="shared" si="23"/>
        <v>7169.55</v>
      </c>
      <c r="AR20" s="205"/>
      <c r="AS20" s="205"/>
      <c r="AT20" s="242"/>
      <c r="AU20" s="252">
        <v>2032.69</v>
      </c>
      <c r="AV20" s="253">
        <v>8863</v>
      </c>
      <c r="AW20" s="253">
        <f t="shared" si="20"/>
        <v>47183</v>
      </c>
      <c r="AX20" s="252">
        <f t="shared" si="21"/>
        <v>39936.678</v>
      </c>
      <c r="AY20" s="252">
        <f t="shared" si="3"/>
        <v>141.54900000000001</v>
      </c>
      <c r="AZ20" s="254">
        <v>150</v>
      </c>
      <c r="BA20" s="255"/>
      <c r="BB20" s="255"/>
      <c r="BC20" s="256">
        <f t="shared" si="4"/>
        <v>42110.917000000001</v>
      </c>
      <c r="BE20" s="243" t="s">
        <v>277</v>
      </c>
      <c r="BF20" s="244">
        <f t="shared" si="5"/>
        <v>48234</v>
      </c>
      <c r="BG20" s="245">
        <v>0.04</v>
      </c>
      <c r="BH20" s="246">
        <f t="shared" si="6"/>
        <v>1929.3600000000001</v>
      </c>
      <c r="BI20" s="210">
        <v>3057</v>
      </c>
      <c r="BJ20" s="211"/>
      <c r="BL20" s="247" t="str">
        <f t="shared" si="1"/>
        <v>895 037</v>
      </c>
      <c r="BM20" s="251">
        <f t="shared" si="22"/>
        <v>31722.574394159998</v>
      </c>
      <c r="BN20" s="248">
        <f t="shared" si="7"/>
        <v>17557.892605839999</v>
      </c>
      <c r="BO20" s="216">
        <f t="shared" si="19"/>
        <v>49280.466999999997</v>
      </c>
      <c r="BP20" s="249" t="str">
        <f t="shared" si="8"/>
        <v>E194CC-2106-1</v>
      </c>
      <c r="BQ20" s="250">
        <f t="shared" si="9"/>
        <v>3057.4640011405659</v>
      </c>
      <c r="BR20" s="250">
        <f t="shared" si="10"/>
        <v>1928.895998859434</v>
      </c>
      <c r="BS20" s="216">
        <f t="shared" si="11"/>
        <v>4986.3599999999997</v>
      </c>
      <c r="BT20" s="240"/>
    </row>
    <row r="21" spans="1:74" ht="14.45" customHeight="1" x14ac:dyDescent="0.25">
      <c r="A21" s="133">
        <v>44378</v>
      </c>
      <c r="B21" s="134">
        <v>39.32</v>
      </c>
      <c r="C21" s="135">
        <v>100000</v>
      </c>
      <c r="D21" s="136">
        <v>6.0000000000000001E-3</v>
      </c>
      <c r="E21" s="137">
        <v>6.0000000000000001E-3</v>
      </c>
      <c r="F21" s="137"/>
      <c r="G21" s="138">
        <v>4.5060000000000002</v>
      </c>
      <c r="H21" s="138">
        <v>3.0000000000000001E-3</v>
      </c>
      <c r="I21" s="139">
        <v>3.3300000000000001E-3</v>
      </c>
      <c r="J21" s="141">
        <v>52414</v>
      </c>
      <c r="K21" s="141">
        <f t="shared" si="12"/>
        <v>0</v>
      </c>
      <c r="L21" s="141">
        <v>12487</v>
      </c>
      <c r="M21" s="141">
        <v>39927</v>
      </c>
      <c r="O21" s="144">
        <v>52925</v>
      </c>
      <c r="P21" s="144">
        <f t="shared" si="13"/>
        <v>503.53758176486735</v>
      </c>
      <c r="Q21" s="144">
        <v>12462.496380786717</v>
      </c>
      <c r="R21" s="144">
        <v>39958.966037448416</v>
      </c>
      <c r="T21" s="144">
        <v>8863</v>
      </c>
      <c r="U21" s="144">
        <f t="shared" si="14"/>
        <v>5448.9623599999995</v>
      </c>
      <c r="V21" s="144">
        <f t="shared" si="15"/>
        <v>896.49599999999998</v>
      </c>
      <c r="W21" s="144">
        <f t="shared" si="16"/>
        <v>2517.5416399999999</v>
      </c>
      <c r="Y21" s="237"/>
      <c r="Z21" s="198" t="s">
        <v>278</v>
      </c>
      <c r="AA21" s="199">
        <v>100000</v>
      </c>
      <c r="AF21" s="201">
        <v>7083.33</v>
      </c>
      <c r="AG21" s="201">
        <f t="shared" si="0"/>
        <v>0</v>
      </c>
      <c r="AH21" s="201"/>
      <c r="AI21" s="241"/>
      <c r="AJ21" s="241"/>
      <c r="AK21" s="241"/>
      <c r="AN21" s="201"/>
      <c r="AO21" s="201"/>
      <c r="AP21" s="201"/>
      <c r="AQ21" s="205">
        <f t="shared" si="23"/>
        <v>7083.33</v>
      </c>
      <c r="AR21" s="205"/>
      <c r="AS21" s="205"/>
      <c r="AT21" s="242"/>
      <c r="AU21" s="252">
        <v>2032.69</v>
      </c>
      <c r="AV21" s="253">
        <v>8863</v>
      </c>
      <c r="AW21" s="253">
        <f t="shared" si="20"/>
        <v>52414</v>
      </c>
      <c r="AX21" s="252">
        <f t="shared" si="21"/>
        <v>39936.678</v>
      </c>
      <c r="AY21" s="252">
        <f t="shared" si="3"/>
        <v>157.24199999999999</v>
      </c>
      <c r="AZ21" s="254">
        <v>161</v>
      </c>
      <c r="BA21" s="255"/>
      <c r="BB21" s="255"/>
      <c r="BC21" s="256">
        <f t="shared" si="4"/>
        <v>42126.61</v>
      </c>
      <c r="BE21" s="243" t="s">
        <v>279</v>
      </c>
      <c r="BF21" s="244">
        <f t="shared" si="5"/>
        <v>52925</v>
      </c>
      <c r="BG21" s="245">
        <v>0.04</v>
      </c>
      <c r="BH21" s="246">
        <f t="shared" si="6"/>
        <v>2117</v>
      </c>
      <c r="BI21" s="210">
        <v>3057</v>
      </c>
      <c r="BJ21" s="211"/>
      <c r="BL21" s="247" t="str">
        <f t="shared" si="1"/>
        <v>899 099</v>
      </c>
      <c r="BM21" s="251">
        <f t="shared" si="22"/>
        <v>31636.35439416</v>
      </c>
      <c r="BN21" s="248">
        <f t="shared" si="7"/>
        <v>17573.585605839999</v>
      </c>
      <c r="BO21" s="216">
        <f t="shared" si="19"/>
        <v>49209.94</v>
      </c>
      <c r="BP21" s="249" t="str">
        <f t="shared" si="8"/>
        <v>E194CC-2107-1</v>
      </c>
      <c r="BQ21" s="250">
        <f t="shared" si="9"/>
        <v>3077.1415032705945</v>
      </c>
      <c r="BR21" s="250">
        <f t="shared" si="10"/>
        <v>2096.8584967294055</v>
      </c>
      <c r="BS21" s="216">
        <f t="shared" si="11"/>
        <v>5174</v>
      </c>
      <c r="BT21" s="240"/>
    </row>
    <row r="22" spans="1:74" ht="14.45" customHeight="1" x14ac:dyDescent="0.25">
      <c r="A22" s="133">
        <v>44409</v>
      </c>
      <c r="B22" s="134">
        <v>39.32</v>
      </c>
      <c r="C22" s="135">
        <v>100000</v>
      </c>
      <c r="D22" s="136">
        <v>6.0000000000000001E-3</v>
      </c>
      <c r="E22" s="137">
        <v>6.0000000000000001E-3</v>
      </c>
      <c r="F22" s="137"/>
      <c r="G22" s="138">
        <v>4.5060000000000002</v>
      </c>
      <c r="H22" s="138">
        <v>3.0000000000000001E-3</v>
      </c>
      <c r="I22" s="139">
        <v>3.3300000000000001E-3</v>
      </c>
      <c r="J22" s="141">
        <v>50715</v>
      </c>
      <c r="K22" s="141">
        <f t="shared" si="12"/>
        <v>500</v>
      </c>
      <c r="L22" s="141">
        <v>12905</v>
      </c>
      <c r="M22" s="141">
        <v>37310</v>
      </c>
      <c r="O22" s="144">
        <v>50379</v>
      </c>
      <c r="P22" s="144">
        <f t="shared" si="13"/>
        <v>448.3277414903132</v>
      </c>
      <c r="Q22" s="144">
        <v>12694.077890783999</v>
      </c>
      <c r="R22" s="144">
        <v>37236.594367725687</v>
      </c>
      <c r="T22" s="144">
        <v>8863</v>
      </c>
      <c r="U22" s="144">
        <f t="shared" si="14"/>
        <v>5448.9623599999995</v>
      </c>
      <c r="V22" s="144">
        <f t="shared" si="15"/>
        <v>896.49599999999998</v>
      </c>
      <c r="W22" s="144">
        <f t="shared" si="16"/>
        <v>2517.5416399999999</v>
      </c>
      <c r="Y22" s="237"/>
      <c r="Z22" s="198" t="s">
        <v>280</v>
      </c>
      <c r="AA22" s="199">
        <v>100000</v>
      </c>
      <c r="AD22" s="200">
        <v>502</v>
      </c>
      <c r="AF22" s="201">
        <v>7083.33</v>
      </c>
      <c r="AG22" s="201">
        <f t="shared" si="0"/>
        <v>0</v>
      </c>
      <c r="AH22" s="201"/>
      <c r="AI22" s="241"/>
      <c r="AJ22" s="241"/>
      <c r="AK22" s="241"/>
      <c r="AL22" s="201">
        <f>AD22*E22</f>
        <v>3.012</v>
      </c>
      <c r="AM22" s="201">
        <f>AE22*F22</f>
        <v>0</v>
      </c>
      <c r="AN22" s="201"/>
      <c r="AO22" s="201"/>
      <c r="AP22" s="201"/>
      <c r="AQ22" s="205">
        <f t="shared" si="23"/>
        <v>7086.3419999999996</v>
      </c>
      <c r="AR22" s="205"/>
      <c r="AS22" s="205"/>
      <c r="AT22" s="242"/>
      <c r="AU22" s="252">
        <v>2032.69</v>
      </c>
      <c r="AV22" s="253">
        <v>8863</v>
      </c>
      <c r="AW22" s="253">
        <f t="shared" si="20"/>
        <v>50715</v>
      </c>
      <c r="AX22" s="252">
        <f t="shared" si="21"/>
        <v>39936.678</v>
      </c>
      <c r="AY22" s="252">
        <f t="shared" si="3"/>
        <v>152.14500000000001</v>
      </c>
      <c r="AZ22" s="254">
        <v>156</v>
      </c>
      <c r="BA22" s="255"/>
      <c r="BB22" s="255"/>
      <c r="BC22" s="256">
        <f t="shared" si="4"/>
        <v>42121.512999999999</v>
      </c>
      <c r="BE22" s="243" t="s">
        <v>281</v>
      </c>
      <c r="BF22" s="244">
        <f t="shared" si="5"/>
        <v>50379</v>
      </c>
      <c r="BG22" s="245">
        <v>0.04</v>
      </c>
      <c r="BH22" s="246">
        <f t="shared" si="6"/>
        <v>2015.16</v>
      </c>
      <c r="BI22" s="210">
        <v>3078.4</v>
      </c>
      <c r="BJ22" s="211"/>
      <c r="BL22" s="247" t="str">
        <f t="shared" si="1"/>
        <v>905 664</v>
      </c>
      <c r="BM22" s="251">
        <f t="shared" si="22"/>
        <v>31660.906717535727</v>
      </c>
      <c r="BN22" s="248">
        <f t="shared" si="7"/>
        <v>17546.948282464276</v>
      </c>
      <c r="BO22" s="216">
        <f t="shared" si="19"/>
        <v>49207.855000000003</v>
      </c>
      <c r="BP22" s="249" t="str">
        <f t="shared" si="8"/>
        <v>E194CC-2108-1</v>
      </c>
      <c r="BQ22" s="250">
        <f t="shared" si="9"/>
        <v>3096.3331096596125</v>
      </c>
      <c r="BR22" s="250">
        <f t="shared" si="10"/>
        <v>1997.2268903403876</v>
      </c>
      <c r="BS22" s="216">
        <f t="shared" si="11"/>
        <v>5093.5600000000004</v>
      </c>
      <c r="BT22" s="240"/>
    </row>
    <row r="23" spans="1:74" ht="14.45" customHeight="1" x14ac:dyDescent="0.25">
      <c r="A23" s="133">
        <v>44440</v>
      </c>
      <c r="B23" s="134">
        <v>39.32</v>
      </c>
      <c r="C23" s="135">
        <v>100000</v>
      </c>
      <c r="D23" s="136">
        <v>6.0000000000000001E-3</v>
      </c>
      <c r="E23" s="137">
        <v>6.0000000000000001E-3</v>
      </c>
      <c r="F23" s="137"/>
      <c r="G23" s="138">
        <v>4.5060000000000002</v>
      </c>
      <c r="H23" s="138">
        <v>3.0000000000000001E-3</v>
      </c>
      <c r="I23" s="139">
        <v>3.3300000000000001E-3</v>
      </c>
      <c r="J23" s="140">
        <v>45090</v>
      </c>
      <c r="K23" s="141">
        <f t="shared" si="12"/>
        <v>1395</v>
      </c>
      <c r="L23" s="141">
        <v>11800</v>
      </c>
      <c r="M23" s="141">
        <v>31895</v>
      </c>
      <c r="O23" s="143">
        <v>44774</v>
      </c>
      <c r="P23" s="144">
        <f t="shared" si="13"/>
        <v>1374.7004552275976</v>
      </c>
      <c r="Q23" s="144">
        <v>11794.36900176024</v>
      </c>
      <c r="R23" s="144">
        <v>31604.93054301216</v>
      </c>
      <c r="T23" s="144">
        <v>8863</v>
      </c>
      <c r="U23" s="144">
        <f t="shared" si="14"/>
        <v>5448.9623599999995</v>
      </c>
      <c r="V23" s="144">
        <f t="shared" si="15"/>
        <v>896.49599999999998</v>
      </c>
      <c r="W23" s="144">
        <f t="shared" si="16"/>
        <v>2517.5416399999999</v>
      </c>
      <c r="Y23" s="237"/>
      <c r="Z23" s="198" t="s">
        <v>282</v>
      </c>
      <c r="AA23" s="199">
        <v>100000</v>
      </c>
      <c r="AB23" s="200">
        <v>3000</v>
      </c>
      <c r="AF23" s="201">
        <v>7083.33</v>
      </c>
      <c r="AG23" s="201">
        <f t="shared" si="0"/>
        <v>18</v>
      </c>
      <c r="AH23" s="201"/>
      <c r="AI23" s="241"/>
      <c r="AJ23" s="241"/>
      <c r="AK23" s="241"/>
      <c r="AL23" s="201">
        <f t="shared" ref="AL23:AM54" si="24">AD23*E23</f>
        <v>0</v>
      </c>
      <c r="AM23" s="201">
        <f t="shared" si="24"/>
        <v>0</v>
      </c>
      <c r="AN23" s="201"/>
      <c r="AO23" s="201"/>
      <c r="AP23" s="201"/>
      <c r="AQ23" s="205">
        <f t="shared" si="23"/>
        <v>7101.33</v>
      </c>
      <c r="AR23" s="205"/>
      <c r="AS23" s="205"/>
      <c r="AT23" s="242"/>
      <c r="AU23" s="252">
        <v>2032.69</v>
      </c>
      <c r="AV23" s="253">
        <v>8863</v>
      </c>
      <c r="AW23" s="253">
        <f t="shared" si="20"/>
        <v>45090</v>
      </c>
      <c r="AX23" s="252">
        <f t="shared" si="21"/>
        <v>39936.678</v>
      </c>
      <c r="AY23" s="252">
        <f t="shared" si="3"/>
        <v>135.27000000000001</v>
      </c>
      <c r="AZ23" s="254">
        <v>135</v>
      </c>
      <c r="BA23" s="255"/>
      <c r="BB23" s="255"/>
      <c r="BC23" s="256">
        <f t="shared" si="4"/>
        <v>42104.637999999999</v>
      </c>
      <c r="BE23" s="243" t="s">
        <v>283</v>
      </c>
      <c r="BF23" s="244">
        <f t="shared" si="5"/>
        <v>44774</v>
      </c>
      <c r="BG23" s="245">
        <v>0.04</v>
      </c>
      <c r="BH23" s="246">
        <f t="shared" si="6"/>
        <v>1790.96</v>
      </c>
      <c r="BI23" s="210">
        <v>3078.4</v>
      </c>
      <c r="BJ23" s="211"/>
      <c r="BL23" s="247" t="str">
        <f t="shared" si="1"/>
        <v>912 435</v>
      </c>
      <c r="BM23" s="251">
        <f t="shared" si="22"/>
        <v>31721.427008930459</v>
      </c>
      <c r="BN23" s="248">
        <f t="shared" si="7"/>
        <v>17484.540991069542</v>
      </c>
      <c r="BO23" s="216">
        <f t="shared" si="19"/>
        <v>49205.968000000001</v>
      </c>
      <c r="BP23" s="249" t="str">
        <f t="shared" si="8"/>
        <v>E194CC-2109-1</v>
      </c>
      <c r="BQ23" s="250">
        <f t="shared" si="9"/>
        <v>3133.3880182091038</v>
      </c>
      <c r="BR23" s="250">
        <f t="shared" si="10"/>
        <v>1735.9719817908961</v>
      </c>
      <c r="BS23" s="216">
        <f t="shared" si="11"/>
        <v>4869.3599999999997</v>
      </c>
      <c r="BT23" s="240"/>
    </row>
    <row r="24" spans="1:74" ht="14.45" customHeight="1" x14ac:dyDescent="0.25">
      <c r="A24" s="133">
        <v>44470</v>
      </c>
      <c r="B24" s="134">
        <v>39.32</v>
      </c>
      <c r="C24" s="135">
        <v>100000</v>
      </c>
      <c r="D24" s="136">
        <v>6.0000000000000001E-3</v>
      </c>
      <c r="E24" s="137">
        <v>6.0000000000000001E-3</v>
      </c>
      <c r="F24" s="137"/>
      <c r="G24" s="138">
        <v>4.5060000000000002</v>
      </c>
      <c r="H24" s="138">
        <v>3.0000000000000001E-3</v>
      </c>
      <c r="I24" s="139">
        <v>3.3300000000000001E-3</v>
      </c>
      <c r="J24" s="141">
        <v>73924</v>
      </c>
      <c r="K24" s="141">
        <f t="shared" si="12"/>
        <v>6455</v>
      </c>
      <c r="L24" s="141">
        <v>14469</v>
      </c>
      <c r="M24" s="141">
        <v>53000</v>
      </c>
      <c r="O24" s="144">
        <v>73026</v>
      </c>
      <c r="P24" s="144">
        <f t="shared" si="13"/>
        <v>5756.225220647837</v>
      </c>
      <c r="Q24" s="144">
        <v>14490.953263975922</v>
      </c>
      <c r="R24" s="144">
        <v>52778.821515376243</v>
      </c>
      <c r="T24" s="144">
        <v>8863</v>
      </c>
      <c r="U24" s="144">
        <f t="shared" si="14"/>
        <v>5448.9623599999995</v>
      </c>
      <c r="V24" s="144">
        <f t="shared" si="15"/>
        <v>896.49599999999998</v>
      </c>
      <c r="W24" s="144">
        <f t="shared" si="16"/>
        <v>2517.5416399999999</v>
      </c>
      <c r="Y24" s="237"/>
      <c r="Z24" s="198" t="s">
        <v>284</v>
      </c>
      <c r="AA24" s="199">
        <v>100000</v>
      </c>
      <c r="AF24" s="201">
        <v>7083.33</v>
      </c>
      <c r="AG24" s="201">
        <f t="shared" si="0"/>
        <v>0</v>
      </c>
      <c r="AH24" s="201"/>
      <c r="AI24" s="241"/>
      <c r="AJ24" s="241"/>
      <c r="AK24" s="241"/>
      <c r="AL24" s="201">
        <f t="shared" si="24"/>
        <v>0</v>
      </c>
      <c r="AM24" s="201">
        <f t="shared" si="24"/>
        <v>0</v>
      </c>
      <c r="AN24" s="201"/>
      <c r="AO24" s="201"/>
      <c r="AP24" s="201"/>
      <c r="AQ24" s="205">
        <f t="shared" si="23"/>
        <v>7083.33</v>
      </c>
      <c r="AR24" s="205"/>
      <c r="AS24" s="205"/>
      <c r="AT24" s="242"/>
      <c r="AU24" s="252">
        <v>2032.69</v>
      </c>
      <c r="AV24" s="253">
        <v>8863</v>
      </c>
      <c r="AW24" s="253">
        <f t="shared" si="20"/>
        <v>73924</v>
      </c>
      <c r="AX24" s="252">
        <f t="shared" si="21"/>
        <v>39936.678</v>
      </c>
      <c r="AY24" s="252">
        <f t="shared" si="21"/>
        <v>221.77199999999999</v>
      </c>
      <c r="AZ24" s="254">
        <v>251</v>
      </c>
      <c r="BA24" s="255"/>
      <c r="BB24" s="255"/>
      <c r="BC24" s="256">
        <f t="shared" si="4"/>
        <v>42191.14</v>
      </c>
      <c r="BE24" s="243" t="s">
        <v>285</v>
      </c>
      <c r="BF24" s="244">
        <f t="shared" si="5"/>
        <v>73026</v>
      </c>
      <c r="BG24" s="245">
        <v>0.04</v>
      </c>
      <c r="BH24" s="246">
        <f t="shared" si="6"/>
        <v>2921.04</v>
      </c>
      <c r="BI24" s="210">
        <v>3078.4</v>
      </c>
      <c r="BJ24" s="211"/>
      <c r="BL24" s="247" t="str">
        <f t="shared" si="1"/>
        <v>918 530</v>
      </c>
      <c r="BM24" s="251">
        <f t="shared" si="22"/>
        <v>31833.212683889993</v>
      </c>
      <c r="BN24" s="248">
        <f t="shared" si="7"/>
        <v>17441.257316110008</v>
      </c>
      <c r="BO24" s="216">
        <f t="shared" si="19"/>
        <v>49274.47</v>
      </c>
      <c r="BP24" s="249" t="str">
        <f t="shared" si="8"/>
        <v>E194CC-2110-1</v>
      </c>
      <c r="BQ24" s="250">
        <f t="shared" si="9"/>
        <v>3308.6490088259134</v>
      </c>
      <c r="BR24" s="250">
        <f t="shared" si="10"/>
        <v>2690.7909911740867</v>
      </c>
      <c r="BS24" s="216">
        <f t="shared" si="11"/>
        <v>5999.4400000000005</v>
      </c>
      <c r="BT24" s="240"/>
      <c r="BV24" s="272"/>
    </row>
    <row r="25" spans="1:74" ht="14.45" customHeight="1" x14ac:dyDescent="0.25">
      <c r="A25" s="133">
        <v>44501</v>
      </c>
      <c r="B25" s="134">
        <v>39.32</v>
      </c>
      <c r="C25" s="135">
        <v>100000</v>
      </c>
      <c r="D25" s="136">
        <v>6.0000000000000001E-3</v>
      </c>
      <c r="E25" s="137">
        <v>6.0000000000000001E-3</v>
      </c>
      <c r="F25" s="137"/>
      <c r="G25" s="138">
        <v>4.5060000000000002</v>
      </c>
      <c r="H25" s="138">
        <v>3.0000000000000001E-3</v>
      </c>
      <c r="I25" s="139">
        <v>7.9500000000000005E-3</v>
      </c>
      <c r="J25" s="141">
        <v>91082</v>
      </c>
      <c r="K25" s="141">
        <f t="shared" si="12"/>
        <v>17204</v>
      </c>
      <c r="L25" s="141">
        <v>14991</v>
      </c>
      <c r="M25" s="141">
        <v>58723</v>
      </c>
      <c r="N25" s="146">
        <v>164</v>
      </c>
      <c r="O25" s="144">
        <v>90014</v>
      </c>
      <c r="P25" s="144">
        <f t="shared" si="13"/>
        <v>16121.505395981134</v>
      </c>
      <c r="Q25" s="144">
        <v>14932.777808010322</v>
      </c>
      <c r="R25" s="144">
        <v>58959.71679600855</v>
      </c>
      <c r="T25" s="144">
        <v>8863</v>
      </c>
      <c r="U25" s="144">
        <f t="shared" si="14"/>
        <v>5448.9623599999995</v>
      </c>
      <c r="V25" s="144">
        <f t="shared" si="15"/>
        <v>896.49599999999998</v>
      </c>
      <c r="W25" s="144">
        <f t="shared" si="16"/>
        <v>2517.5416399999999</v>
      </c>
      <c r="Y25" s="237"/>
      <c r="Z25" s="198" t="s">
        <v>286</v>
      </c>
      <c r="AA25" s="199">
        <v>100000</v>
      </c>
      <c r="AD25" s="200">
        <v>8700</v>
      </c>
      <c r="AF25" s="201">
        <v>7083.33</v>
      </c>
      <c r="AG25" s="201">
        <f t="shared" si="0"/>
        <v>0</v>
      </c>
      <c r="AH25" s="201"/>
      <c r="AI25" s="241"/>
      <c r="AJ25" s="241"/>
      <c r="AK25" s="241"/>
      <c r="AL25" s="201">
        <f t="shared" si="24"/>
        <v>52.2</v>
      </c>
      <c r="AM25" s="201">
        <f t="shared" si="24"/>
        <v>0</v>
      </c>
      <c r="AN25" s="201"/>
      <c r="AO25" s="201"/>
      <c r="AP25" s="201"/>
      <c r="AQ25" s="205">
        <f t="shared" si="23"/>
        <v>7135.53</v>
      </c>
      <c r="AR25" s="205"/>
      <c r="AS25" s="205"/>
      <c r="AT25" s="242"/>
      <c r="AU25" s="252">
        <v>2032.69</v>
      </c>
      <c r="AV25" s="253">
        <v>8863</v>
      </c>
      <c r="AW25" s="253">
        <f t="shared" si="20"/>
        <v>91082</v>
      </c>
      <c r="AX25" s="252">
        <f t="shared" si="21"/>
        <v>39936.678</v>
      </c>
      <c r="AY25" s="252">
        <f t="shared" si="21"/>
        <v>273.24599999999998</v>
      </c>
      <c r="AZ25" s="254">
        <v>739</v>
      </c>
      <c r="BA25" s="255"/>
      <c r="BB25" s="255"/>
      <c r="BC25" s="256">
        <f t="shared" si="4"/>
        <v>42242.614000000001</v>
      </c>
      <c r="BE25" s="243" t="s">
        <v>287</v>
      </c>
      <c r="BF25" s="244">
        <f t="shared" si="5"/>
        <v>90014</v>
      </c>
      <c r="BG25" s="245">
        <v>0.04</v>
      </c>
      <c r="BH25" s="246">
        <f t="shared" si="6"/>
        <v>3600.56</v>
      </c>
      <c r="BI25" s="210">
        <v>3078.4</v>
      </c>
      <c r="BJ25" s="211"/>
      <c r="BL25" s="247" t="str">
        <f t="shared" si="1"/>
        <v>923 433</v>
      </c>
      <c r="BM25" s="251">
        <f t="shared" si="22"/>
        <v>32124.110518794943</v>
      </c>
      <c r="BN25" s="248">
        <f t="shared" si="7"/>
        <v>17254.033481205057</v>
      </c>
      <c r="BO25" s="216">
        <f t="shared" si="19"/>
        <v>49378.144</v>
      </c>
      <c r="BP25" s="249" t="str">
        <f t="shared" si="8"/>
        <v>E194CC-2111-1</v>
      </c>
      <c r="BQ25" s="250">
        <f t="shared" si="9"/>
        <v>3723.2602158392456</v>
      </c>
      <c r="BR25" s="250">
        <f t="shared" si="10"/>
        <v>2955.6997841607549</v>
      </c>
      <c r="BS25" s="216">
        <f t="shared" si="11"/>
        <v>6678.9600000000009</v>
      </c>
      <c r="BT25" s="240"/>
      <c r="BV25" s="273"/>
    </row>
    <row r="26" spans="1:74" ht="14.45" customHeight="1" x14ac:dyDescent="0.25">
      <c r="A26" s="133">
        <v>44531</v>
      </c>
      <c r="B26" s="134">
        <v>39.32</v>
      </c>
      <c r="C26" s="135">
        <v>100000</v>
      </c>
      <c r="D26" s="136">
        <v>6.0000000000000001E-3</v>
      </c>
      <c r="E26" s="137">
        <v>6.0000000000000001E-3</v>
      </c>
      <c r="F26" s="137"/>
      <c r="G26" s="138">
        <v>4.5060000000000002</v>
      </c>
      <c r="H26" s="138">
        <v>3.0000000000000001E-3</v>
      </c>
      <c r="I26" s="139">
        <v>7.9500000000000005E-3</v>
      </c>
      <c r="J26" s="141">
        <v>99487</v>
      </c>
      <c r="K26" s="141">
        <f t="shared" si="12"/>
        <v>18776</v>
      </c>
      <c r="L26" s="141">
        <v>16049</v>
      </c>
      <c r="M26" s="141">
        <v>62849</v>
      </c>
      <c r="N26" s="146">
        <v>1813</v>
      </c>
      <c r="O26" s="144">
        <v>98534</v>
      </c>
      <c r="P26" s="144">
        <f t="shared" si="13"/>
        <v>18052.221241620162</v>
      </c>
      <c r="Q26" s="144">
        <v>16242.068673172082</v>
      </c>
      <c r="R26" s="144">
        <v>62482.736620727759</v>
      </c>
      <c r="S26" s="147">
        <v>1756.9734644800008</v>
      </c>
      <c r="T26" s="144">
        <v>8863</v>
      </c>
      <c r="U26" s="144">
        <f t="shared" si="14"/>
        <v>5285.7474381713828</v>
      </c>
      <c r="V26" s="144">
        <f t="shared" si="15"/>
        <v>896.49599999999998</v>
      </c>
      <c r="W26" s="144">
        <f t="shared" si="16"/>
        <v>2517.5416399999999</v>
      </c>
      <c r="X26" s="144">
        <f>229.984662576687/31*22</f>
        <v>163.21492182861658</v>
      </c>
      <c r="Y26" s="237"/>
      <c r="Z26" s="198" t="s">
        <v>288</v>
      </c>
      <c r="AA26" s="199">
        <v>100000</v>
      </c>
      <c r="AD26" s="200">
        <v>14275</v>
      </c>
      <c r="AF26" s="201">
        <v>7083.33</v>
      </c>
      <c r="AG26" s="201">
        <f t="shared" si="0"/>
        <v>0</v>
      </c>
      <c r="AH26" s="201"/>
      <c r="AI26" s="241"/>
      <c r="AJ26" s="241"/>
      <c r="AK26" s="241"/>
      <c r="AL26" s="201">
        <f t="shared" si="24"/>
        <v>85.65</v>
      </c>
      <c r="AM26" s="201">
        <f t="shared" si="24"/>
        <v>0</v>
      </c>
      <c r="AN26" s="201"/>
      <c r="AO26" s="201"/>
      <c r="AP26" s="201"/>
      <c r="AQ26" s="205">
        <f t="shared" si="23"/>
        <v>7168.98</v>
      </c>
      <c r="AR26" s="205"/>
      <c r="AS26" s="205"/>
      <c r="AT26" s="242"/>
      <c r="AU26" s="252">
        <v>2032.69</v>
      </c>
      <c r="AV26" s="253">
        <v>8863</v>
      </c>
      <c r="AW26" s="253">
        <f t="shared" si="20"/>
        <v>99487</v>
      </c>
      <c r="AX26" s="252">
        <f t="shared" si="21"/>
        <v>39936.678</v>
      </c>
      <c r="AY26" s="252">
        <f t="shared" si="21"/>
        <v>298.46100000000001</v>
      </c>
      <c r="AZ26" s="254">
        <v>792</v>
      </c>
      <c r="BA26" s="255"/>
      <c r="BB26" s="255"/>
      <c r="BC26" s="256">
        <f t="shared" si="4"/>
        <v>42267.829000000005</v>
      </c>
      <c r="BE26" s="243" t="s">
        <v>289</v>
      </c>
      <c r="BF26" s="244">
        <f t="shared" si="5"/>
        <v>98534.000000000015</v>
      </c>
      <c r="BG26" s="245">
        <v>0.04</v>
      </c>
      <c r="BH26" s="246">
        <f t="shared" si="6"/>
        <v>3941.3600000000006</v>
      </c>
      <c r="BI26" s="210">
        <v>3078.4</v>
      </c>
      <c r="BJ26" s="211"/>
      <c r="BL26" s="247" t="str">
        <f t="shared" si="1"/>
        <v>929 292</v>
      </c>
      <c r="BM26" s="251">
        <f t="shared" si="22"/>
        <v>31426.511831539719</v>
      </c>
      <c r="BN26" s="248">
        <f t="shared" si="7"/>
        <v>18010.297168460282</v>
      </c>
      <c r="BO26" s="216">
        <f t="shared" si="19"/>
        <v>49436.809000000001</v>
      </c>
      <c r="BP26" s="249" t="str">
        <f t="shared" si="8"/>
        <v>E194CC-2112-1</v>
      </c>
      <c r="BQ26" s="250">
        <f t="shared" si="9"/>
        <v>3800.4888496648064</v>
      </c>
      <c r="BR26" s="250">
        <f t="shared" si="10"/>
        <v>3219.2711503351939</v>
      </c>
      <c r="BS26" s="216">
        <f t="shared" si="11"/>
        <v>7019.76</v>
      </c>
      <c r="BT26" s="240"/>
    </row>
    <row r="27" spans="1:74" ht="14.45" customHeight="1" x14ac:dyDescent="0.25">
      <c r="A27" s="133">
        <v>44562</v>
      </c>
      <c r="B27" s="134">
        <v>39.32</v>
      </c>
      <c r="C27" s="135">
        <v>100000</v>
      </c>
      <c r="D27" s="136">
        <v>6.0000000000000001E-3</v>
      </c>
      <c r="E27" s="137">
        <v>6.0000000000000001E-3</v>
      </c>
      <c r="F27" s="137"/>
      <c r="G27" s="138">
        <v>4.569</v>
      </c>
      <c r="H27" s="138">
        <v>3.0000000000000001E-3</v>
      </c>
      <c r="I27" s="139">
        <v>8.0599999999999995E-3</v>
      </c>
      <c r="J27" s="141">
        <v>119112</v>
      </c>
      <c r="K27" s="141">
        <f t="shared" si="12"/>
        <v>28320</v>
      </c>
      <c r="L27" s="141">
        <v>19054</v>
      </c>
      <c r="M27" s="141">
        <v>68483</v>
      </c>
      <c r="N27" s="146">
        <v>3255</v>
      </c>
      <c r="O27" s="144">
        <v>119270</v>
      </c>
      <c r="P27" s="144">
        <f t="shared" si="13"/>
        <v>28301.554517412558</v>
      </c>
      <c r="Q27" s="144">
        <v>18980.504575056479</v>
      </c>
      <c r="R27" s="144">
        <v>68582.558543210966</v>
      </c>
      <c r="S27" s="147">
        <v>3405.3823643200003</v>
      </c>
      <c r="T27" s="144">
        <v>8863</v>
      </c>
      <c r="U27" s="144">
        <f t="shared" si="14"/>
        <v>5095.2003199999999</v>
      </c>
      <c r="V27" s="144">
        <f t="shared" si="15"/>
        <v>896.49599999999998</v>
      </c>
      <c r="W27" s="144">
        <f t="shared" si="16"/>
        <v>2517.5416399999999</v>
      </c>
      <c r="X27" s="144">
        <f>8997*B27/1000</f>
        <v>353.76203999999996</v>
      </c>
      <c r="Y27" s="237"/>
      <c r="Z27" s="198" t="s">
        <v>290</v>
      </c>
      <c r="AA27" s="199">
        <v>100000</v>
      </c>
      <c r="AD27" s="200">
        <v>23900</v>
      </c>
      <c r="AF27" s="201">
        <v>7083.33</v>
      </c>
      <c r="AG27" s="201">
        <f t="shared" si="0"/>
        <v>0</v>
      </c>
      <c r="AH27" s="201"/>
      <c r="AI27" s="241"/>
      <c r="AJ27" s="241"/>
      <c r="AK27" s="241"/>
      <c r="AL27" s="201">
        <f t="shared" si="24"/>
        <v>143.4</v>
      </c>
      <c r="AM27" s="201">
        <f t="shared" si="24"/>
        <v>0</v>
      </c>
      <c r="AN27" s="201"/>
      <c r="AO27" s="201"/>
      <c r="AP27" s="201"/>
      <c r="AQ27" s="205">
        <f t="shared" si="23"/>
        <v>7226.73</v>
      </c>
      <c r="AR27" s="205"/>
      <c r="AS27" s="205"/>
      <c r="AT27" s="242"/>
      <c r="AU27" s="252">
        <v>2061.15</v>
      </c>
      <c r="AV27" s="253">
        <v>8863</v>
      </c>
      <c r="AW27" s="253">
        <f t="shared" si="20"/>
        <v>119112</v>
      </c>
      <c r="AX27" s="252">
        <f t="shared" si="21"/>
        <v>40495.046999999999</v>
      </c>
      <c r="AY27" s="252">
        <f t="shared" si="21"/>
        <v>357.33600000000001</v>
      </c>
      <c r="AZ27" s="254">
        <v>971</v>
      </c>
      <c r="BA27" s="255"/>
      <c r="BB27" s="255"/>
      <c r="BC27" s="256">
        <f t="shared" si="4"/>
        <v>42913.533000000003</v>
      </c>
      <c r="BE27" s="243" t="s">
        <v>291</v>
      </c>
      <c r="BF27" s="244">
        <f t="shared" si="5"/>
        <v>119270</v>
      </c>
      <c r="BG27" s="245">
        <v>0.04</v>
      </c>
      <c r="BH27" s="246">
        <f t="shared" si="6"/>
        <v>4770.8</v>
      </c>
      <c r="BI27" s="210">
        <v>3078.4</v>
      </c>
      <c r="BJ27" s="211"/>
      <c r="BL27" s="247" t="str">
        <f t="shared" si="1"/>
        <v>936 129</v>
      </c>
      <c r="BM27" s="251">
        <f t="shared" si="22"/>
        <v>31081.718090006652</v>
      </c>
      <c r="BN27" s="248">
        <f t="shared" si="7"/>
        <v>19058.544909993343</v>
      </c>
      <c r="BO27" s="216">
        <f t="shared" si="19"/>
        <v>50140.262999999992</v>
      </c>
      <c r="BP27" s="249" t="str">
        <f t="shared" si="8"/>
        <v>E194CC-2201-1</v>
      </c>
      <c r="BQ27" s="250">
        <f t="shared" si="9"/>
        <v>4210.4621806965024</v>
      </c>
      <c r="BR27" s="250">
        <f t="shared" si="10"/>
        <v>3638.7378193034979</v>
      </c>
      <c r="BS27" s="216">
        <f t="shared" si="11"/>
        <v>7849.2000000000007</v>
      </c>
      <c r="BT27" s="240"/>
    </row>
    <row r="28" spans="1:74" ht="14.45" customHeight="1" x14ac:dyDescent="0.25">
      <c r="A28" s="133">
        <v>44593</v>
      </c>
      <c r="B28" s="134">
        <v>39.32</v>
      </c>
      <c r="C28" s="135">
        <v>100000</v>
      </c>
      <c r="D28" s="136">
        <v>6.0000000000000001E-3</v>
      </c>
      <c r="E28" s="137">
        <v>6.0000000000000001E-3</v>
      </c>
      <c r="F28" s="137"/>
      <c r="G28" s="138">
        <v>4.569</v>
      </c>
      <c r="H28" s="138">
        <v>3.0000000000000001E-3</v>
      </c>
      <c r="I28" s="139">
        <v>8.0599999999999995E-3</v>
      </c>
      <c r="J28" s="141">
        <v>101645</v>
      </c>
      <c r="K28" s="141">
        <f t="shared" si="12"/>
        <v>23658</v>
      </c>
      <c r="L28" s="141">
        <v>15894</v>
      </c>
      <c r="M28" s="141">
        <v>59350</v>
      </c>
      <c r="N28" s="146">
        <v>2743</v>
      </c>
      <c r="O28" s="144">
        <v>101440</v>
      </c>
      <c r="P28" s="144">
        <f t="shared" si="13"/>
        <v>23689.065378591498</v>
      </c>
      <c r="Q28" s="144">
        <v>15803.624032063361</v>
      </c>
      <c r="R28" s="144">
        <v>59342.868839665134</v>
      </c>
      <c r="S28" s="147">
        <v>2604.4417496800002</v>
      </c>
      <c r="T28" s="144">
        <v>8863</v>
      </c>
      <c r="U28" s="144">
        <f t="shared" si="14"/>
        <v>5095.2003199999999</v>
      </c>
      <c r="V28" s="144">
        <f t="shared" si="15"/>
        <v>896.49599999999998</v>
      </c>
      <c r="W28" s="144">
        <f t="shared" si="16"/>
        <v>2517.5416399999999</v>
      </c>
      <c r="X28" s="144">
        <f t="shared" ref="X28:X62" si="25">8997*B28/1000</f>
        <v>353.76203999999996</v>
      </c>
      <c r="Y28" s="237"/>
      <c r="Z28" s="198" t="s">
        <v>292</v>
      </c>
      <c r="AA28" s="199">
        <v>100000</v>
      </c>
      <c r="AD28" s="200">
        <v>19650</v>
      </c>
      <c r="AF28" s="201">
        <v>7083.33</v>
      </c>
      <c r="AG28" s="201">
        <f t="shared" si="0"/>
        <v>0</v>
      </c>
      <c r="AH28" s="201"/>
      <c r="AI28" s="241"/>
      <c r="AJ28" s="241"/>
      <c r="AK28" s="241"/>
      <c r="AL28" s="201">
        <f t="shared" si="24"/>
        <v>117.9</v>
      </c>
      <c r="AM28" s="201">
        <f t="shared" si="24"/>
        <v>0</v>
      </c>
      <c r="AN28" s="201"/>
      <c r="AO28" s="201"/>
      <c r="AP28" s="201"/>
      <c r="AQ28" s="205">
        <f t="shared" si="23"/>
        <v>7201.23</v>
      </c>
      <c r="AR28" s="205"/>
      <c r="AS28" s="205"/>
      <c r="AT28" s="242"/>
      <c r="AU28" s="252">
        <v>2061.15</v>
      </c>
      <c r="AV28" s="253">
        <v>8863</v>
      </c>
      <c r="AW28" s="253">
        <f t="shared" si="20"/>
        <v>101645</v>
      </c>
      <c r="AX28" s="252">
        <f t="shared" si="21"/>
        <v>40495.046999999999</v>
      </c>
      <c r="AY28" s="252">
        <f t="shared" si="21"/>
        <v>304.935</v>
      </c>
      <c r="AZ28" s="254">
        <v>833</v>
      </c>
      <c r="BA28" s="255"/>
      <c r="BB28" s="255"/>
      <c r="BC28" s="256">
        <f t="shared" si="4"/>
        <v>42861.131999999998</v>
      </c>
      <c r="BE28" s="274" t="s">
        <v>293</v>
      </c>
      <c r="BF28" s="244">
        <f t="shared" si="5"/>
        <v>101440</v>
      </c>
      <c r="BG28" s="245">
        <v>0.04</v>
      </c>
      <c r="BH28" s="246">
        <f t="shared" si="6"/>
        <v>4057.6</v>
      </c>
      <c r="BI28" s="210">
        <v>3078.4</v>
      </c>
      <c r="BJ28" s="211"/>
      <c r="BL28" s="247" t="str">
        <f t="shared" si="1"/>
        <v>942 995</v>
      </c>
      <c r="BM28" s="251">
        <f t="shared" si="22"/>
        <v>31031.909484668417</v>
      </c>
      <c r="BN28" s="248">
        <f t="shared" si="7"/>
        <v>19030.452515331581</v>
      </c>
      <c r="BO28" s="216">
        <f t="shared" si="19"/>
        <v>50062.361999999994</v>
      </c>
      <c r="BP28" s="249" t="str">
        <f t="shared" si="8"/>
        <v>E194CC-2202-1</v>
      </c>
      <c r="BQ28" s="250">
        <f t="shared" si="9"/>
        <v>4025.9626151436601</v>
      </c>
      <c r="BR28" s="250">
        <f t="shared" si="10"/>
        <v>3110.0373848563399</v>
      </c>
      <c r="BS28" s="216">
        <f t="shared" si="11"/>
        <v>7136</v>
      </c>
      <c r="BT28" s="240"/>
    </row>
    <row r="29" spans="1:74" s="236" customFormat="1" ht="14.45" customHeight="1" x14ac:dyDescent="0.25">
      <c r="A29" s="148">
        <v>44621</v>
      </c>
      <c r="B29" s="149">
        <v>39.32</v>
      </c>
      <c r="C29" s="150">
        <v>100000</v>
      </c>
      <c r="D29" s="151">
        <v>6.0000000000000001E-3</v>
      </c>
      <c r="E29" s="152">
        <v>6.0000000000000001E-3</v>
      </c>
      <c r="F29" s="152"/>
      <c r="G29" s="153">
        <v>4.569</v>
      </c>
      <c r="H29" s="153">
        <v>3.0000000000000001E-3</v>
      </c>
      <c r="I29" s="154">
        <v>8.0599999999999995E-3</v>
      </c>
      <c r="J29" s="163">
        <v>102096</v>
      </c>
      <c r="K29" s="155">
        <f t="shared" si="12"/>
        <v>20933</v>
      </c>
      <c r="L29" s="155">
        <v>15295</v>
      </c>
      <c r="M29" s="155">
        <v>63750</v>
      </c>
      <c r="N29" s="156">
        <v>2118</v>
      </c>
      <c r="O29" s="164">
        <v>102676</v>
      </c>
      <c r="P29" s="157">
        <f t="shared" si="13"/>
        <v>20982.118925646468</v>
      </c>
      <c r="Q29" s="157">
        <v>15557.343101574159</v>
      </c>
      <c r="R29" s="157">
        <v>63871.083537179366</v>
      </c>
      <c r="S29" s="158">
        <v>2265.4544355999997</v>
      </c>
      <c r="T29" s="157">
        <v>8863</v>
      </c>
      <c r="U29" s="157">
        <f t="shared" si="14"/>
        <v>5095.2003199999999</v>
      </c>
      <c r="V29" s="157">
        <f t="shared" si="15"/>
        <v>896.49599999999998</v>
      </c>
      <c r="W29" s="157">
        <f t="shared" si="16"/>
        <v>2517.5416399999999</v>
      </c>
      <c r="X29" s="165">
        <f t="shared" si="25"/>
        <v>353.76203999999996</v>
      </c>
      <c r="Y29" s="237"/>
      <c r="Z29" s="217" t="s">
        <v>294</v>
      </c>
      <c r="AA29" s="218">
        <v>100000</v>
      </c>
      <c r="AB29" s="219"/>
      <c r="AC29" s="219"/>
      <c r="AD29" s="219">
        <v>16450</v>
      </c>
      <c r="AE29" s="219"/>
      <c r="AF29" s="220">
        <v>7083.33</v>
      </c>
      <c r="AG29" s="220">
        <f t="shared" si="0"/>
        <v>0</v>
      </c>
      <c r="AH29" s="220"/>
      <c r="AI29" s="257"/>
      <c r="AJ29" s="257"/>
      <c r="AK29" s="257"/>
      <c r="AL29" s="220">
        <f t="shared" si="24"/>
        <v>98.7</v>
      </c>
      <c r="AM29" s="220">
        <f t="shared" si="24"/>
        <v>0</v>
      </c>
      <c r="AN29" s="220"/>
      <c r="AO29" s="220"/>
      <c r="AP29" s="220"/>
      <c r="AQ29" s="224">
        <f t="shared" si="23"/>
        <v>7182.03</v>
      </c>
      <c r="AR29" s="224"/>
      <c r="AS29" s="224"/>
      <c r="AT29" s="258"/>
      <c r="AU29" s="220">
        <v>2061.15</v>
      </c>
      <c r="AV29" s="218">
        <v>8863</v>
      </c>
      <c r="AW29" s="218">
        <f t="shared" si="20"/>
        <v>102096</v>
      </c>
      <c r="AX29" s="220">
        <f t="shared" si="21"/>
        <v>40495.046999999999</v>
      </c>
      <c r="AY29" s="220">
        <f t="shared" si="21"/>
        <v>306.28800000000001</v>
      </c>
      <c r="AZ29" s="259">
        <v>818</v>
      </c>
      <c r="BA29" s="260"/>
      <c r="BB29" s="260"/>
      <c r="BC29" s="261">
        <f t="shared" si="4"/>
        <v>42862.485000000001</v>
      </c>
      <c r="BD29" s="238"/>
      <c r="BE29" s="275" t="s">
        <v>295</v>
      </c>
      <c r="BF29" s="276">
        <f t="shared" si="5"/>
        <v>102675.99999999999</v>
      </c>
      <c r="BG29" s="264">
        <v>0.04</v>
      </c>
      <c r="BH29" s="265">
        <f t="shared" si="6"/>
        <v>4107.0399999999991</v>
      </c>
      <c r="BI29" s="229">
        <v>3078.4</v>
      </c>
      <c r="BJ29" s="277"/>
      <c r="BK29" s="239"/>
      <c r="BL29" s="266" t="str">
        <f t="shared" si="1"/>
        <v>947 909</v>
      </c>
      <c r="BM29" s="267">
        <f t="shared" si="22"/>
        <v>30947.402037409098</v>
      </c>
      <c r="BN29" s="268">
        <f t="shared" si="7"/>
        <v>19097.112962590902</v>
      </c>
      <c r="BO29" s="235">
        <f t="shared" si="19"/>
        <v>50044.514999999999</v>
      </c>
      <c r="BP29" s="269" t="str">
        <f t="shared" si="8"/>
        <v>E194CC-2203-1</v>
      </c>
      <c r="BQ29" s="270">
        <f t="shared" si="9"/>
        <v>3917.6847570258587</v>
      </c>
      <c r="BR29" s="270">
        <f t="shared" si="10"/>
        <v>3267.7552429741413</v>
      </c>
      <c r="BS29" s="271">
        <f t="shared" si="11"/>
        <v>7185.4400000000005</v>
      </c>
      <c r="BT29" s="240"/>
    </row>
    <row r="30" spans="1:74" ht="14.45" customHeight="1" x14ac:dyDescent="0.25">
      <c r="A30" s="133">
        <v>44652</v>
      </c>
      <c r="B30" s="134">
        <v>39.119999999999997</v>
      </c>
      <c r="C30" s="135">
        <v>100000</v>
      </c>
      <c r="D30" s="136">
        <v>6.0000000000000001E-3</v>
      </c>
      <c r="E30" s="137">
        <v>6.0000000000000001E-3</v>
      </c>
      <c r="F30" s="137"/>
      <c r="G30" s="138">
        <v>4.569</v>
      </c>
      <c r="H30" s="138">
        <v>4.0000000000000001E-3</v>
      </c>
      <c r="I30" s="139">
        <v>3.3700000000000002E-3</v>
      </c>
      <c r="J30" s="141">
        <v>85994</v>
      </c>
      <c r="K30" s="141">
        <f t="shared" si="12"/>
        <v>11163</v>
      </c>
      <c r="L30" s="141">
        <v>14166</v>
      </c>
      <c r="M30" s="141">
        <v>59005</v>
      </c>
      <c r="N30" s="146">
        <v>1660</v>
      </c>
      <c r="O30" s="144">
        <v>86975</v>
      </c>
      <c r="P30" s="144">
        <f t="shared" si="13"/>
        <v>12842.253781506066</v>
      </c>
      <c r="Q30" s="144">
        <v>13675.888343579045</v>
      </c>
      <c r="R30" s="144">
        <v>58849.898563874885</v>
      </c>
      <c r="S30" s="147">
        <v>1606.9593110399996</v>
      </c>
      <c r="T30" s="144">
        <v>8863</v>
      </c>
      <c r="U30" s="144">
        <f t="shared" si="14"/>
        <v>5114.3651200000004</v>
      </c>
      <c r="V30" s="144">
        <f t="shared" si="15"/>
        <v>891.93599999999992</v>
      </c>
      <c r="W30" s="144">
        <f t="shared" si="16"/>
        <v>2504.7362399999997</v>
      </c>
      <c r="X30" s="144">
        <f t="shared" si="25"/>
        <v>351.96263999999996</v>
      </c>
      <c r="Y30" s="237"/>
      <c r="Z30" s="198" t="s">
        <v>296</v>
      </c>
      <c r="AA30" s="199">
        <v>100000</v>
      </c>
      <c r="AB30" s="200">
        <v>598</v>
      </c>
      <c r="AD30" s="200">
        <v>2775</v>
      </c>
      <c r="AF30" s="201">
        <v>7083.33</v>
      </c>
      <c r="AG30" s="201">
        <f t="shared" si="0"/>
        <v>3.5880000000000001</v>
      </c>
      <c r="AH30" s="201"/>
      <c r="AI30" s="241">
        <v>4</v>
      </c>
      <c r="AJ30" s="241"/>
      <c r="AK30" s="241"/>
      <c r="AL30" s="201">
        <f t="shared" si="24"/>
        <v>16.649999999999999</v>
      </c>
      <c r="AM30" s="201">
        <f t="shared" si="24"/>
        <v>0</v>
      </c>
      <c r="AN30" s="278">
        <v>14</v>
      </c>
      <c r="AO30" s="201"/>
      <c r="AP30" s="201"/>
      <c r="AQ30" s="205">
        <f>AF30+AL30+AG30+AM30</f>
        <v>7103.5679999999993</v>
      </c>
      <c r="AR30" s="205"/>
      <c r="AS30" s="205"/>
      <c r="AT30" s="242"/>
      <c r="AU30" s="252">
        <v>2061.15</v>
      </c>
      <c r="AV30" s="253">
        <v>8863</v>
      </c>
      <c r="AW30" s="253">
        <f t="shared" si="20"/>
        <v>85994</v>
      </c>
      <c r="AX30" s="252">
        <f t="shared" si="21"/>
        <v>40495.046999999999</v>
      </c>
      <c r="AY30" s="252">
        <f t="shared" si="21"/>
        <v>343.976</v>
      </c>
      <c r="AZ30" s="254">
        <v>289</v>
      </c>
      <c r="BA30" s="255"/>
      <c r="BB30" s="255"/>
      <c r="BC30" s="256">
        <f t="shared" si="4"/>
        <v>42900.173000000003</v>
      </c>
      <c r="BE30" s="279" t="s">
        <v>297</v>
      </c>
      <c r="BF30" s="244">
        <f t="shared" si="5"/>
        <v>86975</v>
      </c>
      <c r="BG30" s="245">
        <v>0.04</v>
      </c>
      <c r="BH30" s="246">
        <f t="shared" si="6"/>
        <v>3479</v>
      </c>
      <c r="BI30" s="210">
        <v>3078.4</v>
      </c>
      <c r="BJ30" s="211"/>
      <c r="BL30" s="247" t="str">
        <f t="shared" si="1"/>
        <v>958 598</v>
      </c>
      <c r="BM30" s="251">
        <f t="shared" si="22"/>
        <v>30783.314963679793</v>
      </c>
      <c r="BN30" s="248">
        <f t="shared" si="7"/>
        <v>19220.426036320205</v>
      </c>
      <c r="BO30" s="216">
        <f t="shared" si="19"/>
        <v>50003.740999999995</v>
      </c>
      <c r="BP30" s="249" t="str">
        <f t="shared" si="8"/>
        <v>E194CC-2204-1</v>
      </c>
      <c r="BQ30" s="250">
        <f t="shared" si="9"/>
        <v>3592.0901512602427</v>
      </c>
      <c r="BR30" s="250">
        <f t="shared" si="10"/>
        <v>2965.3098487397574</v>
      </c>
      <c r="BS30" s="216">
        <f t="shared" si="11"/>
        <v>6557.4</v>
      </c>
      <c r="BT30" s="240"/>
    </row>
    <row r="31" spans="1:74" ht="14.45" customHeight="1" x14ac:dyDescent="0.25">
      <c r="A31" s="133">
        <v>44682</v>
      </c>
      <c r="B31" s="134">
        <v>39.119999999999997</v>
      </c>
      <c r="C31" s="135">
        <v>100000</v>
      </c>
      <c r="D31" s="136">
        <v>6.0000000000000001E-3</v>
      </c>
      <c r="E31" s="137">
        <v>6.0000000000000001E-3</v>
      </c>
      <c r="F31" s="137"/>
      <c r="G31" s="138">
        <v>4.569</v>
      </c>
      <c r="H31" s="138">
        <v>4.0000000000000001E-3</v>
      </c>
      <c r="I31" s="139">
        <v>3.3700000000000002E-3</v>
      </c>
      <c r="J31" s="141">
        <v>76025</v>
      </c>
      <c r="K31" s="141">
        <f t="shared" si="12"/>
        <v>5476</v>
      </c>
      <c r="L31" s="141">
        <v>11359</v>
      </c>
      <c r="M31" s="141">
        <v>58400</v>
      </c>
      <c r="N31" s="146">
        <v>790</v>
      </c>
      <c r="O31" s="144">
        <v>74727</v>
      </c>
      <c r="P31" s="144">
        <f t="shared" si="13"/>
        <v>4241.2236902399882</v>
      </c>
      <c r="Q31" s="144">
        <v>11554.015403040003</v>
      </c>
      <c r="R31" s="144">
        <v>58143.711587520011</v>
      </c>
      <c r="S31" s="147">
        <v>788.04931920000001</v>
      </c>
      <c r="T31" s="144">
        <v>8863</v>
      </c>
      <c r="U31" s="144">
        <f t="shared" si="14"/>
        <v>5114.3651200000004</v>
      </c>
      <c r="V31" s="144">
        <f t="shared" si="15"/>
        <v>891.93599999999992</v>
      </c>
      <c r="W31" s="144">
        <f t="shared" si="16"/>
        <v>2504.7362399999997</v>
      </c>
      <c r="X31" s="144">
        <f t="shared" si="25"/>
        <v>351.96263999999996</v>
      </c>
      <c r="Y31" s="237"/>
      <c r="Z31" s="198" t="s">
        <v>298</v>
      </c>
      <c r="AA31" s="199">
        <v>100000</v>
      </c>
      <c r="AB31" s="200">
        <v>23250</v>
      </c>
      <c r="AC31" s="200">
        <v>2088</v>
      </c>
      <c r="AF31" s="201">
        <v>7083.33</v>
      </c>
      <c r="AG31" s="201">
        <f t="shared" si="0"/>
        <v>139.5</v>
      </c>
      <c r="AH31" s="201">
        <f>AC31*0.041</f>
        <v>85.608000000000004</v>
      </c>
      <c r="AI31" s="280">
        <v>155</v>
      </c>
      <c r="AJ31" s="280">
        <v>7</v>
      </c>
      <c r="AK31" s="241"/>
      <c r="AL31" s="201">
        <f t="shared" si="24"/>
        <v>0</v>
      </c>
      <c r="AM31" s="201">
        <f t="shared" si="24"/>
        <v>0</v>
      </c>
      <c r="AO31" s="201"/>
      <c r="AP31" s="201"/>
      <c r="AQ31" s="205">
        <f t="shared" ref="AQ31:AQ62" si="26">AF31+AL31+AG31+AM31</f>
        <v>7222.83</v>
      </c>
      <c r="AR31" s="205"/>
      <c r="AS31" s="205"/>
      <c r="AT31" s="242"/>
      <c r="AU31" s="252">
        <v>2061.15</v>
      </c>
      <c r="AV31" s="253">
        <v>8863</v>
      </c>
      <c r="AW31" s="253">
        <f t="shared" si="20"/>
        <v>76025</v>
      </c>
      <c r="AX31" s="252">
        <f t="shared" si="21"/>
        <v>40495.046999999999</v>
      </c>
      <c r="AY31" s="252">
        <f t="shared" si="21"/>
        <v>304.10000000000002</v>
      </c>
      <c r="AZ31" s="254">
        <v>252</v>
      </c>
      <c r="BA31" s="255"/>
      <c r="BB31" s="255"/>
      <c r="BC31" s="256">
        <f t="shared" si="4"/>
        <v>42860.296999999999</v>
      </c>
      <c r="BE31" s="279" t="s">
        <v>299</v>
      </c>
      <c r="BF31" s="244">
        <f t="shared" si="5"/>
        <v>74727</v>
      </c>
      <c r="BG31" s="245">
        <v>0.04</v>
      </c>
      <c r="BH31" s="246">
        <f t="shared" si="6"/>
        <v>2989.08</v>
      </c>
      <c r="BI31" s="210">
        <v>3078.4</v>
      </c>
      <c r="BJ31" s="211"/>
      <c r="BL31" s="247" t="str">
        <f t="shared" si="1"/>
        <v>961 359</v>
      </c>
      <c r="BM31" s="251">
        <f t="shared" si="22"/>
        <v>30760.730678528271</v>
      </c>
      <c r="BN31" s="248">
        <f t="shared" si="7"/>
        <v>19322.396321471726</v>
      </c>
      <c r="BO31" s="216">
        <f t="shared" si="19"/>
        <v>50083.126999999993</v>
      </c>
      <c r="BP31" s="249" t="str">
        <f t="shared" si="8"/>
        <v>E194CC-2205-1</v>
      </c>
      <c r="BQ31" s="250">
        <f t="shared" si="9"/>
        <v>3248.0489476095995</v>
      </c>
      <c r="BR31" s="250">
        <f t="shared" si="10"/>
        <v>2819.4310523904005</v>
      </c>
      <c r="BS31" s="216">
        <f t="shared" si="11"/>
        <v>6067.48</v>
      </c>
      <c r="BT31" s="240"/>
    </row>
    <row r="32" spans="1:74" x14ac:dyDescent="0.25">
      <c r="A32" s="133">
        <v>44713</v>
      </c>
      <c r="B32" s="134">
        <v>39.119999999999997</v>
      </c>
      <c r="C32" s="135">
        <v>100000</v>
      </c>
      <c r="D32" s="136">
        <v>6.0000000000000001E-3</v>
      </c>
      <c r="E32" s="137">
        <v>6.0000000000000001E-3</v>
      </c>
      <c r="F32" s="137"/>
      <c r="G32" s="138">
        <v>4.569</v>
      </c>
      <c r="H32" s="138">
        <v>4.0000000000000001E-3</v>
      </c>
      <c r="I32" s="139">
        <v>3.3700000000000002E-3</v>
      </c>
      <c r="J32" s="141">
        <v>52124</v>
      </c>
      <c r="K32" s="141">
        <f t="shared" si="12"/>
        <v>1500</v>
      </c>
      <c r="L32" s="141">
        <v>11314</v>
      </c>
      <c r="M32" s="141">
        <v>38650</v>
      </c>
      <c r="N32" s="146">
        <v>660</v>
      </c>
      <c r="O32" s="144">
        <v>53245</v>
      </c>
      <c r="P32" s="144">
        <f t="shared" si="13"/>
        <v>2023.9985857600032</v>
      </c>
      <c r="Q32" s="144">
        <v>11464.739885759998</v>
      </c>
      <c r="R32" s="144">
        <v>39067.407228479999</v>
      </c>
      <c r="S32" s="147">
        <v>688.85430000000008</v>
      </c>
      <c r="T32" s="144">
        <v>8863</v>
      </c>
      <c r="U32" s="144">
        <f t="shared" si="14"/>
        <v>5114.3651200000004</v>
      </c>
      <c r="V32" s="144">
        <f t="shared" si="15"/>
        <v>891.93599999999992</v>
      </c>
      <c r="W32" s="144">
        <f t="shared" si="16"/>
        <v>2504.7362399999997</v>
      </c>
      <c r="X32" s="144">
        <f t="shared" si="25"/>
        <v>351.96263999999996</v>
      </c>
      <c r="Z32" s="282" t="s">
        <v>300</v>
      </c>
      <c r="AA32" s="199">
        <v>100000</v>
      </c>
      <c r="AB32" s="200">
        <v>19470</v>
      </c>
      <c r="AF32" s="201">
        <v>7083.33</v>
      </c>
      <c r="AG32" s="201">
        <f t="shared" si="0"/>
        <v>116.82000000000001</v>
      </c>
      <c r="AH32" s="201"/>
      <c r="AI32" s="241"/>
      <c r="AJ32" s="241"/>
      <c r="AK32" s="241"/>
      <c r="AL32" s="201">
        <f t="shared" si="24"/>
        <v>0</v>
      </c>
      <c r="AM32" s="201">
        <f t="shared" si="24"/>
        <v>0</v>
      </c>
      <c r="AO32" s="201"/>
      <c r="AP32" s="201"/>
      <c r="AQ32" s="205">
        <f t="shared" si="26"/>
        <v>7200.15</v>
      </c>
      <c r="AR32" s="205"/>
      <c r="AS32" s="205"/>
      <c r="AT32" s="242"/>
      <c r="AU32" s="252">
        <v>2061.15</v>
      </c>
      <c r="AV32" s="253">
        <v>8863</v>
      </c>
      <c r="AW32" s="253">
        <f t="shared" si="20"/>
        <v>52124</v>
      </c>
      <c r="AX32" s="252">
        <f t="shared" si="21"/>
        <v>40495.046999999999</v>
      </c>
      <c r="AY32" s="252">
        <f t="shared" si="21"/>
        <v>208.49600000000001</v>
      </c>
      <c r="AZ32" s="254">
        <v>163</v>
      </c>
      <c r="BA32" s="255"/>
      <c r="BB32" s="255"/>
      <c r="BC32" s="256">
        <f t="shared" si="4"/>
        <v>42764.692999999999</v>
      </c>
      <c r="BE32" s="279" t="s">
        <v>301</v>
      </c>
      <c r="BF32" s="244">
        <f t="shared" si="5"/>
        <v>53245</v>
      </c>
      <c r="BG32" s="245">
        <v>0.04</v>
      </c>
      <c r="BH32" s="246">
        <f t="shared" si="6"/>
        <v>2129.8000000000002</v>
      </c>
      <c r="BI32" s="210">
        <v>3078.4</v>
      </c>
      <c r="BJ32" s="211"/>
      <c r="BL32" s="247" t="str">
        <f t="shared" si="1"/>
        <v>964 935</v>
      </c>
      <c r="BM32" s="251">
        <f t="shared" si="22"/>
        <v>30632.999040278693</v>
      </c>
      <c r="BN32" s="248">
        <f t="shared" si="7"/>
        <v>19331.843959721304</v>
      </c>
      <c r="BO32" s="216">
        <f t="shared" si="19"/>
        <v>49964.842999999993</v>
      </c>
      <c r="BP32" s="249" t="str">
        <f t="shared" si="8"/>
        <v>E194CC-2206-1</v>
      </c>
      <c r="BQ32" s="250">
        <f t="shared" si="9"/>
        <v>3159.3599434304001</v>
      </c>
      <c r="BR32" s="250">
        <f t="shared" si="10"/>
        <v>2048.8400565695997</v>
      </c>
      <c r="BS32" s="216">
        <f t="shared" si="11"/>
        <v>5208.2</v>
      </c>
    </row>
    <row r="33" spans="1:71" x14ac:dyDescent="0.25">
      <c r="A33" s="133">
        <v>44743</v>
      </c>
      <c r="B33" s="134">
        <v>39.119999999999997</v>
      </c>
      <c r="C33" s="135">
        <v>100000</v>
      </c>
      <c r="D33" s="136">
        <v>6.0000000000000001E-3</v>
      </c>
      <c r="E33" s="137">
        <v>6.0000000000000001E-3</v>
      </c>
      <c r="F33" s="137"/>
      <c r="G33" s="138">
        <v>4.569</v>
      </c>
      <c r="H33" s="138">
        <v>4.0000000000000001E-3</v>
      </c>
      <c r="I33" s="139">
        <v>3.3700000000000002E-3</v>
      </c>
      <c r="J33" s="141">
        <v>52262</v>
      </c>
      <c r="K33" s="141">
        <f t="shared" si="12"/>
        <v>775</v>
      </c>
      <c r="L33" s="141">
        <v>11877</v>
      </c>
      <c r="M33" s="141">
        <v>39020</v>
      </c>
      <c r="N33" s="146">
        <v>590</v>
      </c>
      <c r="O33" s="144">
        <v>53859</v>
      </c>
      <c r="P33" s="144">
        <f t="shared" si="13"/>
        <v>3078.8653377599876</v>
      </c>
      <c r="Q33" s="144">
        <v>11686.275428639998</v>
      </c>
      <c r="R33" s="144">
        <v>38538.367126080011</v>
      </c>
      <c r="S33" s="147">
        <v>555.49210751999999</v>
      </c>
      <c r="T33" s="144">
        <v>8863</v>
      </c>
      <c r="U33" s="144">
        <f t="shared" si="14"/>
        <v>5114.3651200000004</v>
      </c>
      <c r="V33" s="144">
        <f t="shared" si="15"/>
        <v>891.93599999999992</v>
      </c>
      <c r="W33" s="144">
        <f t="shared" si="16"/>
        <v>2504.7362399999997</v>
      </c>
      <c r="X33" s="144">
        <f t="shared" si="25"/>
        <v>351.96263999999996</v>
      </c>
      <c r="Z33" s="282" t="s">
        <v>302</v>
      </c>
      <c r="AA33" s="199">
        <v>100000</v>
      </c>
      <c r="AB33" s="200">
        <v>13919</v>
      </c>
      <c r="AF33" s="201">
        <v>7083.33</v>
      </c>
      <c r="AG33" s="201">
        <f t="shared" si="0"/>
        <v>83.513999999999996</v>
      </c>
      <c r="AH33" s="201"/>
      <c r="AI33" s="241"/>
      <c r="AJ33" s="241"/>
      <c r="AK33" s="241"/>
      <c r="AL33" s="201">
        <f t="shared" si="24"/>
        <v>0</v>
      </c>
      <c r="AM33" s="201">
        <f t="shared" si="24"/>
        <v>0</v>
      </c>
      <c r="AO33" s="201"/>
      <c r="AP33" s="201"/>
      <c r="AQ33" s="205">
        <f t="shared" si="26"/>
        <v>7166.8440000000001</v>
      </c>
      <c r="AR33" s="205"/>
      <c r="AS33" s="205"/>
      <c r="AT33" s="242"/>
      <c r="AU33" s="252">
        <v>2061.15</v>
      </c>
      <c r="AV33" s="253">
        <v>8863</v>
      </c>
      <c r="AW33" s="253">
        <f t="shared" si="20"/>
        <v>52262</v>
      </c>
      <c r="AX33" s="252">
        <f t="shared" si="21"/>
        <v>40495.046999999999</v>
      </c>
      <c r="AY33" s="252">
        <f t="shared" si="21"/>
        <v>209.048</v>
      </c>
      <c r="AZ33" s="254">
        <v>156</v>
      </c>
      <c r="BA33" s="255"/>
      <c r="BB33" s="255"/>
      <c r="BC33" s="256">
        <f t="shared" si="4"/>
        <v>42765.245000000003</v>
      </c>
      <c r="BE33" s="279" t="s">
        <v>303</v>
      </c>
      <c r="BF33" s="244">
        <f t="shared" si="5"/>
        <v>53859</v>
      </c>
      <c r="BG33" s="245">
        <v>0.04</v>
      </c>
      <c r="BH33" s="246">
        <f t="shared" si="6"/>
        <v>2154.36</v>
      </c>
      <c r="BI33" s="210">
        <v>3078.4</v>
      </c>
      <c r="BJ33" s="211"/>
      <c r="BL33" s="247" t="str">
        <f t="shared" si="1"/>
        <v>971 955</v>
      </c>
      <c r="BM33" s="251">
        <f t="shared" si="22"/>
        <v>30568.043294892643</v>
      </c>
      <c r="BN33" s="248">
        <f t="shared" si="7"/>
        <v>19364.045705107357</v>
      </c>
      <c r="BO33" s="216">
        <f t="shared" si="19"/>
        <v>49932.089</v>
      </c>
      <c r="BP33" s="249" t="str">
        <f t="shared" si="8"/>
        <v>E194CC-2207-1</v>
      </c>
      <c r="BQ33" s="250">
        <f t="shared" si="9"/>
        <v>3201.5546135103996</v>
      </c>
      <c r="BR33" s="250">
        <f t="shared" si="10"/>
        <v>2031.2053864896002</v>
      </c>
      <c r="BS33" s="216">
        <f t="shared" si="11"/>
        <v>5232.76</v>
      </c>
    </row>
    <row r="34" spans="1:71" x14ac:dyDescent="0.25">
      <c r="A34" s="133">
        <v>44774</v>
      </c>
      <c r="B34" s="166">
        <v>39.119999999999997</v>
      </c>
      <c r="C34" s="135">
        <v>100000</v>
      </c>
      <c r="D34" s="136">
        <v>6.0000000000000001E-3</v>
      </c>
      <c r="E34" s="137">
        <v>6.0000000000000001E-3</v>
      </c>
      <c r="F34" s="137"/>
      <c r="G34" s="138">
        <v>4.569</v>
      </c>
      <c r="H34" s="138">
        <v>4.0000000000000001E-3</v>
      </c>
      <c r="I34" s="139">
        <v>3.3700000000000002E-3</v>
      </c>
      <c r="J34" s="141">
        <v>56427</v>
      </c>
      <c r="K34" s="141">
        <f t="shared" si="12"/>
        <v>4073</v>
      </c>
      <c r="L34" s="141">
        <v>13384</v>
      </c>
      <c r="M34" s="141">
        <v>38270</v>
      </c>
      <c r="N34" s="146">
        <v>700</v>
      </c>
      <c r="O34" s="144">
        <v>56190</v>
      </c>
      <c r="P34" s="143">
        <f t="shared" si="13"/>
        <v>3185.6925739199928</v>
      </c>
      <c r="Q34" s="144">
        <v>13686.708315840002</v>
      </c>
      <c r="R34" s="144">
        <v>38581.351634400002</v>
      </c>
      <c r="S34" s="147">
        <v>736.24747583999999</v>
      </c>
      <c r="T34" s="144">
        <v>8863</v>
      </c>
      <c r="U34" s="144">
        <f t="shared" si="14"/>
        <v>5114.3651200000004</v>
      </c>
      <c r="V34" s="144">
        <f t="shared" si="15"/>
        <v>891.93599999999992</v>
      </c>
      <c r="W34" s="144">
        <f t="shared" si="16"/>
        <v>2504.7362399999997</v>
      </c>
      <c r="X34" s="144">
        <f t="shared" si="25"/>
        <v>351.96263999999996</v>
      </c>
      <c r="Z34" s="282" t="s">
        <v>304</v>
      </c>
      <c r="AA34" s="284">
        <f t="shared" ref="AA34:AA62" si="27">C34</f>
        <v>100000</v>
      </c>
      <c r="AB34" s="199">
        <v>13670</v>
      </c>
      <c r="AC34" s="199"/>
      <c r="AD34" s="199"/>
      <c r="AE34" s="199"/>
      <c r="AF34" s="201">
        <v>7083.33</v>
      </c>
      <c r="AG34" s="201">
        <f t="shared" si="0"/>
        <v>82.02</v>
      </c>
      <c r="AH34" s="201"/>
      <c r="AI34" s="278">
        <v>91</v>
      </c>
      <c r="AL34" s="201">
        <f t="shared" si="24"/>
        <v>0</v>
      </c>
      <c r="AM34" s="201">
        <f t="shared" si="24"/>
        <v>0</v>
      </c>
      <c r="AQ34" s="285">
        <f t="shared" si="26"/>
        <v>7165.35</v>
      </c>
      <c r="AR34" s="285"/>
      <c r="AS34" s="285"/>
      <c r="AT34" s="286"/>
      <c r="AU34" s="252">
        <v>2061.15</v>
      </c>
      <c r="AV34" s="253">
        <f t="shared" ref="AV34:AV64" si="28">T34</f>
        <v>8863</v>
      </c>
      <c r="AW34" s="253">
        <f t="shared" si="20"/>
        <v>56427</v>
      </c>
      <c r="AX34" s="252">
        <f t="shared" si="21"/>
        <v>40495.046999999999</v>
      </c>
      <c r="AY34" s="252">
        <f t="shared" si="21"/>
        <v>225.708</v>
      </c>
      <c r="AZ34" s="254">
        <v>176</v>
      </c>
      <c r="BA34" s="255"/>
      <c r="BB34" s="255"/>
      <c r="BC34" s="256">
        <f>AU34+AX34+AY34</f>
        <v>42781.904999999999</v>
      </c>
      <c r="BE34" s="287" t="s">
        <v>305</v>
      </c>
      <c r="BF34" s="288">
        <f t="shared" si="5"/>
        <v>56189.999999999993</v>
      </c>
      <c r="BG34" s="245">
        <v>0.04</v>
      </c>
      <c r="BH34" s="246">
        <f t="shared" si="6"/>
        <v>2247.6</v>
      </c>
      <c r="BI34" s="210">
        <v>3183.07</v>
      </c>
      <c r="BJ34" s="289"/>
      <c r="BL34" s="247" t="str">
        <f t="shared" si="1"/>
        <v>977 916</v>
      </c>
      <c r="BM34" s="251">
        <f t="shared" si="22"/>
        <v>30697.953661638763</v>
      </c>
      <c r="BN34" s="248">
        <f t="shared" si="7"/>
        <v>19249.301338361238</v>
      </c>
      <c r="BO34" s="216">
        <f t="shared" si="19"/>
        <v>49947.255000000005</v>
      </c>
      <c r="BP34" s="249" t="str">
        <f t="shared" si="8"/>
        <v>E194CC-2208-1</v>
      </c>
      <c r="BQ34" s="250">
        <f t="shared" si="9"/>
        <v>3310.4977029567999</v>
      </c>
      <c r="BR34" s="250">
        <f t="shared" si="10"/>
        <v>2120.1722970432002</v>
      </c>
      <c r="BS34" s="216">
        <f t="shared" si="11"/>
        <v>5430.67</v>
      </c>
    </row>
    <row r="35" spans="1:71" x14ac:dyDescent="0.25">
      <c r="A35" s="133">
        <v>44805</v>
      </c>
      <c r="B35" s="166">
        <v>39.119999999999997</v>
      </c>
      <c r="C35" s="135">
        <v>100000</v>
      </c>
      <c r="D35" s="136">
        <v>6.0000000000000001E-3</v>
      </c>
      <c r="E35" s="137">
        <v>6.0000000000000001E-3</v>
      </c>
      <c r="F35" s="137"/>
      <c r="G35" s="138">
        <v>4.569</v>
      </c>
      <c r="H35" s="138">
        <v>4.0000000000000001E-3</v>
      </c>
      <c r="I35" s="139">
        <v>3.3700000000000002E-3</v>
      </c>
      <c r="J35" s="141">
        <v>50955</v>
      </c>
      <c r="K35" s="141">
        <f t="shared" si="12"/>
        <v>3407</v>
      </c>
      <c r="L35" s="141">
        <v>15421</v>
      </c>
      <c r="M35" s="141">
        <v>31497</v>
      </c>
      <c r="N35" s="146">
        <v>630</v>
      </c>
      <c r="O35" s="144">
        <v>51426</v>
      </c>
      <c r="P35" s="143">
        <f t="shared" si="13"/>
        <v>3827.8211203200003</v>
      </c>
      <c r="Q35" s="144">
        <v>15332.24346768</v>
      </c>
      <c r="R35" s="144">
        <v>31668.560963039996</v>
      </c>
      <c r="S35" s="147">
        <v>597.37444895999988</v>
      </c>
      <c r="T35" s="144">
        <v>8863</v>
      </c>
      <c r="U35" s="144">
        <f t="shared" si="14"/>
        <v>5114.3651200000004</v>
      </c>
      <c r="V35" s="144">
        <f t="shared" si="15"/>
        <v>891.93599999999992</v>
      </c>
      <c r="W35" s="144">
        <f t="shared" si="16"/>
        <v>2504.7362399999997</v>
      </c>
      <c r="X35" s="144">
        <f t="shared" si="25"/>
        <v>351.96263999999996</v>
      </c>
      <c r="Z35" s="282" t="s">
        <v>306</v>
      </c>
      <c r="AA35" s="284">
        <f t="shared" si="27"/>
        <v>100000</v>
      </c>
      <c r="AB35" s="199">
        <v>13343</v>
      </c>
      <c r="AC35" s="199"/>
      <c r="AD35" s="199"/>
      <c r="AE35" s="199"/>
      <c r="AF35" s="201">
        <v>7083.33</v>
      </c>
      <c r="AG35" s="201">
        <f t="shared" si="0"/>
        <v>80.058000000000007</v>
      </c>
      <c r="AH35" s="201"/>
      <c r="AI35" s="278">
        <v>90</v>
      </c>
      <c r="AL35" s="201">
        <f t="shared" si="24"/>
        <v>0</v>
      </c>
      <c r="AM35" s="201">
        <f t="shared" si="24"/>
        <v>0</v>
      </c>
      <c r="AQ35" s="285">
        <f t="shared" si="26"/>
        <v>7163.3879999999999</v>
      </c>
      <c r="AR35" s="285"/>
      <c r="AS35" s="285"/>
      <c r="AT35" s="286"/>
      <c r="AU35" s="252">
        <v>2061.15</v>
      </c>
      <c r="AV35" s="253">
        <f t="shared" si="28"/>
        <v>8863</v>
      </c>
      <c r="AW35" s="253">
        <f t="shared" si="20"/>
        <v>50955</v>
      </c>
      <c r="AX35" s="252">
        <f t="shared" si="21"/>
        <v>40495.046999999999</v>
      </c>
      <c r="AY35" s="252">
        <f t="shared" si="21"/>
        <v>203.82</v>
      </c>
      <c r="AZ35" s="278">
        <v>160</v>
      </c>
      <c r="BC35" s="256">
        <f>AU35+AX35+AY35</f>
        <v>42760.017</v>
      </c>
      <c r="BE35" s="287" t="s">
        <v>307</v>
      </c>
      <c r="BF35" s="288">
        <f t="shared" si="5"/>
        <v>51425.999999999993</v>
      </c>
      <c r="BG35" s="245">
        <v>0.04</v>
      </c>
      <c r="BH35" s="246">
        <f t="shared" si="6"/>
        <v>2057.04</v>
      </c>
      <c r="BI35" s="210">
        <v>3183.07</v>
      </c>
      <c r="BJ35" s="289"/>
      <c r="BL35" s="247" t="str">
        <f t="shared" si="1"/>
        <v>986 545</v>
      </c>
      <c r="BM35" s="251">
        <f t="shared" si="22"/>
        <v>30682.364737254095</v>
      </c>
      <c r="BN35" s="248">
        <f t="shared" si="7"/>
        <v>19241.040262745904</v>
      </c>
      <c r="BO35" s="216">
        <f t="shared" si="19"/>
        <v>49923.404999999999</v>
      </c>
      <c r="BP35" s="249" t="str">
        <f t="shared" si="8"/>
        <v>E194CC-2209-1</v>
      </c>
      <c r="BQ35" s="250">
        <f t="shared" si="9"/>
        <v>3336.1828448128003</v>
      </c>
      <c r="BR35" s="250">
        <f t="shared" si="10"/>
        <v>1903.9271551871998</v>
      </c>
      <c r="BS35" s="216">
        <f t="shared" si="11"/>
        <v>5240.1100000000006</v>
      </c>
    </row>
    <row r="36" spans="1:71" x14ac:dyDescent="0.25">
      <c r="A36" s="167">
        <f t="shared" ref="A36:A62" si="29">EOMONTH(A35,0)+1</f>
        <v>44835</v>
      </c>
      <c r="B36" s="166">
        <v>39.119999999999997</v>
      </c>
      <c r="C36" s="135">
        <v>100000</v>
      </c>
      <c r="D36" s="136">
        <v>6.0000000000000001E-3</v>
      </c>
      <c r="E36" s="137">
        <v>6.0000000000000001E-3</v>
      </c>
      <c r="F36" s="137"/>
      <c r="G36" s="138">
        <v>4.569</v>
      </c>
      <c r="H36" s="138">
        <v>4.0000000000000001E-3</v>
      </c>
      <c r="I36" s="139">
        <v>3.3700000000000002E-3</v>
      </c>
      <c r="J36" s="141">
        <v>89993</v>
      </c>
      <c r="K36" s="141">
        <f t="shared" si="12"/>
        <v>25894</v>
      </c>
      <c r="L36" s="141">
        <v>15989</v>
      </c>
      <c r="M36" s="141">
        <v>47340</v>
      </c>
      <c r="N36" s="146">
        <v>770</v>
      </c>
      <c r="O36" s="144">
        <v>91003</v>
      </c>
      <c r="P36" s="143">
        <f t="shared" si="13"/>
        <v>26966</v>
      </c>
      <c r="Q36" s="143">
        <v>15814</v>
      </c>
      <c r="R36" s="143">
        <v>47448</v>
      </c>
      <c r="S36" s="147">
        <v>775</v>
      </c>
      <c r="T36" s="144">
        <v>8863</v>
      </c>
      <c r="U36" s="144">
        <f t="shared" si="14"/>
        <v>5114.3651200000004</v>
      </c>
      <c r="V36" s="144">
        <f t="shared" si="15"/>
        <v>891.93599999999992</v>
      </c>
      <c r="W36" s="144">
        <f t="shared" si="16"/>
        <v>2504.7362399999997</v>
      </c>
      <c r="X36" s="144">
        <f t="shared" si="25"/>
        <v>351.96263999999996</v>
      </c>
      <c r="Z36" s="282" t="s">
        <v>308</v>
      </c>
      <c r="AA36" s="284">
        <f t="shared" si="27"/>
        <v>100000</v>
      </c>
      <c r="AB36" s="199">
        <v>0</v>
      </c>
      <c r="AC36" s="199"/>
      <c r="AD36" s="199">
        <v>0</v>
      </c>
      <c r="AE36" s="199"/>
      <c r="AF36" s="201">
        <v>7083.33</v>
      </c>
      <c r="AG36" s="201">
        <f t="shared" si="0"/>
        <v>0</v>
      </c>
      <c r="AH36" s="201"/>
      <c r="AI36" s="278">
        <v>0</v>
      </c>
      <c r="AL36" s="201">
        <f t="shared" si="24"/>
        <v>0</v>
      </c>
      <c r="AM36" s="201">
        <f t="shared" si="24"/>
        <v>0</v>
      </c>
      <c r="AN36" s="278">
        <v>0</v>
      </c>
      <c r="AQ36" s="285">
        <f t="shared" si="26"/>
        <v>7083.33</v>
      </c>
      <c r="AR36" s="285"/>
      <c r="AS36" s="285"/>
      <c r="AT36" s="286"/>
      <c r="AU36" s="252">
        <v>2061.15</v>
      </c>
      <c r="AV36" s="253">
        <f t="shared" si="28"/>
        <v>8863</v>
      </c>
      <c r="AW36" s="253">
        <f t="shared" si="20"/>
        <v>89993</v>
      </c>
      <c r="AX36" s="252">
        <f t="shared" si="21"/>
        <v>40495.046999999999</v>
      </c>
      <c r="AY36" s="252">
        <f t="shared" si="21"/>
        <v>359.97199999999998</v>
      </c>
      <c r="AZ36" s="278">
        <v>304</v>
      </c>
      <c r="BC36" s="256">
        <f>AU36+AX36+AY36</f>
        <v>42916.169000000002</v>
      </c>
      <c r="BE36" s="287" t="s">
        <v>309</v>
      </c>
      <c r="BF36" s="288">
        <f t="shared" si="5"/>
        <v>91003</v>
      </c>
      <c r="BG36" s="245">
        <v>0.04</v>
      </c>
      <c r="BH36" s="246">
        <f t="shared" si="6"/>
        <v>3640.12</v>
      </c>
      <c r="BI36" s="210">
        <v>3183.07</v>
      </c>
      <c r="BJ36" s="290">
        <f>2+70000</f>
        <v>70002</v>
      </c>
      <c r="BL36" s="247" t="str">
        <f t="shared" si="1"/>
        <v>993 085</v>
      </c>
      <c r="BM36" s="251">
        <f t="shared" si="22"/>
        <v>31147.502116982065</v>
      </c>
      <c r="BN36" s="248">
        <f t="shared" si="7"/>
        <v>18851.996883017935</v>
      </c>
      <c r="BO36" s="216">
        <f t="shared" si="19"/>
        <v>49999.498999999996</v>
      </c>
      <c r="BP36" s="249" t="str">
        <f t="shared" si="8"/>
        <v>E194CC-2210-1</v>
      </c>
      <c r="BQ36" s="250">
        <f t="shared" si="9"/>
        <v>4261.71</v>
      </c>
      <c r="BR36" s="250">
        <f t="shared" si="10"/>
        <v>2561.48</v>
      </c>
      <c r="BS36" s="216">
        <f t="shared" si="11"/>
        <v>6823.1900000000005</v>
      </c>
    </row>
    <row r="37" spans="1:71" x14ac:dyDescent="0.25">
      <c r="A37" s="167">
        <f t="shared" si="29"/>
        <v>44866</v>
      </c>
      <c r="B37" s="166">
        <v>39.119999999999997</v>
      </c>
      <c r="C37" s="135">
        <v>100000</v>
      </c>
      <c r="D37" s="136">
        <v>6.0000000000000001E-3</v>
      </c>
      <c r="E37" s="137">
        <v>6.0000000000000001E-3</v>
      </c>
      <c r="F37" s="137"/>
      <c r="G37" s="138">
        <v>4.569</v>
      </c>
      <c r="H37" s="138">
        <v>4.0000000000000001E-3</v>
      </c>
      <c r="I37" s="139">
        <v>8.0599999999999995E-3</v>
      </c>
      <c r="J37" s="141">
        <v>105774</v>
      </c>
      <c r="K37" s="141">
        <f t="shared" si="12"/>
        <v>36486</v>
      </c>
      <c r="L37" s="141">
        <v>15301</v>
      </c>
      <c r="M37" s="141">
        <v>52540</v>
      </c>
      <c r="N37" s="146">
        <v>1447</v>
      </c>
      <c r="O37" s="144">
        <v>103758</v>
      </c>
      <c r="P37" s="143">
        <f t="shared" si="13"/>
        <v>34443.827083680007</v>
      </c>
      <c r="Q37" s="144">
        <v>15302.484961920001</v>
      </c>
      <c r="R37" s="144">
        <v>52498.412828159999</v>
      </c>
      <c r="S37" s="147">
        <v>1513.2751262400004</v>
      </c>
      <c r="T37" s="144">
        <v>8863</v>
      </c>
      <c r="U37" s="144">
        <f t="shared" si="14"/>
        <v>5114.3651200000004</v>
      </c>
      <c r="V37" s="144">
        <f t="shared" si="15"/>
        <v>891.93599999999992</v>
      </c>
      <c r="W37" s="144">
        <f t="shared" si="16"/>
        <v>2504.7362399999997</v>
      </c>
      <c r="X37" s="144">
        <f t="shared" si="25"/>
        <v>351.96263999999996</v>
      </c>
      <c r="Z37" s="282" t="s">
        <v>310</v>
      </c>
      <c r="AA37" s="284">
        <f t="shared" si="27"/>
        <v>100000</v>
      </c>
      <c r="AB37" s="199">
        <v>0</v>
      </c>
      <c r="AC37" s="199"/>
      <c r="AD37" s="199">
        <v>6701</v>
      </c>
      <c r="AE37" s="199"/>
      <c r="AF37" s="201">
        <v>7083.33</v>
      </c>
      <c r="AG37" s="201">
        <f t="shared" si="0"/>
        <v>0</v>
      </c>
      <c r="AH37" s="201"/>
      <c r="AI37" s="278">
        <v>0</v>
      </c>
      <c r="AL37" s="201">
        <f t="shared" si="24"/>
        <v>40.206000000000003</v>
      </c>
      <c r="AM37" s="201">
        <f t="shared" si="24"/>
        <v>0</v>
      </c>
      <c r="AN37" s="278">
        <v>45</v>
      </c>
      <c r="AQ37" s="285">
        <f t="shared" si="26"/>
        <v>7123.5360000000001</v>
      </c>
      <c r="AR37" s="285"/>
      <c r="AS37" s="285"/>
      <c r="AT37" s="286"/>
      <c r="AU37" s="252">
        <v>2061.15</v>
      </c>
      <c r="AV37" s="253">
        <f t="shared" si="28"/>
        <v>8863</v>
      </c>
      <c r="AW37" s="253">
        <f t="shared" si="20"/>
        <v>105774</v>
      </c>
      <c r="AX37" s="252">
        <f t="shared" si="21"/>
        <v>40495.046999999999</v>
      </c>
      <c r="AY37" s="252">
        <f t="shared" si="21"/>
        <v>423.096</v>
      </c>
      <c r="AZ37" s="278">
        <v>838</v>
      </c>
      <c r="BC37" s="256">
        <f>AU37+AX37+AY37</f>
        <v>42979.292999999998</v>
      </c>
      <c r="BE37" s="287" t="s">
        <v>311</v>
      </c>
      <c r="BF37" s="288">
        <f t="shared" si="5"/>
        <v>103758.00000000001</v>
      </c>
      <c r="BG37" s="245">
        <v>0.04</v>
      </c>
      <c r="BH37" s="246">
        <f t="shared" si="6"/>
        <v>4150.3200000000006</v>
      </c>
      <c r="BI37" s="210">
        <v>3183.07</v>
      </c>
      <c r="BJ37" s="291">
        <f t="shared" ref="BJ37:BJ42" si="30">BJ36-BI37-BH37</f>
        <v>62668.609999999993</v>
      </c>
      <c r="BL37" s="247" t="str">
        <f t="shared" si="1"/>
        <v>999 184</v>
      </c>
      <c r="BM37" s="251">
        <f t="shared" si="22"/>
        <v>31347.993480543031</v>
      </c>
      <c r="BN37" s="248">
        <f t="shared" si="7"/>
        <v>18754.835519456967</v>
      </c>
      <c r="BO37" s="216">
        <f t="shared" si="19"/>
        <v>50102.828999999998</v>
      </c>
      <c r="BP37" s="249" t="str">
        <f t="shared" si="8"/>
        <v>E194CC-2211-1</v>
      </c>
      <c r="BQ37" s="250">
        <f t="shared" si="9"/>
        <v>4560.8230833472007</v>
      </c>
      <c r="BR37" s="250">
        <f t="shared" si="10"/>
        <v>2772.5669166527996</v>
      </c>
      <c r="BS37" s="216">
        <f t="shared" si="11"/>
        <v>7333.39</v>
      </c>
    </row>
    <row r="38" spans="1:71" x14ac:dyDescent="0.25">
      <c r="A38" s="167">
        <f t="shared" si="29"/>
        <v>44896</v>
      </c>
      <c r="B38" s="166">
        <f>B37</f>
        <v>39.119999999999997</v>
      </c>
      <c r="C38" s="135">
        <v>100000</v>
      </c>
      <c r="D38" s="136">
        <v>6.0000000000000001E-3</v>
      </c>
      <c r="E38" s="137">
        <v>6.0000000000000001E-3</v>
      </c>
      <c r="F38" s="137"/>
      <c r="G38" s="138">
        <v>4.569</v>
      </c>
      <c r="H38" s="138">
        <v>4.0000000000000001E-3</v>
      </c>
      <c r="I38" s="139">
        <v>8.0599999999999995E-3</v>
      </c>
      <c r="J38" s="141">
        <v>113942</v>
      </c>
      <c r="K38" s="141">
        <f t="shared" si="12"/>
        <v>39430</v>
      </c>
      <c r="L38" s="141">
        <v>15629</v>
      </c>
      <c r="M38" s="141">
        <v>56540</v>
      </c>
      <c r="N38" s="146">
        <v>2343</v>
      </c>
      <c r="O38" s="144">
        <v>113245</v>
      </c>
      <c r="P38" s="144">
        <f t="shared" si="13"/>
        <v>39297.317520159995</v>
      </c>
      <c r="Q38" s="144">
        <v>15818.299061760003</v>
      </c>
      <c r="R38" s="144">
        <v>55927.253991840007</v>
      </c>
      <c r="S38" s="147">
        <v>2202.1294262400002</v>
      </c>
      <c r="T38" s="144">
        <v>8863</v>
      </c>
      <c r="U38" s="144">
        <f t="shared" si="14"/>
        <v>5114.3651200000004</v>
      </c>
      <c r="V38" s="144">
        <f t="shared" si="15"/>
        <v>891.93599999999992</v>
      </c>
      <c r="W38" s="144">
        <f t="shared" si="16"/>
        <v>2504.7362399999997</v>
      </c>
      <c r="X38" s="144">
        <f t="shared" si="25"/>
        <v>351.96263999999996</v>
      </c>
      <c r="Z38" s="282">
        <v>1006658</v>
      </c>
      <c r="AA38" s="284">
        <f t="shared" si="27"/>
        <v>100000</v>
      </c>
      <c r="AB38" s="199">
        <v>0</v>
      </c>
      <c r="AC38" s="199"/>
      <c r="AD38" s="200">
        <v>19793</v>
      </c>
      <c r="AF38" s="201">
        <v>7083.33</v>
      </c>
      <c r="AG38" s="201">
        <f t="shared" si="0"/>
        <v>0</v>
      </c>
      <c r="AH38" s="201"/>
      <c r="AI38" s="278">
        <v>0</v>
      </c>
      <c r="AL38" s="201">
        <f t="shared" si="24"/>
        <v>118.758</v>
      </c>
      <c r="AM38" s="201">
        <f t="shared" si="24"/>
        <v>0</v>
      </c>
      <c r="AN38" s="278">
        <v>123</v>
      </c>
      <c r="AQ38" s="285">
        <f t="shared" si="26"/>
        <v>7202.0879999999997</v>
      </c>
      <c r="AR38" s="285"/>
      <c r="AS38" s="285"/>
      <c r="AT38" s="286"/>
      <c r="AU38" s="252">
        <v>2061.15</v>
      </c>
      <c r="AV38" s="253">
        <f t="shared" si="28"/>
        <v>8863</v>
      </c>
      <c r="AW38" s="253">
        <f t="shared" ref="AW38:AW62" si="31">J38</f>
        <v>113942</v>
      </c>
      <c r="AX38" s="252">
        <f t="shared" si="21"/>
        <v>40495.046999999999</v>
      </c>
      <c r="AY38" s="252">
        <f t="shared" si="21"/>
        <v>455.76800000000003</v>
      </c>
      <c r="AZ38" s="278">
        <v>913</v>
      </c>
      <c r="BC38" s="256">
        <f>AU38+AX38+AY38</f>
        <v>43011.964999999997</v>
      </c>
      <c r="BE38" s="287" t="s">
        <v>312</v>
      </c>
      <c r="BF38" s="292">
        <f t="shared" ref="BF38:BF44" si="32">O38</f>
        <v>113245</v>
      </c>
      <c r="BG38" s="245">
        <v>0.04</v>
      </c>
      <c r="BH38" s="246">
        <f t="shared" si="6"/>
        <v>4529.8</v>
      </c>
      <c r="BI38" s="210">
        <v>3183.07</v>
      </c>
      <c r="BJ38" s="291">
        <f t="shared" si="30"/>
        <v>54955.739999999991</v>
      </c>
      <c r="BL38" s="247">
        <f t="shared" si="1"/>
        <v>1006658</v>
      </c>
      <c r="BM38" s="251">
        <f t="shared" si="22"/>
        <v>31440.609900163152</v>
      </c>
      <c r="BN38" s="248">
        <f t="shared" si="7"/>
        <v>18773.443099836848</v>
      </c>
      <c r="BO38" s="216">
        <f t="shared" si="19"/>
        <v>50214.053</v>
      </c>
      <c r="BP38" s="249" t="str">
        <f t="shared" si="8"/>
        <v>E194CC-2212-1</v>
      </c>
      <c r="BQ38" s="250">
        <f t="shared" si="9"/>
        <v>4754.9627008063999</v>
      </c>
      <c r="BR38" s="250">
        <f t="shared" si="10"/>
        <v>2957.9072991936009</v>
      </c>
      <c r="BS38" s="216">
        <f t="shared" si="11"/>
        <v>7712.8700000000008</v>
      </c>
    </row>
    <row r="39" spans="1:71" x14ac:dyDescent="0.25">
      <c r="A39" s="167">
        <f t="shared" si="29"/>
        <v>44927</v>
      </c>
      <c r="B39" s="166">
        <f>B38</f>
        <v>39.119999999999997</v>
      </c>
      <c r="C39" s="135">
        <v>100000</v>
      </c>
      <c r="D39" s="136">
        <v>6.0000000000000001E-3</v>
      </c>
      <c r="E39" s="137">
        <v>6.0000000000000001E-3</v>
      </c>
      <c r="F39" s="137"/>
      <c r="G39" s="138">
        <v>4.734</v>
      </c>
      <c r="H39" s="138">
        <v>4.0000000000000001E-3</v>
      </c>
      <c r="I39" s="139">
        <v>8.3499999999999998E-3</v>
      </c>
      <c r="J39" s="141">
        <v>115349</v>
      </c>
      <c r="K39" s="141">
        <f>J39-L39-M39-N39</f>
        <v>42450</v>
      </c>
      <c r="L39" s="141">
        <v>17416</v>
      </c>
      <c r="M39" s="141">
        <v>53328</v>
      </c>
      <c r="N39" s="146">
        <v>2155</v>
      </c>
      <c r="O39" s="144">
        <v>114764</v>
      </c>
      <c r="P39" s="144">
        <f t="shared" si="13"/>
        <v>41044.466064320011</v>
      </c>
      <c r="Q39" s="144">
        <v>17432.97354096</v>
      </c>
      <c r="R39" s="144">
        <v>53995.155451199993</v>
      </c>
      <c r="S39" s="147">
        <v>2291.4049435200004</v>
      </c>
      <c r="T39" s="144">
        <v>8863</v>
      </c>
      <c r="U39" s="144">
        <f t="shared" si="14"/>
        <v>5114.3651200000004</v>
      </c>
      <c r="V39" s="144">
        <f t="shared" si="15"/>
        <v>891.93599999999992</v>
      </c>
      <c r="W39" s="144">
        <f t="shared" si="16"/>
        <v>2504.7362399999997</v>
      </c>
      <c r="X39" s="144">
        <f t="shared" si="25"/>
        <v>351.96263999999996</v>
      </c>
      <c r="Z39" s="282">
        <v>1015034</v>
      </c>
      <c r="AA39" s="284">
        <f t="shared" si="27"/>
        <v>100000</v>
      </c>
      <c r="AD39" s="200">
        <v>17824</v>
      </c>
      <c r="AF39" s="201">
        <v>7083.33</v>
      </c>
      <c r="AG39" s="201">
        <f t="shared" si="0"/>
        <v>0</v>
      </c>
      <c r="AL39" s="201">
        <f t="shared" si="24"/>
        <v>106.944</v>
      </c>
      <c r="AM39" s="201">
        <f t="shared" si="24"/>
        <v>0</v>
      </c>
      <c r="AN39" s="278">
        <v>104</v>
      </c>
      <c r="AQ39" s="285">
        <f t="shared" si="26"/>
        <v>7190.2740000000003</v>
      </c>
      <c r="AR39" s="285"/>
      <c r="AS39" s="285"/>
      <c r="AT39" s="286"/>
      <c r="AU39" s="252">
        <v>2135.35</v>
      </c>
      <c r="AV39" s="253">
        <f t="shared" si="28"/>
        <v>8863</v>
      </c>
      <c r="AW39" s="253">
        <f t="shared" si="31"/>
        <v>115349</v>
      </c>
      <c r="AX39" s="252">
        <f t="shared" si="21"/>
        <v>41957.442000000003</v>
      </c>
      <c r="AY39" s="252">
        <f t="shared" si="21"/>
        <v>461.39600000000002</v>
      </c>
      <c r="AZ39" s="278">
        <v>972</v>
      </c>
      <c r="BA39" s="293">
        <v>13409.78</v>
      </c>
      <c r="BB39" s="293"/>
      <c r="BC39" s="256">
        <f t="shared" ref="BC39:BC53" si="33">AU39+AX39+AY39+BA39</f>
        <v>57963.968000000001</v>
      </c>
      <c r="BE39" s="287" t="s">
        <v>313</v>
      </c>
      <c r="BF39" s="292">
        <f t="shared" si="32"/>
        <v>114764</v>
      </c>
      <c r="BG39" s="245">
        <v>0.04</v>
      </c>
      <c r="BH39" s="246">
        <f t="shared" si="6"/>
        <v>4590.5600000000004</v>
      </c>
      <c r="BI39" s="210">
        <v>3183.07</v>
      </c>
      <c r="BJ39" s="291">
        <f t="shared" si="30"/>
        <v>47182.109999999993</v>
      </c>
      <c r="BL39" s="247">
        <f t="shared" si="1"/>
        <v>1015034</v>
      </c>
      <c r="BM39" s="251">
        <v>42388.392566040762</v>
      </c>
      <c r="BN39" s="248">
        <v>22765.84943395924</v>
      </c>
      <c r="BO39" s="216">
        <f t="shared" si="19"/>
        <v>65154.241999999998</v>
      </c>
      <c r="BP39" s="249" t="str">
        <f t="shared" si="8"/>
        <v>E194CC-2301-1</v>
      </c>
      <c r="BQ39" s="250">
        <f t="shared" si="9"/>
        <v>4824.8486425728006</v>
      </c>
      <c r="BR39" s="250">
        <f t="shared" si="10"/>
        <v>2948.7813574272</v>
      </c>
      <c r="BS39" s="216">
        <f t="shared" si="11"/>
        <v>7773.630000000001</v>
      </c>
    </row>
    <row r="40" spans="1:71" x14ac:dyDescent="0.25">
      <c r="A40" s="167">
        <f t="shared" si="29"/>
        <v>44958</v>
      </c>
      <c r="B40" s="166">
        <f>B39</f>
        <v>39.119999999999997</v>
      </c>
      <c r="C40" s="135">
        <v>100000</v>
      </c>
      <c r="D40" s="136">
        <v>6.0000000000000001E-3</v>
      </c>
      <c r="E40" s="137">
        <v>6.0000000000000001E-3</v>
      </c>
      <c r="F40" s="137"/>
      <c r="G40" s="138">
        <v>4.734</v>
      </c>
      <c r="H40" s="138">
        <v>4.0000000000000001E-3</v>
      </c>
      <c r="I40" s="139">
        <v>8.3499999999999998E-3</v>
      </c>
      <c r="J40" s="141">
        <v>107798</v>
      </c>
      <c r="K40" s="141">
        <f>J40-L40-M40-N40</f>
        <v>39766</v>
      </c>
      <c r="L40" s="141">
        <v>15762</v>
      </c>
      <c r="M40" s="141">
        <v>49608</v>
      </c>
      <c r="N40" s="146">
        <v>2662</v>
      </c>
      <c r="O40" s="144">
        <v>108415</v>
      </c>
      <c r="P40" s="144">
        <f t="shared" si="13"/>
        <v>40414.610004639981</v>
      </c>
      <c r="Q40" s="144">
        <v>15754.373382720003</v>
      </c>
      <c r="R40" s="144">
        <v>49589.794431840011</v>
      </c>
      <c r="S40" s="147">
        <v>2656.2221808000004</v>
      </c>
      <c r="T40" s="144">
        <v>8863</v>
      </c>
      <c r="U40" s="144">
        <f t="shared" si="14"/>
        <v>5114.3651200000004</v>
      </c>
      <c r="V40" s="144">
        <f t="shared" si="15"/>
        <v>891.93599999999992</v>
      </c>
      <c r="W40" s="144">
        <f t="shared" si="16"/>
        <v>2504.7362399999997</v>
      </c>
      <c r="X40" s="144">
        <f t="shared" si="25"/>
        <v>351.96263999999996</v>
      </c>
      <c r="Z40" s="282">
        <v>1020933</v>
      </c>
      <c r="AA40" s="284">
        <f t="shared" si="27"/>
        <v>100000</v>
      </c>
      <c r="AD40" s="200">
        <v>23358</v>
      </c>
      <c r="AF40" s="201">
        <v>7083.33</v>
      </c>
      <c r="AG40" s="201">
        <f t="shared" si="0"/>
        <v>0</v>
      </c>
      <c r="AL40" s="201">
        <f t="shared" si="24"/>
        <v>140.148</v>
      </c>
      <c r="AM40" s="201">
        <f t="shared" si="24"/>
        <v>0</v>
      </c>
      <c r="AN40" s="278">
        <v>139</v>
      </c>
      <c r="AQ40" s="285">
        <f t="shared" si="26"/>
        <v>7223.4780000000001</v>
      </c>
      <c r="AR40" s="285"/>
      <c r="AS40" s="285"/>
      <c r="AT40" s="286"/>
      <c r="AU40" s="252">
        <v>2135.35</v>
      </c>
      <c r="AV40" s="253">
        <f t="shared" si="28"/>
        <v>8863</v>
      </c>
      <c r="AW40" s="253">
        <f t="shared" si="31"/>
        <v>107798</v>
      </c>
      <c r="AX40" s="252">
        <f t="shared" si="21"/>
        <v>41957.442000000003</v>
      </c>
      <c r="AY40" s="252">
        <f t="shared" si="21"/>
        <v>431.19200000000001</v>
      </c>
      <c r="AZ40" s="278">
        <v>894</v>
      </c>
      <c r="BC40" s="256">
        <f t="shared" si="33"/>
        <v>44523.984000000004</v>
      </c>
      <c r="BE40" s="287" t="s">
        <v>314</v>
      </c>
      <c r="BF40" s="292">
        <f t="shared" si="32"/>
        <v>108415</v>
      </c>
      <c r="BG40" s="245">
        <v>0.04</v>
      </c>
      <c r="BH40" s="246">
        <f t="shared" si="6"/>
        <v>4336.6000000000004</v>
      </c>
      <c r="BI40" s="210">
        <v>3183.07</v>
      </c>
      <c r="BJ40" s="291">
        <f t="shared" si="30"/>
        <v>39662.439999999995</v>
      </c>
      <c r="BL40" s="247">
        <f t="shared" si="1"/>
        <v>1020933</v>
      </c>
      <c r="BM40" s="251">
        <f t="shared" ref="BM40:BM62" si="34">AQ40
+(K40/AW40*AU40)
+((T40-V40-W40-X40)/T40*AX40)
+(K40/AW40*AY40)</f>
        <v>32381.663579510456</v>
      </c>
      <c r="BN40" s="248">
        <f t="shared" ref="BN40:BN62" si="35">((L40+M40+N40)/AW40*AU40)
+((V40+W40+X40)/T40*AX40)
+((L40+M40+N40)/AW40*AY40)</f>
        <v>19365.798420489547</v>
      </c>
      <c r="BO40" s="216">
        <f t="shared" si="19"/>
        <v>51747.462</v>
      </c>
      <c r="BP40" s="249" t="str">
        <f t="shared" si="8"/>
        <v>E194CC-2302-1</v>
      </c>
      <c r="BQ40" s="250">
        <f t="shared" si="9"/>
        <v>4799.6544001855991</v>
      </c>
      <c r="BR40" s="250">
        <f t="shared" si="10"/>
        <v>2720.015599814401</v>
      </c>
      <c r="BS40" s="216">
        <f t="shared" si="11"/>
        <v>7519.67</v>
      </c>
    </row>
    <row r="41" spans="1:71" x14ac:dyDescent="0.25">
      <c r="A41" s="167">
        <f t="shared" si="29"/>
        <v>44986</v>
      </c>
      <c r="B41" s="166">
        <f>B40</f>
        <v>39.119999999999997</v>
      </c>
      <c r="C41" s="135">
        <v>100000</v>
      </c>
      <c r="D41" s="136">
        <v>6.0000000000000001E-3</v>
      </c>
      <c r="E41" s="137">
        <v>6.0000000000000001E-3</v>
      </c>
      <c r="F41" s="137"/>
      <c r="G41" s="138">
        <v>4.734</v>
      </c>
      <c r="H41" s="138">
        <v>4.0000000000000001E-3</v>
      </c>
      <c r="I41" s="139">
        <v>8.3499999999999998E-3</v>
      </c>
      <c r="J41" s="141">
        <v>114465</v>
      </c>
      <c r="K41" s="141">
        <f>J41-L41-M41-N41</f>
        <v>39211</v>
      </c>
      <c r="L41" s="141">
        <v>16639</v>
      </c>
      <c r="M41" s="141">
        <v>56166</v>
      </c>
      <c r="N41" s="146">
        <v>2449</v>
      </c>
      <c r="O41" s="144">
        <v>114045</v>
      </c>
      <c r="P41" s="144">
        <f t="shared" si="13"/>
        <v>39200.15367983999</v>
      </c>
      <c r="Q41" s="144">
        <v>16406.856175680005</v>
      </c>
      <c r="R41" s="144">
        <v>55992.281837760005</v>
      </c>
      <c r="S41" s="147">
        <v>2445.708306720001</v>
      </c>
      <c r="T41" s="144">
        <v>8863</v>
      </c>
      <c r="U41" s="144">
        <f t="shared" si="14"/>
        <v>5114.3651200000004</v>
      </c>
      <c r="V41" s="144">
        <f t="shared" si="15"/>
        <v>891.93599999999992</v>
      </c>
      <c r="W41" s="144">
        <f t="shared" si="16"/>
        <v>2504.7362399999997</v>
      </c>
      <c r="X41" s="144">
        <f t="shared" si="25"/>
        <v>351.96263999999996</v>
      </c>
      <c r="Z41" s="282">
        <v>1027086</v>
      </c>
      <c r="AA41" s="284">
        <f t="shared" si="27"/>
        <v>100000</v>
      </c>
      <c r="AD41" s="200">
        <v>18425</v>
      </c>
      <c r="AF41" s="201">
        <v>7083.33</v>
      </c>
      <c r="AG41" s="201">
        <f t="shared" si="0"/>
        <v>0</v>
      </c>
      <c r="AL41" s="201">
        <f t="shared" si="24"/>
        <v>110.55</v>
      </c>
      <c r="AM41" s="201">
        <f t="shared" si="24"/>
        <v>0</v>
      </c>
      <c r="AN41" s="278">
        <v>108</v>
      </c>
      <c r="AQ41" s="285">
        <f t="shared" si="26"/>
        <v>7193.88</v>
      </c>
      <c r="AR41" s="285"/>
      <c r="AS41" s="285"/>
      <c r="AT41" s="286"/>
      <c r="AU41" s="252">
        <v>2135.35</v>
      </c>
      <c r="AV41" s="253">
        <f t="shared" si="28"/>
        <v>8863</v>
      </c>
      <c r="AW41" s="253">
        <f t="shared" si="31"/>
        <v>114465</v>
      </c>
      <c r="AX41" s="252">
        <f t="shared" si="21"/>
        <v>41957.442000000003</v>
      </c>
      <c r="AY41" s="252">
        <f t="shared" si="21"/>
        <v>457.86</v>
      </c>
      <c r="AZ41" s="278">
        <v>969</v>
      </c>
      <c r="BC41" s="256">
        <f t="shared" si="33"/>
        <v>44550.652000000002</v>
      </c>
      <c r="BE41" s="287" t="s">
        <v>315</v>
      </c>
      <c r="BF41" s="292">
        <f t="shared" si="32"/>
        <v>114045</v>
      </c>
      <c r="BG41" s="245">
        <v>0.04</v>
      </c>
      <c r="BH41" s="246">
        <f t="shared" si="6"/>
        <v>4561.8</v>
      </c>
      <c r="BI41" s="210">
        <v>3183.07</v>
      </c>
      <c r="BJ41" s="291">
        <f t="shared" si="30"/>
        <v>31917.569999999996</v>
      </c>
      <c r="BL41" s="247">
        <f t="shared" si="1"/>
        <v>1027086</v>
      </c>
      <c r="BM41" s="251">
        <f t="shared" si="34"/>
        <v>32293.611541461822</v>
      </c>
      <c r="BN41" s="248">
        <f t="shared" si="35"/>
        <v>19450.920458538178</v>
      </c>
      <c r="BO41" s="216">
        <f t="shared" si="19"/>
        <v>51744.531999999999</v>
      </c>
      <c r="BP41" s="249" t="str">
        <f t="shared" si="8"/>
        <v>E194CC-2303-1</v>
      </c>
      <c r="BQ41" s="250">
        <f t="shared" si="9"/>
        <v>4751.0761471936003</v>
      </c>
      <c r="BR41" s="250">
        <f t="shared" si="10"/>
        <v>2993.7938528064005</v>
      </c>
      <c r="BS41" s="216">
        <f t="shared" si="11"/>
        <v>7744.8700000000008</v>
      </c>
    </row>
    <row r="42" spans="1:71" x14ac:dyDescent="0.25">
      <c r="A42" s="167">
        <f t="shared" si="29"/>
        <v>45017</v>
      </c>
      <c r="B42" s="166">
        <v>39.17</v>
      </c>
      <c r="C42" s="135">
        <v>100000</v>
      </c>
      <c r="D42" s="136">
        <v>6.0000000000000001E-3</v>
      </c>
      <c r="E42" s="137">
        <v>6.0000000000000001E-3</v>
      </c>
      <c r="F42" s="137"/>
      <c r="G42" s="138">
        <v>4.734</v>
      </c>
      <c r="H42" s="138">
        <v>4.0000000000000001E-3</v>
      </c>
      <c r="I42" s="139">
        <v>3.49E-3</v>
      </c>
      <c r="J42" s="141">
        <v>89364</v>
      </c>
      <c r="K42" s="141">
        <f>J42-L42-M42-N42</f>
        <v>20038</v>
      </c>
      <c r="L42" s="141">
        <v>14288</v>
      </c>
      <c r="M42" s="141">
        <v>53643</v>
      </c>
      <c r="N42" s="146">
        <v>1395</v>
      </c>
      <c r="O42" s="144">
        <v>90044</v>
      </c>
      <c r="P42" s="144">
        <f t="shared" si="13"/>
        <v>20857.536163060005</v>
      </c>
      <c r="Q42" s="144">
        <v>14440.286464300003</v>
      </c>
      <c r="R42" s="144">
        <v>53438.440310339989</v>
      </c>
      <c r="S42" s="147">
        <v>1307.7370623000002</v>
      </c>
      <c r="T42" s="144">
        <v>8863</v>
      </c>
      <c r="U42" s="144">
        <f t="shared" si="14"/>
        <v>5109.5739199999998</v>
      </c>
      <c r="V42" s="144">
        <f t="shared" si="15"/>
        <v>893.07600000000002</v>
      </c>
      <c r="W42" s="144">
        <f t="shared" si="16"/>
        <v>2507.9375900000005</v>
      </c>
      <c r="X42" s="144">
        <f t="shared" si="25"/>
        <v>352.41248999999999</v>
      </c>
      <c r="Z42" s="282">
        <v>1033347</v>
      </c>
      <c r="AA42" s="284">
        <f t="shared" si="27"/>
        <v>100000</v>
      </c>
      <c r="AB42" s="200">
        <v>10013</v>
      </c>
      <c r="AF42" s="201">
        <v>7083.33</v>
      </c>
      <c r="AG42" s="201">
        <f t="shared" si="0"/>
        <v>60.078000000000003</v>
      </c>
      <c r="AI42" s="278">
        <v>63</v>
      </c>
      <c r="AL42" s="201">
        <f t="shared" si="24"/>
        <v>0</v>
      </c>
      <c r="AM42" s="201">
        <f t="shared" si="24"/>
        <v>0</v>
      </c>
      <c r="AQ42" s="285">
        <f t="shared" si="26"/>
        <v>7143.4080000000004</v>
      </c>
      <c r="AR42" s="285"/>
      <c r="AS42" s="285"/>
      <c r="AT42" s="286"/>
      <c r="AU42" s="252">
        <v>2135.35</v>
      </c>
      <c r="AV42" s="253">
        <f t="shared" si="28"/>
        <v>8863</v>
      </c>
      <c r="AW42" s="253">
        <f t="shared" si="31"/>
        <v>89364</v>
      </c>
      <c r="AX42" s="252">
        <f t="shared" si="21"/>
        <v>41957.442000000003</v>
      </c>
      <c r="AY42" s="252">
        <f t="shared" si="21"/>
        <v>357.45600000000002</v>
      </c>
      <c r="AZ42" s="278">
        <v>311</v>
      </c>
      <c r="BC42" s="256">
        <f t="shared" si="33"/>
        <v>44450.248</v>
      </c>
      <c r="BE42" s="287" t="s">
        <v>316</v>
      </c>
      <c r="BF42" s="292">
        <f t="shared" si="32"/>
        <v>90044</v>
      </c>
      <c r="BG42" s="245">
        <v>0.04</v>
      </c>
      <c r="BH42" s="246">
        <f t="shared" si="6"/>
        <v>3601.76</v>
      </c>
      <c r="BI42" s="210">
        <v>3183.07</v>
      </c>
      <c r="BJ42" s="291">
        <f t="shared" si="30"/>
        <v>25132.739999999998</v>
      </c>
      <c r="BL42" s="247">
        <f t="shared" si="1"/>
        <v>1033347</v>
      </c>
      <c r="BM42" s="251">
        <f t="shared" si="34"/>
        <v>31891.090323923388</v>
      </c>
      <c r="BN42" s="248">
        <f t="shared" si="35"/>
        <v>19702.565676076611</v>
      </c>
      <c r="BO42" s="216">
        <f t="shared" si="19"/>
        <v>51593.656000000003</v>
      </c>
      <c r="BP42" s="249" t="str">
        <f t="shared" si="8"/>
        <v>E194CC-2304-1</v>
      </c>
      <c r="BQ42" s="250">
        <f>P42*BG42+BI42</f>
        <v>4017.3714465224002</v>
      </c>
      <c r="BR42" s="250">
        <f t="shared" si="10"/>
        <v>2767.4585534775997</v>
      </c>
      <c r="BS42" s="216">
        <f t="shared" si="11"/>
        <v>6784.83</v>
      </c>
    </row>
    <row r="43" spans="1:71" x14ac:dyDescent="0.25">
      <c r="A43" s="167">
        <f t="shared" si="29"/>
        <v>45047</v>
      </c>
      <c r="B43" s="166">
        <v>39.17</v>
      </c>
      <c r="C43" s="135">
        <v>100000</v>
      </c>
      <c r="D43" s="136">
        <v>6.0000000000000001E-3</v>
      </c>
      <c r="E43" s="137">
        <v>6.0000000000000001E-3</v>
      </c>
      <c r="F43" s="137"/>
      <c r="G43" s="138">
        <v>4.734</v>
      </c>
      <c r="H43" s="138">
        <v>4.0000000000000001E-3</v>
      </c>
      <c r="I43" s="139">
        <v>3.49E-3</v>
      </c>
      <c r="J43" s="141">
        <f>SUM(K43:N43)</f>
        <v>73291</v>
      </c>
      <c r="K43" s="141">
        <v>12850</v>
      </c>
      <c r="L43" s="141">
        <v>12807</v>
      </c>
      <c r="M43" s="141">
        <v>46839</v>
      </c>
      <c r="N43" s="146">
        <v>795</v>
      </c>
      <c r="O43" s="144">
        <v>71772</v>
      </c>
      <c r="P43" s="144">
        <f t="shared" si="13"/>
        <v>13065.089870739985</v>
      </c>
      <c r="Q43" s="144">
        <v>12747.401524580002</v>
      </c>
      <c r="R43" s="144">
        <v>45247.702355580011</v>
      </c>
      <c r="S43" s="147">
        <v>711.80624909999995</v>
      </c>
      <c r="T43" s="144">
        <v>8863</v>
      </c>
      <c r="U43" s="144">
        <f t="shared" si="14"/>
        <v>5109.5739199999998</v>
      </c>
      <c r="V43" s="144">
        <f t="shared" si="15"/>
        <v>893.07600000000002</v>
      </c>
      <c r="W43" s="144">
        <f t="shared" si="16"/>
        <v>2507.9375900000005</v>
      </c>
      <c r="X43" s="144">
        <f t="shared" si="25"/>
        <v>352.41248999999999</v>
      </c>
      <c r="Z43" s="282">
        <v>1041148</v>
      </c>
      <c r="AA43" s="284">
        <f t="shared" si="27"/>
        <v>100000</v>
      </c>
      <c r="AB43" s="200">
        <v>18125</v>
      </c>
      <c r="AF43" s="201">
        <v>7083.33</v>
      </c>
      <c r="AG43" s="201">
        <f t="shared" si="0"/>
        <v>108.75</v>
      </c>
      <c r="AI43" s="278">
        <v>99</v>
      </c>
      <c r="AL43" s="201">
        <f t="shared" si="24"/>
        <v>0</v>
      </c>
      <c r="AM43" s="201">
        <f t="shared" si="24"/>
        <v>0</v>
      </c>
      <c r="AQ43" s="285">
        <f t="shared" si="26"/>
        <v>7192.08</v>
      </c>
      <c r="AR43" s="285"/>
      <c r="AS43" s="285"/>
      <c r="AT43" s="286"/>
      <c r="AU43" s="252">
        <v>2135.35</v>
      </c>
      <c r="AV43" s="253">
        <f t="shared" si="28"/>
        <v>8863</v>
      </c>
      <c r="AW43" s="253">
        <f t="shared" si="31"/>
        <v>73291</v>
      </c>
      <c r="AX43" s="252">
        <f t="shared" si="21"/>
        <v>41957.442000000003</v>
      </c>
      <c r="AY43" s="252">
        <f t="shared" si="21"/>
        <v>293.16399999999999</v>
      </c>
      <c r="AZ43" s="278">
        <v>312</v>
      </c>
      <c r="BC43" s="256">
        <f t="shared" si="33"/>
        <v>44385.955999999998</v>
      </c>
      <c r="BE43" s="287" t="s">
        <v>317</v>
      </c>
      <c r="BF43" s="292">
        <f t="shared" si="32"/>
        <v>71772</v>
      </c>
      <c r="BG43" s="245">
        <v>0.04</v>
      </c>
      <c r="BH43" s="246">
        <f t="shared" si="6"/>
        <v>2870.88</v>
      </c>
      <c r="BI43" s="210">
        <v>3183.07</v>
      </c>
      <c r="BJ43" s="291">
        <f>BJ42-BI43-BH43</f>
        <v>19078.789999999997</v>
      </c>
      <c r="BL43" s="247">
        <f t="shared" si="1"/>
        <v>1041148</v>
      </c>
      <c r="BM43" s="251">
        <f t="shared" si="34"/>
        <v>31806.590617895628</v>
      </c>
      <c r="BN43" s="248">
        <f t="shared" si="35"/>
        <v>19771.445382104375</v>
      </c>
      <c r="BO43" s="216">
        <f t="shared" si="19"/>
        <v>51578.036000000007</v>
      </c>
      <c r="BP43" s="294" t="str">
        <f t="shared" si="8"/>
        <v>E194CC-2305-1</v>
      </c>
      <c r="BQ43" s="250">
        <f t="shared" ref="BQ43:BQ49" si="36">P43*BG43+BI43</f>
        <v>3705.6735948295996</v>
      </c>
      <c r="BR43" s="250">
        <f t="shared" si="10"/>
        <v>2348.2764051704007</v>
      </c>
      <c r="BS43" s="216">
        <f t="shared" si="11"/>
        <v>6053.9500000000007</v>
      </c>
    </row>
    <row r="44" spans="1:71" x14ac:dyDescent="0.25">
      <c r="A44" s="167">
        <f t="shared" si="29"/>
        <v>45078</v>
      </c>
      <c r="B44" s="166">
        <v>39.17</v>
      </c>
      <c r="C44" s="135">
        <v>100000</v>
      </c>
      <c r="D44" s="136">
        <v>6.0000000000000001E-3</v>
      </c>
      <c r="E44" s="137">
        <v>6.0000000000000001E-3</v>
      </c>
      <c r="F44" s="137"/>
      <c r="G44" s="138">
        <v>4.734</v>
      </c>
      <c r="H44" s="138">
        <v>4.0000000000000001E-3</v>
      </c>
      <c r="I44" s="139">
        <v>3.49E-3</v>
      </c>
      <c r="J44" s="141">
        <f>SUM(K44:N44)</f>
        <v>52862</v>
      </c>
      <c r="K44" s="141">
        <v>4400</v>
      </c>
      <c r="L44" s="141">
        <v>13338</v>
      </c>
      <c r="M44" s="141">
        <v>34944</v>
      </c>
      <c r="N44" s="146">
        <v>180</v>
      </c>
      <c r="O44" s="144">
        <v>54310</v>
      </c>
      <c r="P44" s="144">
        <f t="shared" si="13"/>
        <v>4547.5699466399883</v>
      </c>
      <c r="Q44" s="144">
        <v>13111.581465980005</v>
      </c>
      <c r="R44" s="144">
        <v>36369.436814480003</v>
      </c>
      <c r="S44" s="147">
        <v>281.41177290000002</v>
      </c>
      <c r="T44" s="144">
        <v>8863</v>
      </c>
      <c r="U44" s="144">
        <f t="shared" si="14"/>
        <v>5109.5739199999998</v>
      </c>
      <c r="V44" s="144">
        <f t="shared" si="15"/>
        <v>893.07600000000002</v>
      </c>
      <c r="W44" s="144">
        <f t="shared" si="16"/>
        <v>2507.9375900000005</v>
      </c>
      <c r="X44" s="144">
        <f t="shared" si="25"/>
        <v>352.41248999999999</v>
      </c>
      <c r="Z44" s="282">
        <v>1047495</v>
      </c>
      <c r="AA44" s="284">
        <f t="shared" si="27"/>
        <v>100000</v>
      </c>
      <c r="AB44" s="200">
        <v>18094</v>
      </c>
      <c r="AF44" s="201">
        <v>7083.33</v>
      </c>
      <c r="AG44" s="201">
        <f t="shared" si="0"/>
        <v>108.56400000000001</v>
      </c>
      <c r="AI44" s="278">
        <v>110</v>
      </c>
      <c r="AL44" s="201">
        <f t="shared" si="24"/>
        <v>0</v>
      </c>
      <c r="AM44" s="201">
        <f t="shared" si="24"/>
        <v>0</v>
      </c>
      <c r="AQ44" s="285">
        <f t="shared" si="26"/>
        <v>7191.8940000000002</v>
      </c>
      <c r="AR44" s="285"/>
      <c r="AS44" s="285"/>
      <c r="AT44" s="286"/>
      <c r="AU44" s="252">
        <v>2135.35</v>
      </c>
      <c r="AV44" s="253">
        <f t="shared" si="28"/>
        <v>8863</v>
      </c>
      <c r="AW44" s="253">
        <f t="shared" si="31"/>
        <v>52862</v>
      </c>
      <c r="AX44" s="252">
        <f t="shared" si="21"/>
        <v>41957.442000000003</v>
      </c>
      <c r="AY44" s="252">
        <f t="shared" si="21"/>
        <v>211.44800000000001</v>
      </c>
      <c r="AZ44" s="278">
        <v>182</v>
      </c>
      <c r="BC44" s="256">
        <f t="shared" si="33"/>
        <v>44304.24</v>
      </c>
      <c r="BE44" s="287" t="s">
        <v>318</v>
      </c>
      <c r="BF44" s="292">
        <f t="shared" si="32"/>
        <v>54310</v>
      </c>
      <c r="BG44" s="245">
        <v>0.04</v>
      </c>
      <c r="BH44" s="246">
        <f t="shared" si="6"/>
        <v>2172.4</v>
      </c>
      <c r="BI44" s="210">
        <v>3183.07</v>
      </c>
      <c r="BJ44" s="291">
        <f>BJ43-BI44-BH44</f>
        <v>13723.319999999998</v>
      </c>
      <c r="BL44" s="247">
        <f t="shared" si="1"/>
        <v>1047495</v>
      </c>
      <c r="BM44" s="251">
        <f t="shared" si="34"/>
        <v>31575.954064138612</v>
      </c>
      <c r="BN44" s="248">
        <f t="shared" si="35"/>
        <v>19920.179935861393</v>
      </c>
      <c r="BO44" s="216">
        <f t="shared" si="19"/>
        <v>51496.134000000005</v>
      </c>
      <c r="BP44" s="294" t="str">
        <f t="shared" si="8"/>
        <v>E194CC-2306-1</v>
      </c>
      <c r="BQ44" s="250">
        <f t="shared" si="36"/>
        <v>3364.9727978655997</v>
      </c>
      <c r="BR44" s="250">
        <f t="shared" si="10"/>
        <v>1990.4972021344001</v>
      </c>
      <c r="BS44" s="216">
        <f t="shared" si="11"/>
        <v>5355.4699999999993</v>
      </c>
    </row>
    <row r="45" spans="1:71" x14ac:dyDescent="0.25">
      <c r="A45" s="167">
        <f t="shared" si="29"/>
        <v>45108</v>
      </c>
      <c r="B45" s="166">
        <v>39.17</v>
      </c>
      <c r="C45" s="135">
        <v>100000</v>
      </c>
      <c r="D45" s="136">
        <v>6.0000000000000001E-3</v>
      </c>
      <c r="E45" s="137">
        <v>6.0000000000000001E-3</v>
      </c>
      <c r="F45" s="137"/>
      <c r="G45" s="138">
        <v>4.734</v>
      </c>
      <c r="H45" s="138">
        <v>4.0000000000000001E-3</v>
      </c>
      <c r="I45" s="139">
        <v>3.49E-3</v>
      </c>
      <c r="J45" s="141">
        <f>SUM(K45:N45)</f>
        <v>58156</v>
      </c>
      <c r="K45" s="141">
        <v>3250</v>
      </c>
      <c r="L45" s="141">
        <v>14346</v>
      </c>
      <c r="M45" s="141">
        <v>39935</v>
      </c>
      <c r="N45" s="141">
        <v>625</v>
      </c>
      <c r="O45" s="168">
        <v>59479</v>
      </c>
      <c r="P45" s="144">
        <f t="shared" si="13"/>
        <v>4311.2567557999892</v>
      </c>
      <c r="Q45" s="144">
        <v>14598.097772240004</v>
      </c>
      <c r="R45" s="144">
        <v>40003.511199420005</v>
      </c>
      <c r="S45" s="147">
        <v>566.1342725400001</v>
      </c>
      <c r="T45" s="144">
        <v>8863</v>
      </c>
      <c r="U45" s="144">
        <f t="shared" si="14"/>
        <v>5109.5739199999998</v>
      </c>
      <c r="V45" s="144">
        <f t="shared" si="15"/>
        <v>893.07600000000002</v>
      </c>
      <c r="W45" s="144">
        <f t="shared" si="16"/>
        <v>2507.9375900000005</v>
      </c>
      <c r="X45" s="144">
        <f t="shared" si="25"/>
        <v>352.41248999999999</v>
      </c>
      <c r="Z45" s="282">
        <v>1053241</v>
      </c>
      <c r="AA45" s="284">
        <f t="shared" si="27"/>
        <v>100000</v>
      </c>
      <c r="AB45" s="200">
        <v>12459</v>
      </c>
      <c r="AF45" s="201">
        <v>7083.33</v>
      </c>
      <c r="AG45" s="201">
        <f t="shared" si="0"/>
        <v>74.754000000000005</v>
      </c>
      <c r="AI45" s="278">
        <v>62</v>
      </c>
      <c r="AL45" s="201">
        <f t="shared" si="24"/>
        <v>0</v>
      </c>
      <c r="AM45" s="201">
        <f t="shared" si="24"/>
        <v>0</v>
      </c>
      <c r="AQ45" s="285">
        <f t="shared" si="26"/>
        <v>7158.0839999999998</v>
      </c>
      <c r="AR45" s="285"/>
      <c r="AS45" s="285"/>
      <c r="AT45" s="286"/>
      <c r="AU45" s="252">
        <v>2135.35</v>
      </c>
      <c r="AV45" s="253">
        <f t="shared" si="28"/>
        <v>8863</v>
      </c>
      <c r="AW45" s="253">
        <f t="shared" si="31"/>
        <v>58156</v>
      </c>
      <c r="AX45" s="252">
        <f t="shared" si="21"/>
        <v>41957.442000000003</v>
      </c>
      <c r="AY45" s="252">
        <f t="shared" si="21"/>
        <v>232.624</v>
      </c>
      <c r="AZ45" s="278">
        <v>196</v>
      </c>
      <c r="BC45" s="256">
        <f t="shared" si="33"/>
        <v>44325.416000000005</v>
      </c>
      <c r="BE45" s="287" t="s">
        <v>319</v>
      </c>
      <c r="BF45" s="292">
        <f>O45</f>
        <v>59479</v>
      </c>
      <c r="BG45" s="245">
        <v>0.04</v>
      </c>
      <c r="BH45" s="246">
        <f t="shared" si="6"/>
        <v>2379.16</v>
      </c>
      <c r="BI45" s="210">
        <v>3183.07</v>
      </c>
      <c r="BJ45" s="291">
        <f>BJ44-BI45-BH45</f>
        <v>8161.0899999999983</v>
      </c>
      <c r="BL45" s="247">
        <f t="shared" si="1"/>
        <v>1053241</v>
      </c>
      <c r="BM45" s="251">
        <f t="shared" si="34"/>
        <v>31479.139207381108</v>
      </c>
      <c r="BN45" s="248">
        <f t="shared" si="35"/>
        <v>20004.360792618896</v>
      </c>
      <c r="BO45" s="216">
        <f t="shared" si="19"/>
        <v>51483.5</v>
      </c>
      <c r="BP45" s="294" t="str">
        <f t="shared" si="8"/>
        <v>E194CC-2307-1</v>
      </c>
      <c r="BQ45" s="250">
        <f t="shared" si="36"/>
        <v>3355.5202702319998</v>
      </c>
      <c r="BR45" s="250">
        <f t="shared" si="10"/>
        <v>2206.7097297680007</v>
      </c>
      <c r="BS45" s="216">
        <f t="shared" si="11"/>
        <v>5562.2300000000005</v>
      </c>
    </row>
    <row r="46" spans="1:71" x14ac:dyDescent="0.25">
      <c r="A46" s="167">
        <f t="shared" si="29"/>
        <v>45139</v>
      </c>
      <c r="B46" s="166">
        <v>39.17</v>
      </c>
      <c r="C46" s="135">
        <v>100000</v>
      </c>
      <c r="D46" s="136">
        <v>6.0000000000000001E-3</v>
      </c>
      <c r="E46" s="137">
        <v>6.0000000000000001E-3</v>
      </c>
      <c r="F46" s="137"/>
      <c r="G46" s="138">
        <v>4.734</v>
      </c>
      <c r="H46" s="138">
        <v>4.0000000000000001E-3</v>
      </c>
      <c r="I46" s="139">
        <v>3.49E-3</v>
      </c>
      <c r="J46" s="141">
        <f>SUM(K46:N46)</f>
        <v>66598</v>
      </c>
      <c r="K46" s="141">
        <v>9293</v>
      </c>
      <c r="L46" s="141">
        <v>16489</v>
      </c>
      <c r="M46" s="141">
        <v>40300</v>
      </c>
      <c r="N46" s="146">
        <v>516</v>
      </c>
      <c r="O46" s="144">
        <v>65659</v>
      </c>
      <c r="P46" s="144">
        <f t="shared" si="13"/>
        <v>8253.2054795599834</v>
      </c>
      <c r="Q46" s="144">
        <v>16538.183641880001</v>
      </c>
      <c r="R46" s="144">
        <v>40332.376722260015</v>
      </c>
      <c r="S46" s="147">
        <v>535.2341563</v>
      </c>
      <c r="T46" s="144">
        <v>8863</v>
      </c>
      <c r="U46" s="144">
        <f t="shared" si="14"/>
        <v>5109.5739199999998</v>
      </c>
      <c r="V46" s="144">
        <f t="shared" si="15"/>
        <v>893.07600000000002</v>
      </c>
      <c r="W46" s="144">
        <f t="shared" si="16"/>
        <v>2507.9375900000005</v>
      </c>
      <c r="X46" s="144">
        <f t="shared" si="25"/>
        <v>352.41248999999999</v>
      </c>
      <c r="Z46" s="282">
        <v>1060241</v>
      </c>
      <c r="AA46" s="284">
        <f t="shared" si="27"/>
        <v>100000</v>
      </c>
      <c r="AB46" s="200">
        <v>15500</v>
      </c>
      <c r="AF46" s="201">
        <v>7083.33</v>
      </c>
      <c r="AG46" s="201">
        <f t="shared" si="0"/>
        <v>93</v>
      </c>
      <c r="AI46" s="278">
        <v>93</v>
      </c>
      <c r="AL46" s="201">
        <f t="shared" si="24"/>
        <v>0</v>
      </c>
      <c r="AM46" s="201">
        <f t="shared" si="24"/>
        <v>0</v>
      </c>
      <c r="AQ46" s="285">
        <f t="shared" si="26"/>
        <v>7176.33</v>
      </c>
      <c r="AR46" s="285"/>
      <c r="AS46" s="285"/>
      <c r="AT46" s="286"/>
      <c r="AU46" s="252">
        <v>2135.35</v>
      </c>
      <c r="AV46" s="253">
        <f t="shared" si="28"/>
        <v>8863</v>
      </c>
      <c r="AW46" s="253">
        <f t="shared" si="31"/>
        <v>66598</v>
      </c>
      <c r="AX46" s="252">
        <f t="shared" si="21"/>
        <v>41957.442000000003</v>
      </c>
      <c r="AY46" s="252">
        <f t="shared" si="21"/>
        <v>266.392</v>
      </c>
      <c r="AZ46" s="278">
        <v>255</v>
      </c>
      <c r="BC46" s="256">
        <f t="shared" si="33"/>
        <v>44359.184000000001</v>
      </c>
      <c r="BE46" s="287" t="s">
        <v>320</v>
      </c>
      <c r="BF46" s="292">
        <f>O46</f>
        <v>65659</v>
      </c>
      <c r="BG46" s="245">
        <v>0.04</v>
      </c>
      <c r="BH46" s="246">
        <f t="shared" si="6"/>
        <v>2626.36</v>
      </c>
      <c r="BI46" s="210">
        <v>3399.52</v>
      </c>
      <c r="BJ46" s="291">
        <f>BJ45-BI46-BH46+60000</f>
        <v>62135.21</v>
      </c>
      <c r="BL46" s="247">
        <f t="shared" si="1"/>
        <v>1060241</v>
      </c>
      <c r="BM46" s="251">
        <f t="shared" si="34"/>
        <v>31700.18895346667</v>
      </c>
      <c r="BN46" s="248">
        <f t="shared" si="35"/>
        <v>19835.325046533333</v>
      </c>
      <c r="BO46" s="216">
        <f t="shared" si="19"/>
        <v>51535.514000000003</v>
      </c>
      <c r="BP46" s="294" t="str">
        <f t="shared" si="8"/>
        <v>E194CC-2308-1</v>
      </c>
      <c r="BQ46" s="250">
        <f t="shared" si="36"/>
        <v>3729.6482191823993</v>
      </c>
      <c r="BR46" s="250">
        <f t="shared" si="10"/>
        <v>2296.2317808176008</v>
      </c>
      <c r="BS46" s="216">
        <f t="shared" si="11"/>
        <v>6025.88</v>
      </c>
    </row>
    <row r="47" spans="1:71" x14ac:dyDescent="0.25">
      <c r="A47" s="167">
        <f t="shared" si="29"/>
        <v>45170</v>
      </c>
      <c r="B47" s="166">
        <v>39.17</v>
      </c>
      <c r="C47" s="135">
        <v>100000</v>
      </c>
      <c r="D47" s="136">
        <v>6.0000000000000001E-3</v>
      </c>
      <c r="E47" s="137">
        <v>6.0000000000000001E-3</v>
      </c>
      <c r="F47" s="137"/>
      <c r="G47" s="138">
        <v>4.734</v>
      </c>
      <c r="H47" s="138">
        <v>4.0000000000000001E-3</v>
      </c>
      <c r="I47" s="139">
        <v>3.49E-3</v>
      </c>
      <c r="J47" s="141">
        <f t="shared" ref="J47:J62" si="37">SUM(K47:N47)</f>
        <v>60149</v>
      </c>
      <c r="K47" s="141">
        <v>6500</v>
      </c>
      <c r="L47" s="141">
        <v>15990</v>
      </c>
      <c r="M47" s="141">
        <v>37254</v>
      </c>
      <c r="N47" s="146">
        <v>405</v>
      </c>
      <c r="O47" s="144">
        <v>58647</v>
      </c>
      <c r="P47" s="144">
        <f t="shared" si="13"/>
        <v>4979.015969019988</v>
      </c>
      <c r="Q47" s="144">
        <v>15823.066666040007</v>
      </c>
      <c r="R47" s="144">
        <v>37445.423004980003</v>
      </c>
      <c r="S47" s="147">
        <v>399.49435995999988</v>
      </c>
      <c r="T47" s="144">
        <v>8863</v>
      </c>
      <c r="U47" s="144">
        <f t="shared" si="14"/>
        <v>5109.5739199999998</v>
      </c>
      <c r="V47" s="144">
        <f t="shared" si="15"/>
        <v>893.07600000000002</v>
      </c>
      <c r="W47" s="144">
        <f t="shared" si="16"/>
        <v>2507.9375900000005</v>
      </c>
      <c r="X47" s="144">
        <f t="shared" si="25"/>
        <v>352.41248999999999</v>
      </c>
      <c r="Z47" s="282">
        <v>1066303</v>
      </c>
      <c r="AA47" s="284">
        <f t="shared" si="27"/>
        <v>100000</v>
      </c>
      <c r="AB47" s="200">
        <v>12429</v>
      </c>
      <c r="AF47" s="201">
        <v>7083.33</v>
      </c>
      <c r="AG47" s="201">
        <f t="shared" si="0"/>
        <v>74.573999999999998</v>
      </c>
      <c r="AI47" s="278">
        <v>61</v>
      </c>
      <c r="AL47" s="201">
        <f t="shared" si="24"/>
        <v>0</v>
      </c>
      <c r="AM47" s="201">
        <f t="shared" si="24"/>
        <v>0</v>
      </c>
      <c r="AQ47" s="285">
        <f t="shared" si="26"/>
        <v>7157.9039999999995</v>
      </c>
      <c r="AR47" s="285"/>
      <c r="AS47" s="285"/>
      <c r="AT47" s="286"/>
      <c r="AU47" s="252">
        <v>2135.35</v>
      </c>
      <c r="AV47" s="253">
        <f t="shared" si="28"/>
        <v>8863</v>
      </c>
      <c r="AW47" s="253">
        <f t="shared" si="31"/>
        <v>60149</v>
      </c>
      <c r="AX47" s="252">
        <f t="shared" si="21"/>
        <v>41957.442000000003</v>
      </c>
      <c r="AY47" s="252">
        <f t="shared" si="21"/>
        <v>240.596</v>
      </c>
      <c r="AZ47" s="278">
        <v>221</v>
      </c>
      <c r="BC47" s="256">
        <f t="shared" si="33"/>
        <v>44333.387999999999</v>
      </c>
      <c r="BE47" s="287" t="s">
        <v>321</v>
      </c>
      <c r="BF47" s="292">
        <f>O47</f>
        <v>58647</v>
      </c>
      <c r="BG47" s="245">
        <v>0.04</v>
      </c>
      <c r="BH47" s="246">
        <f t="shared" si="6"/>
        <v>2345.88</v>
      </c>
      <c r="BI47" s="210">
        <v>3399.52</v>
      </c>
      <c r="BJ47" s="291">
        <f t="shared" ref="BJ47:BJ51" si="38">BJ46-BI47-BH47</f>
        <v>56389.810000000005</v>
      </c>
      <c r="BL47" s="247">
        <f t="shared" si="1"/>
        <v>1066303</v>
      </c>
      <c r="BM47" s="251">
        <f t="shared" si="34"/>
        <v>31603.383475210805</v>
      </c>
      <c r="BN47" s="248">
        <f t="shared" si="35"/>
        <v>19887.9085247892</v>
      </c>
      <c r="BO47" s="216">
        <f t="shared" si="19"/>
        <v>51491.292000000001</v>
      </c>
      <c r="BP47" s="294" t="str">
        <f t="shared" si="8"/>
        <v>E194CC-2309-1</v>
      </c>
      <c r="BQ47" s="250">
        <f t="shared" si="36"/>
        <v>3598.6806387607994</v>
      </c>
      <c r="BR47" s="250">
        <f t="shared" si="10"/>
        <v>2146.7193612392007</v>
      </c>
      <c r="BS47" s="216">
        <f t="shared" si="11"/>
        <v>5745.4</v>
      </c>
    </row>
    <row r="48" spans="1:71" x14ac:dyDescent="0.25">
      <c r="A48" s="167">
        <f t="shared" si="29"/>
        <v>45200</v>
      </c>
      <c r="B48" s="166">
        <v>39.17</v>
      </c>
      <c r="C48" s="135">
        <v>100000</v>
      </c>
      <c r="D48" s="136">
        <v>6.0000000000000001E-3</v>
      </c>
      <c r="E48" s="137">
        <v>6.0000000000000001E-3</v>
      </c>
      <c r="F48" s="137"/>
      <c r="G48" s="138">
        <v>4.734</v>
      </c>
      <c r="H48" s="138">
        <v>4.0000000000000001E-3</v>
      </c>
      <c r="I48" s="139">
        <v>3.49E-3</v>
      </c>
      <c r="J48" s="141">
        <f t="shared" si="37"/>
        <v>86838</v>
      </c>
      <c r="K48" s="140">
        <v>23942</v>
      </c>
      <c r="L48" s="140">
        <v>16758</v>
      </c>
      <c r="M48" s="140">
        <v>45594</v>
      </c>
      <c r="N48" s="142">
        <v>544</v>
      </c>
      <c r="O48" s="143">
        <v>89750</v>
      </c>
      <c r="P48" s="144">
        <f t="shared" si="13"/>
        <v>25708.405517020004</v>
      </c>
      <c r="Q48" s="143">
        <v>16924.435094880006</v>
      </c>
      <c r="R48" s="143">
        <v>46415.285319219998</v>
      </c>
      <c r="S48" s="145">
        <v>701.87406887999998</v>
      </c>
      <c r="T48" s="144">
        <v>8863</v>
      </c>
      <c r="U48" s="144">
        <f t="shared" si="14"/>
        <v>5109.5739199999998</v>
      </c>
      <c r="V48" s="144">
        <f t="shared" si="15"/>
        <v>893.07600000000002</v>
      </c>
      <c r="W48" s="144">
        <f t="shared" si="16"/>
        <v>2507.9375900000005</v>
      </c>
      <c r="X48" s="144">
        <f t="shared" si="25"/>
        <v>352.41248999999999</v>
      </c>
      <c r="Z48" s="282">
        <v>1072257</v>
      </c>
      <c r="AA48" s="284">
        <f t="shared" si="27"/>
        <v>100000</v>
      </c>
      <c r="AD48" s="200">
        <v>2559</v>
      </c>
      <c r="AF48" s="201">
        <v>7083.33</v>
      </c>
      <c r="AG48" s="201">
        <f t="shared" si="0"/>
        <v>0</v>
      </c>
      <c r="AL48" s="201">
        <f t="shared" si="24"/>
        <v>15.354000000000001</v>
      </c>
      <c r="AM48" s="201">
        <f t="shared" si="24"/>
        <v>0</v>
      </c>
      <c r="AN48" s="278">
        <v>16</v>
      </c>
      <c r="AQ48" s="285">
        <f t="shared" si="26"/>
        <v>7098.6840000000002</v>
      </c>
      <c r="AR48" s="285"/>
      <c r="AS48" s="285"/>
      <c r="AT48" s="286"/>
      <c r="AU48" s="252">
        <v>2135.35</v>
      </c>
      <c r="AV48" s="253">
        <f t="shared" si="28"/>
        <v>8863</v>
      </c>
      <c r="AW48" s="253">
        <f t="shared" si="31"/>
        <v>86838</v>
      </c>
      <c r="AX48" s="252">
        <f t="shared" si="21"/>
        <v>41957.442000000003</v>
      </c>
      <c r="AY48" s="252">
        <f t="shared" si="21"/>
        <v>347.35200000000003</v>
      </c>
      <c r="AZ48" s="278">
        <v>291</v>
      </c>
      <c r="BC48" s="256">
        <f t="shared" si="33"/>
        <v>44440.144</v>
      </c>
      <c r="BE48" s="287" t="s">
        <v>322</v>
      </c>
      <c r="BF48" s="292">
        <v>89750</v>
      </c>
      <c r="BG48" s="245">
        <v>0.04</v>
      </c>
      <c r="BH48" s="246">
        <f t="shared" si="6"/>
        <v>3590</v>
      </c>
      <c r="BI48" s="210">
        <v>3399.52</v>
      </c>
      <c r="BJ48" s="291">
        <f t="shared" si="38"/>
        <v>49400.290000000008</v>
      </c>
      <c r="BL48" s="247">
        <f t="shared" si="1"/>
        <v>1072257</v>
      </c>
      <c r="BM48" s="251">
        <f t="shared" si="34"/>
        <v>31971.909704317473</v>
      </c>
      <c r="BN48" s="248">
        <f t="shared" si="35"/>
        <v>19566.918295682532</v>
      </c>
      <c r="BO48" s="216">
        <f t="shared" si="19"/>
        <v>51538.828000000009</v>
      </c>
      <c r="BP48" s="294" t="str">
        <f t="shared" si="8"/>
        <v>E194CC-2310-1</v>
      </c>
      <c r="BQ48" s="250">
        <f t="shared" si="36"/>
        <v>4427.8562206808001</v>
      </c>
      <c r="BR48" s="250">
        <f t="shared" si="10"/>
        <v>2561.6637793192003</v>
      </c>
      <c r="BS48" s="216">
        <f t="shared" si="11"/>
        <v>6989.52</v>
      </c>
    </row>
    <row r="49" spans="1:71" x14ac:dyDescent="0.25">
      <c r="A49" s="167">
        <f t="shared" si="29"/>
        <v>45231</v>
      </c>
      <c r="B49" s="166">
        <v>39.17</v>
      </c>
      <c r="C49" s="135">
        <v>100000</v>
      </c>
      <c r="D49" s="136">
        <v>6.0000000000000001E-3</v>
      </c>
      <c r="E49" s="137">
        <v>6.0000000000000001E-3</v>
      </c>
      <c r="F49" s="137"/>
      <c r="G49" s="138">
        <v>4.734</v>
      </c>
      <c r="H49" s="138">
        <v>4.0000000000000001E-3</v>
      </c>
      <c r="I49" s="139">
        <v>8.3499999999999998E-3</v>
      </c>
      <c r="J49" s="141">
        <f t="shared" si="37"/>
        <v>160775</v>
      </c>
      <c r="K49" s="141">
        <v>90815</v>
      </c>
      <c r="L49" s="141">
        <v>16000</v>
      </c>
      <c r="M49" s="141">
        <v>51990</v>
      </c>
      <c r="N49" s="146">
        <v>1970</v>
      </c>
      <c r="O49" s="144">
        <v>159561</v>
      </c>
      <c r="P49" s="144">
        <f t="shared" si="13"/>
        <v>89966.213198459984</v>
      </c>
      <c r="Q49" s="144">
        <v>15942.252828679999</v>
      </c>
      <c r="R49" s="144">
        <v>51736.726765980013</v>
      </c>
      <c r="S49" s="147">
        <v>1915.8072068800004</v>
      </c>
      <c r="T49" s="144">
        <v>8863</v>
      </c>
      <c r="U49" s="144">
        <f t="shared" si="14"/>
        <v>5109.5739199999998</v>
      </c>
      <c r="V49" s="144">
        <f t="shared" si="15"/>
        <v>893.07600000000002</v>
      </c>
      <c r="W49" s="144">
        <f t="shared" si="16"/>
        <v>2507.9375900000005</v>
      </c>
      <c r="X49" s="144">
        <f t="shared" si="25"/>
        <v>352.41248999999999</v>
      </c>
      <c r="Z49" s="282">
        <v>1080182</v>
      </c>
      <c r="AA49" s="284">
        <f t="shared" si="27"/>
        <v>100000</v>
      </c>
      <c r="AD49" s="200">
        <v>13082</v>
      </c>
      <c r="AF49" s="201">
        <v>7083.33</v>
      </c>
      <c r="AG49" s="201">
        <f t="shared" si="0"/>
        <v>0</v>
      </c>
      <c r="AL49" s="201">
        <f t="shared" si="24"/>
        <v>78.492000000000004</v>
      </c>
      <c r="AM49" s="201">
        <f t="shared" si="24"/>
        <v>0</v>
      </c>
      <c r="AN49" s="278">
        <v>77</v>
      </c>
      <c r="AQ49" s="285">
        <f t="shared" si="26"/>
        <v>7161.8220000000001</v>
      </c>
      <c r="AR49" s="285"/>
      <c r="AS49" s="285"/>
      <c r="AT49" s="286"/>
      <c r="AU49" s="252">
        <v>2135.35</v>
      </c>
      <c r="AV49" s="253">
        <f t="shared" si="28"/>
        <v>8863</v>
      </c>
      <c r="AW49" s="253">
        <f t="shared" si="31"/>
        <v>160775</v>
      </c>
      <c r="AX49" s="252">
        <f t="shared" si="21"/>
        <v>41957.442000000003</v>
      </c>
      <c r="AY49" s="252">
        <f t="shared" si="21"/>
        <v>643.1</v>
      </c>
      <c r="AZ49" s="278">
        <v>1353</v>
      </c>
      <c r="BC49" s="256">
        <f t="shared" si="33"/>
        <v>44735.892</v>
      </c>
      <c r="BE49" s="287" t="s">
        <v>323</v>
      </c>
      <c r="BF49" s="292">
        <v>159561</v>
      </c>
      <c r="BG49" s="245">
        <v>0.04</v>
      </c>
      <c r="BH49" s="246">
        <f t="shared" si="6"/>
        <v>6382.4400000000005</v>
      </c>
      <c r="BI49" s="210">
        <v>3399.52</v>
      </c>
      <c r="BJ49" s="291">
        <f t="shared" si="38"/>
        <v>39618.330000000009</v>
      </c>
      <c r="BL49" s="247">
        <f t="shared" si="1"/>
        <v>1080182</v>
      </c>
      <c r="BM49" s="251">
        <f t="shared" si="34"/>
        <v>32919.97387057187</v>
      </c>
      <c r="BN49" s="248">
        <f t="shared" si="35"/>
        <v>18977.740129428137</v>
      </c>
      <c r="BO49" s="216">
        <f t="shared" si="19"/>
        <v>51897.714000000007</v>
      </c>
      <c r="BP49" s="294" t="str">
        <f t="shared" si="8"/>
        <v>E194CC-2311-1</v>
      </c>
      <c r="BQ49" s="250">
        <f t="shared" si="36"/>
        <v>6998.1685279384001</v>
      </c>
      <c r="BR49" s="250">
        <f t="shared" si="10"/>
        <v>2783.7914720616</v>
      </c>
      <c r="BS49" s="216">
        <f t="shared" si="11"/>
        <v>9781.9599999999991</v>
      </c>
    </row>
    <row r="50" spans="1:71" x14ac:dyDescent="0.25">
      <c r="A50" s="167">
        <f t="shared" si="29"/>
        <v>45261</v>
      </c>
      <c r="B50" s="166">
        <v>39.17</v>
      </c>
      <c r="C50" s="135">
        <v>100000</v>
      </c>
      <c r="D50" s="136">
        <v>6.0000000000000001E-3</v>
      </c>
      <c r="E50" s="137">
        <v>6.0000000000000001E-3</v>
      </c>
      <c r="F50" s="137"/>
      <c r="G50" s="138">
        <v>4.734</v>
      </c>
      <c r="H50" s="138">
        <v>4.0000000000000001E-3</v>
      </c>
      <c r="I50" s="139">
        <v>8.3499999999999998E-3</v>
      </c>
      <c r="J50" s="141">
        <f t="shared" si="37"/>
        <v>133639</v>
      </c>
      <c r="K50" s="141">
        <v>59113</v>
      </c>
      <c r="L50" s="141">
        <v>16922</v>
      </c>
      <c r="M50" s="141">
        <v>55517</v>
      </c>
      <c r="N50" s="146">
        <v>2087</v>
      </c>
      <c r="O50" s="144">
        <v>132281</v>
      </c>
      <c r="P50" s="144">
        <f t="shared" si="13"/>
        <v>57886.763001039995</v>
      </c>
      <c r="Q50" s="144">
        <v>16931.056548360004</v>
      </c>
      <c r="R50" s="144">
        <v>55318.933098659996</v>
      </c>
      <c r="S50" s="147">
        <v>2144.24735194</v>
      </c>
      <c r="T50" s="144">
        <v>8863</v>
      </c>
      <c r="U50" s="144">
        <f t="shared" si="14"/>
        <v>5109.5739199999998</v>
      </c>
      <c r="V50" s="144">
        <f t="shared" si="15"/>
        <v>893.07600000000002</v>
      </c>
      <c r="W50" s="144">
        <f t="shared" si="16"/>
        <v>2507.9375900000005</v>
      </c>
      <c r="X50" s="144">
        <f t="shared" si="25"/>
        <v>352.41248999999999</v>
      </c>
      <c r="Z50" s="282">
        <v>1085627</v>
      </c>
      <c r="AA50" s="284">
        <f t="shared" si="27"/>
        <v>100000</v>
      </c>
      <c r="AB50" s="200">
        <v>1500</v>
      </c>
      <c r="AD50" s="200">
        <v>5762</v>
      </c>
      <c r="AF50" s="201">
        <v>7083.33</v>
      </c>
      <c r="AG50" s="201">
        <f t="shared" si="0"/>
        <v>9</v>
      </c>
      <c r="AI50" s="278">
        <v>9</v>
      </c>
      <c r="AL50" s="201">
        <f t="shared" si="24"/>
        <v>34.572000000000003</v>
      </c>
      <c r="AM50" s="201">
        <f t="shared" si="24"/>
        <v>0</v>
      </c>
      <c r="AN50" s="278">
        <v>35</v>
      </c>
      <c r="AQ50" s="285">
        <f t="shared" si="26"/>
        <v>7126.902</v>
      </c>
      <c r="AR50" s="285"/>
      <c r="AS50" s="285"/>
      <c r="AT50" s="286"/>
      <c r="AU50" s="252">
        <v>2135.35</v>
      </c>
      <c r="AV50" s="253">
        <f t="shared" si="28"/>
        <v>8863</v>
      </c>
      <c r="AW50" s="253">
        <f t="shared" si="31"/>
        <v>133639</v>
      </c>
      <c r="AX50" s="252">
        <f t="shared" si="21"/>
        <v>41957.442000000003</v>
      </c>
      <c r="AY50" s="252">
        <f t="shared" si="21"/>
        <v>534.55600000000004</v>
      </c>
      <c r="AZ50" s="278">
        <v>1132</v>
      </c>
      <c r="BC50" s="256">
        <f t="shared" si="33"/>
        <v>44627.347999999998</v>
      </c>
      <c r="BE50" s="287" t="s">
        <v>324</v>
      </c>
      <c r="BF50" s="292">
        <v>132281</v>
      </c>
      <c r="BG50" s="245">
        <v>0.04</v>
      </c>
      <c r="BH50" s="246">
        <f t="shared" si="6"/>
        <v>5291.24</v>
      </c>
      <c r="BI50" s="210">
        <v>3399.52</v>
      </c>
      <c r="BJ50" s="291">
        <f t="shared" si="38"/>
        <v>30927.570000000014</v>
      </c>
      <c r="BL50" s="247">
        <f t="shared" si="1"/>
        <v>1085627</v>
      </c>
      <c r="BM50" s="251">
        <f t="shared" si="34"/>
        <v>32496.613670943076</v>
      </c>
      <c r="BN50" s="248">
        <f t="shared" si="35"/>
        <v>19257.636329056924</v>
      </c>
      <c r="BO50" s="216">
        <f t="shared" si="19"/>
        <v>51754.25</v>
      </c>
      <c r="BP50" s="294" t="str">
        <f t="shared" si="8"/>
        <v>E194CC-2312-1</v>
      </c>
      <c r="BQ50" s="250">
        <f>P50*BG50+BI50</f>
        <v>5714.9905200415997</v>
      </c>
      <c r="BR50" s="250">
        <f>(Q50+R50+S50)*BG50</f>
        <v>2975.7694799584001</v>
      </c>
      <c r="BS50" s="216">
        <f>BQ50+BR50</f>
        <v>8690.76</v>
      </c>
    </row>
    <row r="51" spans="1:71" x14ac:dyDescent="0.25">
      <c r="A51" s="167">
        <f t="shared" si="29"/>
        <v>45292</v>
      </c>
      <c r="B51" s="166">
        <v>39.17</v>
      </c>
      <c r="C51" s="135">
        <v>100000</v>
      </c>
      <c r="D51" s="136">
        <v>6.0000000000000001E-3</v>
      </c>
      <c r="E51" s="137">
        <v>6.0000000000000001E-3</v>
      </c>
      <c r="F51" s="137">
        <v>4.1000000000000002E-2</v>
      </c>
      <c r="G51" s="138">
        <v>4.734</v>
      </c>
      <c r="H51" s="138">
        <v>4.0000000000000001E-3</v>
      </c>
      <c r="I51" s="139">
        <v>8.3499999999999998E-3</v>
      </c>
      <c r="J51" s="141">
        <f t="shared" si="37"/>
        <v>143553</v>
      </c>
      <c r="K51" s="141">
        <v>63174</v>
      </c>
      <c r="L51" s="141">
        <v>18410</v>
      </c>
      <c r="M51" s="141">
        <v>59139</v>
      </c>
      <c r="N51" s="146">
        <v>2830</v>
      </c>
      <c r="O51" s="144">
        <v>143233</v>
      </c>
      <c r="P51" s="144">
        <f t="shared" si="13"/>
        <v>63197.284636079996</v>
      </c>
      <c r="Q51" s="144">
        <v>18514.68750566</v>
      </c>
      <c r="R51" s="144">
        <v>58780.849693120006</v>
      </c>
      <c r="S51" s="147">
        <v>2740.1781651399997</v>
      </c>
      <c r="T51" s="144">
        <v>8863</v>
      </c>
      <c r="U51" s="144">
        <f t="shared" si="14"/>
        <v>5109.5739199999998</v>
      </c>
      <c r="V51" s="144">
        <f t="shared" si="15"/>
        <v>893.07600000000002</v>
      </c>
      <c r="W51" s="144">
        <f t="shared" si="16"/>
        <v>2507.9375900000005</v>
      </c>
      <c r="X51" s="144">
        <f t="shared" si="25"/>
        <v>352.41248999999999</v>
      </c>
      <c r="Z51" s="282">
        <v>1091701</v>
      </c>
      <c r="AA51" s="284">
        <f t="shared" si="27"/>
        <v>100000</v>
      </c>
      <c r="AB51" s="200">
        <v>902</v>
      </c>
      <c r="AD51" s="200">
        <v>14722</v>
      </c>
      <c r="AF51" s="201">
        <v>7083.33</v>
      </c>
      <c r="AG51" s="201">
        <f t="shared" si="0"/>
        <v>5.4119999999999999</v>
      </c>
      <c r="AI51" s="278">
        <v>5</v>
      </c>
      <c r="AL51" s="201">
        <f t="shared" si="24"/>
        <v>88.332000000000008</v>
      </c>
      <c r="AM51" s="201">
        <f t="shared" si="24"/>
        <v>0</v>
      </c>
      <c r="AN51" s="278">
        <v>84</v>
      </c>
      <c r="AQ51" s="285">
        <f t="shared" si="26"/>
        <v>7177.0740000000005</v>
      </c>
      <c r="AR51" s="285"/>
      <c r="AS51" s="285"/>
      <c r="AT51" s="286"/>
      <c r="AU51" s="252">
        <v>2135.35</v>
      </c>
      <c r="AV51" s="253">
        <f t="shared" si="28"/>
        <v>8863</v>
      </c>
      <c r="AW51" s="253">
        <f t="shared" si="31"/>
        <v>143553</v>
      </c>
      <c r="AX51" s="252">
        <f t="shared" si="21"/>
        <v>41957.442000000003</v>
      </c>
      <c r="AY51" s="252">
        <f t="shared" si="21"/>
        <v>574.21199999999999</v>
      </c>
      <c r="AZ51" s="278">
        <v>1132</v>
      </c>
      <c r="BC51" s="256">
        <f t="shared" si="33"/>
        <v>44667.004000000001</v>
      </c>
      <c r="BE51" s="287" t="s">
        <v>325</v>
      </c>
      <c r="BF51" s="292">
        <v>143233</v>
      </c>
      <c r="BG51" s="245">
        <v>0.04</v>
      </c>
      <c r="BH51" s="246">
        <f t="shared" si="6"/>
        <v>5729.32</v>
      </c>
      <c r="BI51" s="210">
        <v>3399.52</v>
      </c>
      <c r="BJ51" s="291">
        <f t="shared" si="38"/>
        <v>21798.730000000014</v>
      </c>
      <c r="BL51" s="247">
        <f t="shared" si="1"/>
        <v>1091701</v>
      </c>
      <c r="BM51" s="251">
        <f t="shared" si="34"/>
        <v>32558.205802214903</v>
      </c>
      <c r="BN51" s="248">
        <f t="shared" si="35"/>
        <v>19285.872197785102</v>
      </c>
      <c r="BO51" s="216">
        <f t="shared" si="19"/>
        <v>51844.078000000009</v>
      </c>
      <c r="BP51" s="294" t="str">
        <f t="shared" si="8"/>
        <v>E194CC-2401-1</v>
      </c>
      <c r="BQ51" s="250">
        <f>P51*BG51+BI51</f>
        <v>5927.4113854431998</v>
      </c>
      <c r="BR51" s="250">
        <f>(Q51+R51+S51)*BG51</f>
        <v>3201.4286145567999</v>
      </c>
      <c r="BS51" s="216">
        <f>BQ51+BR51</f>
        <v>9128.84</v>
      </c>
    </row>
    <row r="52" spans="1:71" x14ac:dyDescent="0.25">
      <c r="A52" s="167">
        <f t="shared" si="29"/>
        <v>45323</v>
      </c>
      <c r="B52" s="166">
        <v>39.17</v>
      </c>
      <c r="C52" s="135">
        <v>100000</v>
      </c>
      <c r="D52" s="136">
        <v>6.0000000000000001E-3</v>
      </c>
      <c r="E52" s="137">
        <v>6.0000000000000001E-3</v>
      </c>
      <c r="F52" s="137">
        <v>4.1000000000000002E-2</v>
      </c>
      <c r="G52" s="138">
        <v>4.734</v>
      </c>
      <c r="H52" s="138">
        <v>4.0000000000000001E-3</v>
      </c>
      <c r="I52" s="139">
        <v>8.3499999999999998E-3</v>
      </c>
      <c r="J52" s="141">
        <f t="shared" si="37"/>
        <v>115976</v>
      </c>
      <c r="K52" s="141">
        <v>51034</v>
      </c>
      <c r="L52" s="141">
        <v>16080</v>
      </c>
      <c r="M52" s="141">
        <v>46550</v>
      </c>
      <c r="N52" s="146">
        <v>2312</v>
      </c>
      <c r="O52" s="144">
        <v>117211</v>
      </c>
      <c r="P52" s="144">
        <f t="shared" si="13"/>
        <v>52160.737436899995</v>
      </c>
      <c r="Q52" s="144">
        <v>15980.877973980003</v>
      </c>
      <c r="R52" s="144">
        <v>46724.286481619994</v>
      </c>
      <c r="S52" s="147">
        <v>2345.0981075000004</v>
      </c>
      <c r="T52" s="144">
        <v>8863</v>
      </c>
      <c r="U52" s="144">
        <f t="shared" si="14"/>
        <v>5109.5739199999998</v>
      </c>
      <c r="V52" s="144">
        <f t="shared" si="15"/>
        <v>893.07600000000002</v>
      </c>
      <c r="W52" s="144">
        <f t="shared" si="16"/>
        <v>2507.9375900000005</v>
      </c>
      <c r="X52" s="144">
        <f t="shared" si="25"/>
        <v>352.41248999999999</v>
      </c>
      <c r="Z52" s="282">
        <v>1095016</v>
      </c>
      <c r="AA52" s="284">
        <f t="shared" si="27"/>
        <v>100000</v>
      </c>
      <c r="AB52" s="200">
        <v>845</v>
      </c>
      <c r="AD52" s="200">
        <v>15913</v>
      </c>
      <c r="AF52" s="201">
        <v>7083.33</v>
      </c>
      <c r="AG52" s="201">
        <f t="shared" si="0"/>
        <v>5.07</v>
      </c>
      <c r="AI52" s="278">
        <v>5</v>
      </c>
      <c r="AL52" s="201">
        <f t="shared" si="24"/>
        <v>95.478000000000009</v>
      </c>
      <c r="AM52" s="201">
        <f t="shared" si="24"/>
        <v>0</v>
      </c>
      <c r="AQ52" s="285">
        <f t="shared" si="26"/>
        <v>7183.8779999999997</v>
      </c>
      <c r="AR52" s="295">
        <v>104</v>
      </c>
      <c r="AS52" s="295">
        <v>1.3895999999999999</v>
      </c>
      <c r="AT52" s="286">
        <f>AR52*AS52*0.2</f>
        <v>28.903679999999998</v>
      </c>
      <c r="AU52" s="252">
        <v>2135.35</v>
      </c>
      <c r="AV52" s="253">
        <f t="shared" si="28"/>
        <v>8863</v>
      </c>
      <c r="AW52" s="253">
        <f t="shared" si="31"/>
        <v>115976</v>
      </c>
      <c r="AX52" s="252">
        <f t="shared" si="21"/>
        <v>41957.442000000003</v>
      </c>
      <c r="AY52" s="252">
        <f t="shared" si="21"/>
        <v>463.904</v>
      </c>
      <c r="AZ52" s="278">
        <v>976</v>
      </c>
      <c r="BC52" s="256">
        <f t="shared" si="33"/>
        <v>44556.696000000004</v>
      </c>
      <c r="BE52" s="287" t="s">
        <v>326</v>
      </c>
      <c r="BF52" s="292">
        <v>117211</v>
      </c>
      <c r="BG52" s="245">
        <v>0.04</v>
      </c>
      <c r="BH52" s="246">
        <f t="shared" si="6"/>
        <v>4688.4400000000005</v>
      </c>
      <c r="BI52" s="210">
        <v>3399.52</v>
      </c>
      <c r="BJ52" s="291">
        <f>BJ51-BI52-BH52</f>
        <v>13710.770000000013</v>
      </c>
      <c r="BL52" s="247">
        <f t="shared" si="1"/>
        <v>1095016</v>
      </c>
      <c r="BM52" s="251">
        <f t="shared" si="34"/>
        <v>32516.374895995592</v>
      </c>
      <c r="BN52" s="248">
        <f t="shared" si="35"/>
        <v>19224.199104004409</v>
      </c>
      <c r="BO52" s="216">
        <f t="shared" si="19"/>
        <v>51740.574000000001</v>
      </c>
      <c r="BP52" s="294" t="str">
        <f t="shared" si="8"/>
        <v>E194CC-2402-1</v>
      </c>
      <c r="BQ52" s="250">
        <f>P52*BG52+BI52</f>
        <v>5485.949497476</v>
      </c>
      <c r="BR52" s="250">
        <f>(Q52+R52+S52)*BG52</f>
        <v>2602.010502524</v>
      </c>
      <c r="BS52" s="216">
        <f>BQ52+BR52</f>
        <v>8087.96</v>
      </c>
    </row>
    <row r="53" spans="1:71" x14ac:dyDescent="0.25">
      <c r="A53" s="167">
        <f t="shared" si="29"/>
        <v>45352</v>
      </c>
      <c r="B53" s="166">
        <v>39.17</v>
      </c>
      <c r="C53" s="135">
        <v>100000</v>
      </c>
      <c r="D53" s="136">
        <v>6.0000000000000001E-3</v>
      </c>
      <c r="E53" s="137">
        <v>6.0000000000000001E-3</v>
      </c>
      <c r="F53" s="137">
        <v>4.1000000000000002E-2</v>
      </c>
      <c r="G53" s="138">
        <v>4.734</v>
      </c>
      <c r="H53" s="138">
        <v>4.0000000000000001E-3</v>
      </c>
      <c r="I53" s="139">
        <v>8.3499999999999998E-3</v>
      </c>
      <c r="J53" s="141">
        <f t="shared" si="37"/>
        <v>111827</v>
      </c>
      <c r="K53" s="141">
        <v>44955</v>
      </c>
      <c r="L53" s="141">
        <v>15901</v>
      </c>
      <c r="M53" s="141">
        <v>48715</v>
      </c>
      <c r="N53" s="146">
        <v>2256</v>
      </c>
      <c r="O53" s="144">
        <v>112149</v>
      </c>
      <c r="P53" s="144">
        <f t="shared" si="13"/>
        <v>45434.99762050467</v>
      </c>
      <c r="Q53" s="144">
        <v>15846.241753220003</v>
      </c>
      <c r="R53" s="144">
        <v>48691.961740760009</v>
      </c>
      <c r="S53" s="147">
        <v>2175.7988855153126</v>
      </c>
      <c r="T53" s="144">
        <v>8863</v>
      </c>
      <c r="U53" s="144">
        <f t="shared" si="14"/>
        <v>5109.5739199999998</v>
      </c>
      <c r="V53" s="144">
        <f t="shared" si="15"/>
        <v>893.07600000000002</v>
      </c>
      <c r="W53" s="144">
        <f t="shared" si="16"/>
        <v>2507.9375900000005</v>
      </c>
      <c r="X53" s="144">
        <f t="shared" si="25"/>
        <v>352.41248999999999</v>
      </c>
      <c r="Z53" s="282">
        <v>1098683</v>
      </c>
      <c r="AA53" s="284">
        <f t="shared" si="27"/>
        <v>100000</v>
      </c>
      <c r="AD53" s="200">
        <v>17271</v>
      </c>
      <c r="AF53" s="201">
        <v>7083.33</v>
      </c>
      <c r="AG53" s="201">
        <f t="shared" si="0"/>
        <v>0</v>
      </c>
      <c r="AL53" s="201">
        <f t="shared" si="24"/>
        <v>103.626</v>
      </c>
      <c r="AM53" s="201">
        <f t="shared" si="24"/>
        <v>0</v>
      </c>
      <c r="AN53" s="278">
        <v>103</v>
      </c>
      <c r="AQ53" s="285">
        <f t="shared" si="26"/>
        <v>7186.9560000000001</v>
      </c>
      <c r="AU53" s="252">
        <v>2135.35</v>
      </c>
      <c r="AV53" s="253">
        <f t="shared" si="28"/>
        <v>8863</v>
      </c>
      <c r="AW53" s="253">
        <f t="shared" si="31"/>
        <v>111827</v>
      </c>
      <c r="AX53" s="252">
        <f t="shared" si="21"/>
        <v>41957.442000000003</v>
      </c>
      <c r="AY53" s="252">
        <f t="shared" si="21"/>
        <v>447.30799999999999</v>
      </c>
      <c r="AZ53" s="278">
        <v>931</v>
      </c>
      <c r="BC53" s="256">
        <f t="shared" si="33"/>
        <v>44540.1</v>
      </c>
      <c r="BE53" s="287" t="s">
        <v>327</v>
      </c>
      <c r="BF53" s="292">
        <v>112149</v>
      </c>
      <c r="BG53" s="245">
        <v>0.04</v>
      </c>
      <c r="BH53" s="246">
        <f t="shared" si="6"/>
        <v>4485.96</v>
      </c>
      <c r="BI53" s="210">
        <v>3399.52</v>
      </c>
      <c r="BJ53" s="291">
        <f>BJ52-BI53-BH53</f>
        <v>5825.2900000000127</v>
      </c>
      <c r="BL53" s="247">
        <f t="shared" si="1"/>
        <v>1098683</v>
      </c>
      <c r="BM53" s="251">
        <f t="shared" si="34"/>
        <v>32413.920063215595</v>
      </c>
      <c r="BN53" s="248">
        <f t="shared" si="35"/>
        <v>19313.135936784409</v>
      </c>
      <c r="BO53" s="216">
        <f t="shared" si="19"/>
        <v>51727.056000000004</v>
      </c>
      <c r="BP53" s="294" t="str">
        <f t="shared" si="8"/>
        <v>E194CC-2403-1</v>
      </c>
      <c r="BQ53" s="250">
        <f>P53*BG53+BI53</f>
        <v>5216.9199048201863</v>
      </c>
      <c r="BR53" s="250">
        <f>(Q53+R53+S53)*BG53</f>
        <v>2668.5600951798133</v>
      </c>
      <c r="BS53" s="216">
        <f>BQ53+BR53</f>
        <v>7885.48</v>
      </c>
    </row>
    <row r="54" spans="1:71" x14ac:dyDescent="0.25">
      <c r="A54" s="167">
        <f t="shared" si="29"/>
        <v>45383</v>
      </c>
      <c r="B54" s="166">
        <v>39.17</v>
      </c>
      <c r="C54" s="135">
        <v>100000</v>
      </c>
      <c r="D54" s="136">
        <v>6.0000000000000001E-3</v>
      </c>
      <c r="E54" s="137">
        <v>6.0000000000000001E-3</v>
      </c>
      <c r="F54" s="137">
        <v>4.1000000000000002E-2</v>
      </c>
      <c r="G54" s="138">
        <v>4.734</v>
      </c>
      <c r="H54" s="138">
        <v>4.0000000000000001E-3</v>
      </c>
      <c r="I54" s="139">
        <v>3.49E-3</v>
      </c>
      <c r="J54" s="141">
        <f t="shared" si="37"/>
        <v>90364</v>
      </c>
      <c r="K54" s="141">
        <v>27434</v>
      </c>
      <c r="L54" s="169">
        <v>13980</v>
      </c>
      <c r="M54" s="141">
        <v>47700</v>
      </c>
      <c r="N54" s="146">
        <v>1250</v>
      </c>
      <c r="O54" s="144">
        <v>89066</v>
      </c>
      <c r="P54" s="144">
        <f t="shared" si="13"/>
        <v>26798.955049659984</v>
      </c>
      <c r="Q54" s="144">
        <v>13956.920360260003</v>
      </c>
      <c r="R54" s="144">
        <v>47122.677266000013</v>
      </c>
      <c r="S54" s="147">
        <v>1187.4473240800003</v>
      </c>
      <c r="T54" s="144">
        <v>8863</v>
      </c>
      <c r="U54" s="144">
        <f t="shared" si="14"/>
        <v>5109.5739199999998</v>
      </c>
      <c r="V54" s="144">
        <f t="shared" si="15"/>
        <v>893.07600000000002</v>
      </c>
      <c r="W54" s="144">
        <f t="shared" si="16"/>
        <v>2507.9375900000005</v>
      </c>
      <c r="X54" s="144">
        <f t="shared" si="25"/>
        <v>352.41248999999999</v>
      </c>
      <c r="Z54" s="282">
        <v>1104722</v>
      </c>
      <c r="AA54" s="284">
        <f t="shared" si="27"/>
        <v>100000</v>
      </c>
      <c r="AB54" s="200">
        <v>6896</v>
      </c>
      <c r="AE54" s="200">
        <v>1469</v>
      </c>
      <c r="AF54" s="201">
        <v>7083.33</v>
      </c>
      <c r="AG54" s="201">
        <f t="shared" si="0"/>
        <v>41.375999999999998</v>
      </c>
      <c r="AI54" s="278">
        <v>42</v>
      </c>
      <c r="AL54" s="201">
        <f t="shared" si="24"/>
        <v>0</v>
      </c>
      <c r="AM54" s="201">
        <f t="shared" si="24"/>
        <v>60.228999999999999</v>
      </c>
      <c r="AN54" s="278">
        <v>9</v>
      </c>
      <c r="AQ54" s="285">
        <f t="shared" si="26"/>
        <v>7184.9350000000004</v>
      </c>
      <c r="AU54" s="252">
        <v>2135.35</v>
      </c>
      <c r="AV54" s="253">
        <f t="shared" si="28"/>
        <v>8863</v>
      </c>
      <c r="AW54" s="253">
        <f t="shared" si="31"/>
        <v>90364</v>
      </c>
      <c r="AX54" s="252">
        <f t="shared" si="21"/>
        <v>41957.442000000003</v>
      </c>
      <c r="AY54" s="252">
        <f t="shared" si="21"/>
        <v>361.45600000000002</v>
      </c>
      <c r="AZ54" s="278">
        <v>319</v>
      </c>
      <c r="BA54" s="252">
        <v>26000</v>
      </c>
      <c r="BB54" s="298">
        <v>-1905.97</v>
      </c>
      <c r="BC54" s="256">
        <f t="shared" ref="BC54:BC62" si="39">AU54+AX54+AY54+BA54+BB54</f>
        <v>68548.277999999991</v>
      </c>
      <c r="BE54" s="287" t="s">
        <v>328</v>
      </c>
      <c r="BF54" s="292">
        <v>89066</v>
      </c>
      <c r="BG54" s="245">
        <v>0.04</v>
      </c>
      <c r="BH54" s="246">
        <f t="shared" si="6"/>
        <v>3562.64</v>
      </c>
      <c r="BI54" s="210">
        <v>3399.52</v>
      </c>
      <c r="BJ54" s="291">
        <f t="shared" ref="BJ54:BJ64" si="40">BJ53-BI54-BH54</f>
        <v>-1136.8699999999872</v>
      </c>
      <c r="BL54" s="247">
        <f t="shared" si="1"/>
        <v>1104722</v>
      </c>
      <c r="BM54" s="251">
        <f t="shared" si="34"/>
        <v>32131.674136253041</v>
      </c>
      <c r="BN54" s="248">
        <f t="shared" si="35"/>
        <v>19507.508863746963</v>
      </c>
      <c r="BO54" s="216">
        <f t="shared" si="19"/>
        <v>51639.183000000005</v>
      </c>
      <c r="BP54" s="294" t="str">
        <f t="shared" si="8"/>
        <v>E194CC-2404-1</v>
      </c>
      <c r="BQ54" s="250">
        <f>P54*BG54+BI54</f>
        <v>4471.4782019863997</v>
      </c>
      <c r="BR54" s="250">
        <f>(Q54+R54+S54)*BG54</f>
        <v>2490.6817980136007</v>
      </c>
      <c r="BS54" s="216">
        <f>BQ54+BR54</f>
        <v>6962.16</v>
      </c>
    </row>
    <row r="55" spans="1:71" ht="15.75" x14ac:dyDescent="0.25">
      <c r="A55" s="167">
        <f t="shared" si="29"/>
        <v>45413</v>
      </c>
      <c r="B55" s="166">
        <v>39.17</v>
      </c>
      <c r="C55" s="135">
        <v>100000</v>
      </c>
      <c r="D55" s="136">
        <v>6.0000000000000001E-3</v>
      </c>
      <c r="E55" s="137">
        <v>6.0000000000000001E-3</v>
      </c>
      <c r="F55" s="137">
        <v>4.1000000000000002E-2</v>
      </c>
      <c r="G55" s="138">
        <v>4.8620000000000001</v>
      </c>
      <c r="H55" s="138">
        <v>4.0000000000000001E-3</v>
      </c>
      <c r="I55" s="139">
        <v>3.8700000000000002E-3</v>
      </c>
      <c r="J55" s="141">
        <f t="shared" si="37"/>
        <v>78821</v>
      </c>
      <c r="K55" s="141">
        <v>11102</v>
      </c>
      <c r="L55" s="141">
        <v>14989</v>
      </c>
      <c r="M55" s="141">
        <v>52290</v>
      </c>
      <c r="N55" s="146">
        <v>440</v>
      </c>
      <c r="O55" s="170">
        <v>78037</v>
      </c>
      <c r="P55" s="144">
        <f t="shared" si="13"/>
        <v>10772.964823419976</v>
      </c>
      <c r="Q55" s="144">
        <v>14847.505853320003</v>
      </c>
      <c r="R55" s="144">
        <v>51868.052260000019</v>
      </c>
      <c r="S55" s="147">
        <v>548.47706326000014</v>
      </c>
      <c r="T55" s="144">
        <v>8863</v>
      </c>
      <c r="U55" s="144">
        <f t="shared" si="14"/>
        <v>5109.5739199999998</v>
      </c>
      <c r="V55" s="144">
        <f t="shared" si="15"/>
        <v>893.07600000000002</v>
      </c>
      <c r="W55" s="144">
        <f t="shared" si="16"/>
        <v>2507.9375900000005</v>
      </c>
      <c r="X55" s="144">
        <f t="shared" si="25"/>
        <v>352.41248999999999</v>
      </c>
      <c r="Z55" s="282">
        <v>1110809</v>
      </c>
      <c r="AA55" s="284">
        <f t="shared" si="27"/>
        <v>100000</v>
      </c>
      <c r="AB55" s="200">
        <v>21360</v>
      </c>
      <c r="AF55" s="201">
        <v>7083.33</v>
      </c>
      <c r="AG55" s="201">
        <f t="shared" si="0"/>
        <v>128.16</v>
      </c>
      <c r="AI55" s="278">
        <v>140</v>
      </c>
      <c r="AL55" s="201">
        <f t="shared" ref="AL55:AM62" si="41">AD55*E55</f>
        <v>0</v>
      </c>
      <c r="AM55" s="201">
        <f t="shared" si="41"/>
        <v>0</v>
      </c>
      <c r="AQ55" s="285">
        <f t="shared" si="26"/>
        <v>7211.49</v>
      </c>
      <c r="AU55" s="252">
        <v>2192.9299999999998</v>
      </c>
      <c r="AV55" s="253">
        <f t="shared" si="28"/>
        <v>8863</v>
      </c>
      <c r="AW55" s="253">
        <f t="shared" si="31"/>
        <v>78821</v>
      </c>
      <c r="AX55" s="252">
        <f t="shared" ref="AX55:AY62" si="42">AV55*G55</f>
        <v>43091.906000000003</v>
      </c>
      <c r="AY55" s="252">
        <f t="shared" si="42"/>
        <v>315.28399999999999</v>
      </c>
      <c r="AZ55" s="278">
        <v>301</v>
      </c>
      <c r="BA55" s="298">
        <f>SUM(AV51:AV54)*0.128+612.88</f>
        <v>5150.7359999999999</v>
      </c>
      <c r="BB55" s="298"/>
      <c r="BC55" s="256">
        <f t="shared" si="39"/>
        <v>50750.856</v>
      </c>
      <c r="BE55" s="287" t="s">
        <v>329</v>
      </c>
      <c r="BF55" s="292">
        <f>O55</f>
        <v>78037</v>
      </c>
      <c r="BG55" s="245">
        <v>0.04</v>
      </c>
      <c r="BH55" s="246">
        <f t="shared" si="6"/>
        <v>3121.48</v>
      </c>
      <c r="BI55" s="210">
        <v>3399.52</v>
      </c>
      <c r="BJ55" s="291">
        <f t="shared" si="40"/>
        <v>-7657.8699999999862</v>
      </c>
      <c r="BL55" s="247">
        <f t="shared" si="1"/>
        <v>1110809</v>
      </c>
      <c r="BM55" s="251">
        <f t="shared" si="34"/>
        <v>32407.52231865533</v>
      </c>
      <c r="BN55" s="248">
        <f t="shared" si="35"/>
        <v>20404.087681344678</v>
      </c>
      <c r="BO55" s="216">
        <f t="shared" si="19"/>
        <v>52811.610000000008</v>
      </c>
      <c r="BP55" s="294" t="str">
        <f t="shared" si="8"/>
        <v>E194CC-2405-1</v>
      </c>
      <c r="BQ55" s="250">
        <f t="shared" ref="BQ55:BQ62" si="43">P55*BG55+BI55</f>
        <v>3830.4385929367991</v>
      </c>
      <c r="BR55" s="250">
        <f t="shared" ref="BR55:BR62" si="44">(Q55+R55+S55)*BG55</f>
        <v>2690.5614070632005</v>
      </c>
      <c r="BS55" s="216">
        <f t="shared" ref="BS55:BS62" si="45">BQ55+BR55</f>
        <v>6521</v>
      </c>
    </row>
    <row r="56" spans="1:71" x14ac:dyDescent="0.25">
      <c r="A56" s="167">
        <f t="shared" si="29"/>
        <v>45444</v>
      </c>
      <c r="B56">
        <v>39.17</v>
      </c>
      <c r="C56" s="135">
        <v>100000</v>
      </c>
      <c r="D56" s="136">
        <v>6.0000000000000001E-3</v>
      </c>
      <c r="E56" s="137">
        <v>6.0000000000000001E-3</v>
      </c>
      <c r="F56" s="137">
        <v>4.1000000000000002E-2</v>
      </c>
      <c r="G56" s="138">
        <v>4.8620000000000001</v>
      </c>
      <c r="H56" s="138">
        <v>4.0000000000000001E-3</v>
      </c>
      <c r="I56" s="139">
        <v>3.8700000000000002E-3</v>
      </c>
      <c r="J56" s="141">
        <f t="shared" si="37"/>
        <v>50174</v>
      </c>
      <c r="K56" s="141">
        <v>4500</v>
      </c>
      <c r="L56" s="141">
        <v>14079</v>
      </c>
      <c r="M56" s="141">
        <v>30650</v>
      </c>
      <c r="N56" s="146">
        <v>945</v>
      </c>
      <c r="O56" s="144">
        <v>52610</v>
      </c>
      <c r="P56" s="144">
        <f t="shared" si="13"/>
        <v>5577.8159315599996</v>
      </c>
      <c r="Q56" s="144">
        <v>14291.303761000006</v>
      </c>
      <c r="R56" s="144">
        <v>31820.498273719997</v>
      </c>
      <c r="S56" s="147">
        <v>920.38203372000021</v>
      </c>
      <c r="T56" s="144">
        <v>8863</v>
      </c>
      <c r="U56" s="144">
        <f>T56-V56-W56-X56</f>
        <v>5109.5739199999998</v>
      </c>
      <c r="V56" s="144">
        <f t="shared" si="15"/>
        <v>893.07600000000002</v>
      </c>
      <c r="W56" s="144">
        <f t="shared" si="16"/>
        <v>2507.9375900000005</v>
      </c>
      <c r="X56" s="144">
        <f t="shared" si="25"/>
        <v>352.41248999999999</v>
      </c>
      <c r="Z56" s="282">
        <v>1114293</v>
      </c>
      <c r="AA56" s="284">
        <f t="shared" si="27"/>
        <v>100000</v>
      </c>
      <c r="AB56" s="200">
        <v>8940</v>
      </c>
      <c r="AF56" s="201">
        <v>7083.33</v>
      </c>
      <c r="AG56" s="201">
        <f t="shared" si="0"/>
        <v>53.64</v>
      </c>
      <c r="AI56" s="278">
        <v>60</v>
      </c>
      <c r="AL56" s="201">
        <f t="shared" si="41"/>
        <v>0</v>
      </c>
      <c r="AM56" s="201">
        <f t="shared" si="41"/>
        <v>0</v>
      </c>
      <c r="AQ56" s="285">
        <f t="shared" si="26"/>
        <v>7136.97</v>
      </c>
      <c r="AU56" s="252">
        <v>2192.9299999999998</v>
      </c>
      <c r="AV56" s="253">
        <f t="shared" si="28"/>
        <v>8863</v>
      </c>
      <c r="AW56" s="253">
        <f t="shared" si="31"/>
        <v>50174</v>
      </c>
      <c r="AX56" s="252">
        <f t="shared" si="42"/>
        <v>43091.906000000003</v>
      </c>
      <c r="AY56" s="252">
        <f t="shared" si="42"/>
        <v>200.696</v>
      </c>
      <c r="AZ56" s="278">
        <v>215</v>
      </c>
      <c r="BA56" s="298"/>
      <c r="BB56" s="298"/>
      <c r="BC56" s="256">
        <f t="shared" si="39"/>
        <v>45485.532000000007</v>
      </c>
      <c r="BE56" s="287" t="s">
        <v>330</v>
      </c>
      <c r="BF56" s="292">
        <f>O56</f>
        <v>52610</v>
      </c>
      <c r="BG56" s="245">
        <v>0.04</v>
      </c>
      <c r="BH56" s="246">
        <f t="shared" si="6"/>
        <v>2104.4</v>
      </c>
      <c r="BI56" s="210">
        <v>3399.52</v>
      </c>
      <c r="BJ56" s="299">
        <f>BJ55-BI56-BH56+80000</f>
        <v>66838.210000000021</v>
      </c>
      <c r="BL56" s="247">
        <f t="shared" si="1"/>
        <v>1114293</v>
      </c>
      <c r="BM56" s="251">
        <f t="shared" si="34"/>
        <v>32194.397655228466</v>
      </c>
      <c r="BN56" s="248">
        <f t="shared" si="35"/>
        <v>20428.104344771542</v>
      </c>
      <c r="BO56" s="216">
        <f t="shared" si="19"/>
        <v>52622.502000000008</v>
      </c>
      <c r="BP56" s="294" t="str">
        <f t="shared" si="8"/>
        <v>E194CC-2406-1</v>
      </c>
      <c r="BQ56" s="250">
        <f t="shared" si="43"/>
        <v>3622.6326372623998</v>
      </c>
      <c r="BR56" s="250">
        <f t="shared" si="44"/>
        <v>1881.2873627376005</v>
      </c>
      <c r="BS56" s="216">
        <f t="shared" si="45"/>
        <v>5503.92</v>
      </c>
    </row>
    <row r="57" spans="1:71" x14ac:dyDescent="0.25">
      <c r="A57" s="167">
        <f t="shared" si="29"/>
        <v>45474</v>
      </c>
      <c r="B57">
        <v>39.090000000000003</v>
      </c>
      <c r="C57" s="135">
        <v>100000</v>
      </c>
      <c r="D57" s="136">
        <v>6.0000000000000001E-3</v>
      </c>
      <c r="E57" s="137">
        <v>6.0000000000000001E-3</v>
      </c>
      <c r="F57" s="137">
        <v>4.1000000000000002E-2</v>
      </c>
      <c r="G57" s="138">
        <v>4.8620000000000001</v>
      </c>
      <c r="H57" s="138">
        <v>4.0000000000000001E-3</v>
      </c>
      <c r="I57" s="139">
        <v>3.8700000000000002E-3</v>
      </c>
      <c r="J57" s="141">
        <f t="shared" si="37"/>
        <v>63871</v>
      </c>
      <c r="K57" s="140">
        <v>7743</v>
      </c>
      <c r="L57" s="140">
        <v>14858</v>
      </c>
      <c r="M57" s="140">
        <v>40680</v>
      </c>
      <c r="N57" s="142">
        <v>590</v>
      </c>
      <c r="O57" s="143">
        <v>63342</v>
      </c>
      <c r="P57" s="143">
        <f t="shared" si="13"/>
        <v>7477.4587965000019</v>
      </c>
      <c r="Q57" s="143">
        <v>14748.899670720002</v>
      </c>
      <c r="R57" s="143">
        <v>40477.97629164</v>
      </c>
      <c r="S57" s="145">
        <v>637.66524114000015</v>
      </c>
      <c r="T57" s="144">
        <v>8863</v>
      </c>
      <c r="U57" s="144">
        <f>T57-V57-W57-X57</f>
        <v>5117.2398399999993</v>
      </c>
      <c r="V57" s="144">
        <f t="shared" si="15"/>
        <v>891.25200000000007</v>
      </c>
      <c r="W57" s="144">
        <f t="shared" si="16"/>
        <v>2502.8154300000001</v>
      </c>
      <c r="X57" s="144">
        <f t="shared" si="25"/>
        <v>351.69273000000004</v>
      </c>
      <c r="Z57" s="282">
        <v>1117934</v>
      </c>
      <c r="AA57" s="284">
        <f t="shared" si="27"/>
        <v>100000</v>
      </c>
      <c r="AB57" s="200">
        <v>6626</v>
      </c>
      <c r="AF57" s="201">
        <v>7083.33</v>
      </c>
      <c r="AG57" s="201">
        <f t="shared" si="0"/>
        <v>39.756</v>
      </c>
      <c r="AI57" s="278">
        <v>34</v>
      </c>
      <c r="AL57" s="201">
        <f t="shared" si="41"/>
        <v>0</v>
      </c>
      <c r="AM57" s="201">
        <f t="shared" si="41"/>
        <v>0</v>
      </c>
      <c r="AQ57" s="285">
        <f t="shared" si="26"/>
        <v>7123.0860000000002</v>
      </c>
      <c r="AU57" s="252">
        <v>2192.9299999999998</v>
      </c>
      <c r="AV57" s="253">
        <f t="shared" si="28"/>
        <v>8863</v>
      </c>
      <c r="AW57" s="253">
        <f t="shared" si="31"/>
        <v>63871</v>
      </c>
      <c r="AX57" s="252">
        <f t="shared" si="42"/>
        <v>43091.906000000003</v>
      </c>
      <c r="AY57" s="252">
        <f t="shared" si="42"/>
        <v>255.48400000000001</v>
      </c>
      <c r="AZ57" s="278">
        <v>245</v>
      </c>
      <c r="BA57" s="298"/>
      <c r="BB57" s="298"/>
      <c r="BC57" s="256">
        <f t="shared" si="39"/>
        <v>45540.32</v>
      </c>
      <c r="BE57" s="287" t="s">
        <v>330</v>
      </c>
      <c r="BF57" s="292">
        <f>O57</f>
        <v>63342</v>
      </c>
      <c r="BG57" s="245">
        <v>0.04</v>
      </c>
      <c r="BH57" s="246">
        <f t="shared" si="6"/>
        <v>2533.6799999999998</v>
      </c>
      <c r="BI57" s="210">
        <v>3399.52</v>
      </c>
      <c r="BJ57" s="291">
        <f t="shared" si="40"/>
        <v>60905.010000000024</v>
      </c>
      <c r="BL57" s="247">
        <f t="shared" si="1"/>
        <v>1117934</v>
      </c>
      <c r="BM57" s="251">
        <f t="shared" si="34"/>
        <v>32299.924213617312</v>
      </c>
      <c r="BN57" s="248">
        <f t="shared" si="35"/>
        <v>20363.481786382683</v>
      </c>
      <c r="BO57" s="216">
        <f t="shared" si="19"/>
        <v>52663.405999999995</v>
      </c>
      <c r="BP57" s="294" t="str">
        <f t="shared" si="8"/>
        <v>E194CC-2406-1</v>
      </c>
      <c r="BQ57" s="250">
        <f t="shared" si="43"/>
        <v>3698.6183518600001</v>
      </c>
      <c r="BR57" s="250">
        <f t="shared" si="44"/>
        <v>2234.5816481400002</v>
      </c>
      <c r="BS57" s="216">
        <f t="shared" si="45"/>
        <v>5933.2000000000007</v>
      </c>
    </row>
    <row r="58" spans="1:71" x14ac:dyDescent="0.25">
      <c r="A58" s="167">
        <f t="shared" si="29"/>
        <v>45505</v>
      </c>
      <c r="B58">
        <v>39.090000000000003</v>
      </c>
      <c r="C58" s="135">
        <v>100000</v>
      </c>
      <c r="D58" s="136">
        <v>6.0000000000000001E-3</v>
      </c>
      <c r="E58" s="137">
        <v>6.0000000000000001E-3</v>
      </c>
      <c r="F58" s="137">
        <v>4.1000000000000002E-2</v>
      </c>
      <c r="G58" s="138">
        <v>4.8620000000000001</v>
      </c>
      <c r="H58" s="138">
        <v>4.0000000000000001E-3</v>
      </c>
      <c r="I58" s="139">
        <v>3.8700000000000002E-3</v>
      </c>
      <c r="J58" s="141">
        <f t="shared" si="37"/>
        <v>64160</v>
      </c>
      <c r="K58" s="141">
        <v>6797</v>
      </c>
      <c r="L58" s="141">
        <v>16088</v>
      </c>
      <c r="M58" s="141">
        <v>40645</v>
      </c>
      <c r="N58" s="146">
        <v>630</v>
      </c>
      <c r="O58" s="144">
        <v>63523</v>
      </c>
      <c r="P58" s="143">
        <f t="shared" si="13"/>
        <v>6085.7714660199954</v>
      </c>
      <c r="Q58" s="144">
        <v>16077.093592679999</v>
      </c>
      <c r="R58" s="144">
        <v>40711.456483560003</v>
      </c>
      <c r="S58" s="147">
        <v>648.67845774</v>
      </c>
      <c r="T58" s="144">
        <v>8863</v>
      </c>
      <c r="U58" s="144">
        <f>T58-V58-W58-X58</f>
        <v>5117.2398399999993</v>
      </c>
      <c r="V58" s="144">
        <f t="shared" si="15"/>
        <v>891.25200000000007</v>
      </c>
      <c r="W58" s="144">
        <f t="shared" si="16"/>
        <v>2502.8154300000001</v>
      </c>
      <c r="X58" s="144">
        <f t="shared" si="25"/>
        <v>351.69273000000004</v>
      </c>
      <c r="Z58" s="282">
        <v>1122672</v>
      </c>
      <c r="AA58" s="284">
        <f t="shared" si="27"/>
        <v>100000</v>
      </c>
      <c r="AB58" s="200">
        <v>12098</v>
      </c>
      <c r="AF58" s="201">
        <v>7083.33</v>
      </c>
      <c r="AG58" s="201">
        <f t="shared" si="0"/>
        <v>72.588000000000008</v>
      </c>
      <c r="AI58" s="278">
        <v>60</v>
      </c>
      <c r="AL58" s="201">
        <f t="shared" si="41"/>
        <v>0</v>
      </c>
      <c r="AM58" s="201">
        <f t="shared" si="41"/>
        <v>0</v>
      </c>
      <c r="AQ58" s="285">
        <f t="shared" si="26"/>
        <v>7155.9179999999997</v>
      </c>
      <c r="AU58" s="252">
        <v>2192.9299999999998</v>
      </c>
      <c r="AV58" s="253">
        <f t="shared" si="28"/>
        <v>8863</v>
      </c>
      <c r="AW58" s="253">
        <f t="shared" si="31"/>
        <v>64160</v>
      </c>
      <c r="AX58" s="252">
        <f t="shared" si="42"/>
        <v>43091.906000000003</v>
      </c>
      <c r="AY58" s="252">
        <f t="shared" si="42"/>
        <v>256.64</v>
      </c>
      <c r="AZ58" s="278">
        <v>251</v>
      </c>
      <c r="BC58" s="256">
        <f t="shared" si="39"/>
        <v>45541.476000000002</v>
      </c>
      <c r="BE58" s="287" t="s">
        <v>331</v>
      </c>
      <c r="BF58" s="292">
        <f>O58</f>
        <v>63523</v>
      </c>
      <c r="BG58" s="245">
        <v>0.04</v>
      </c>
      <c r="BH58" s="246">
        <f t="shared" si="6"/>
        <v>2540.92</v>
      </c>
      <c r="BI58" s="210">
        <v>3532.1</v>
      </c>
      <c r="BJ58" s="291">
        <f t="shared" si="40"/>
        <v>54831.990000000027</v>
      </c>
      <c r="BL58" s="247">
        <f t="shared" si="1"/>
        <v>1122672</v>
      </c>
      <c r="BM58" s="251">
        <f t="shared" si="34"/>
        <v>32295.441332909169</v>
      </c>
      <c r="BN58" s="248">
        <f t="shared" si="35"/>
        <v>20401.952667090827</v>
      </c>
      <c r="BO58" s="216">
        <f t="shared" si="19"/>
        <v>52697.394</v>
      </c>
      <c r="BP58" s="294" t="str">
        <f t="shared" si="8"/>
        <v>E194CC-2408-1</v>
      </c>
      <c r="BQ58" s="250">
        <f t="shared" si="43"/>
        <v>3775.5308586407996</v>
      </c>
      <c r="BR58" s="250">
        <f t="shared" si="44"/>
        <v>2297.4891413592004</v>
      </c>
      <c r="BS58" s="216">
        <f t="shared" si="45"/>
        <v>6073.02</v>
      </c>
    </row>
    <row r="59" spans="1:71" x14ac:dyDescent="0.25">
      <c r="A59" s="167">
        <f t="shared" si="29"/>
        <v>45536</v>
      </c>
      <c r="B59">
        <v>39.090000000000003</v>
      </c>
      <c r="C59" s="135">
        <v>100000</v>
      </c>
      <c r="D59" s="136">
        <v>6.0000000000000001E-3</v>
      </c>
      <c r="E59" s="137">
        <v>6.0000000000000001E-3</v>
      </c>
      <c r="F59" s="137">
        <v>4.1000000000000002E-2</v>
      </c>
      <c r="G59" s="138">
        <v>4.8620000000000001</v>
      </c>
      <c r="H59" s="138">
        <v>4.0000000000000001E-3</v>
      </c>
      <c r="I59" s="139">
        <v>3.8700000000000002E-3</v>
      </c>
      <c r="J59" s="141">
        <f t="shared" si="37"/>
        <v>62483</v>
      </c>
      <c r="K59" s="141">
        <v>6910</v>
      </c>
      <c r="L59" s="141">
        <v>15663</v>
      </c>
      <c r="M59" s="141">
        <v>39310</v>
      </c>
      <c r="N59" s="146">
        <v>600</v>
      </c>
      <c r="O59" s="144">
        <v>62091</v>
      </c>
      <c r="P59" s="143">
        <f t="shared" si="13"/>
        <v>6669.1901038199994</v>
      </c>
      <c r="Q59" s="144">
        <v>15581.49884568</v>
      </c>
      <c r="R59" s="144">
        <v>39296.258150460002</v>
      </c>
      <c r="S59" s="147">
        <v>544.05290004000017</v>
      </c>
      <c r="T59" s="144">
        <v>8863</v>
      </c>
      <c r="U59" s="144">
        <v>6413.5112474437619</v>
      </c>
      <c r="V59" s="144">
        <f t="shared" si="15"/>
        <v>891.25200000000007</v>
      </c>
      <c r="W59" s="144">
        <f t="shared" si="16"/>
        <v>2502.8154300000001</v>
      </c>
      <c r="X59" s="144">
        <f t="shared" si="25"/>
        <v>351.69273000000004</v>
      </c>
      <c r="Z59" s="282">
        <v>1126549</v>
      </c>
      <c r="AA59" s="284">
        <f t="shared" si="27"/>
        <v>100000</v>
      </c>
      <c r="AB59" s="200">
        <v>12030</v>
      </c>
      <c r="AF59" s="201">
        <v>7083.33</v>
      </c>
      <c r="AG59" s="201">
        <f t="shared" si="0"/>
        <v>72.180000000000007</v>
      </c>
      <c r="AI59" s="278">
        <v>60</v>
      </c>
      <c r="AL59" s="201">
        <f t="shared" si="41"/>
        <v>0</v>
      </c>
      <c r="AM59" s="201">
        <f t="shared" si="41"/>
        <v>0</v>
      </c>
      <c r="AQ59" s="285">
        <f t="shared" si="26"/>
        <v>7155.51</v>
      </c>
      <c r="AU59" s="252">
        <v>2192.9299999999998</v>
      </c>
      <c r="AV59" s="253">
        <f t="shared" si="28"/>
        <v>8863</v>
      </c>
      <c r="AW59" s="253">
        <f t="shared" si="31"/>
        <v>62483</v>
      </c>
      <c r="AX59" s="252">
        <f t="shared" si="42"/>
        <v>43091.906000000003</v>
      </c>
      <c r="AY59" s="252">
        <f t="shared" si="42"/>
        <v>249.93200000000002</v>
      </c>
      <c r="AZ59" s="278">
        <v>239</v>
      </c>
      <c r="BC59" s="256">
        <f t="shared" si="39"/>
        <v>45534.768000000004</v>
      </c>
      <c r="BE59" s="287" t="s">
        <v>332</v>
      </c>
      <c r="BF59" s="292">
        <v>62091</v>
      </c>
      <c r="BG59" s="245">
        <v>0.04</v>
      </c>
      <c r="BH59" s="246">
        <f t="shared" si="6"/>
        <v>2483.64</v>
      </c>
      <c r="BI59" s="210">
        <v>3532.1</v>
      </c>
      <c r="BJ59" s="291">
        <f t="shared" si="40"/>
        <v>48816.250000000029</v>
      </c>
      <c r="BL59" s="247">
        <f t="shared" si="1"/>
        <v>1126549</v>
      </c>
      <c r="BM59" s="251">
        <f t="shared" si="34"/>
        <v>32305.686407315017</v>
      </c>
      <c r="BN59" s="248">
        <f t="shared" si="35"/>
        <v>20384.591592684978</v>
      </c>
      <c r="BO59" s="216">
        <f t="shared" si="19"/>
        <v>52690.277999999991</v>
      </c>
      <c r="BP59" s="294" t="str">
        <f t="shared" si="8"/>
        <v>E194CC-2409-1</v>
      </c>
      <c r="BQ59" s="250">
        <f t="shared" si="43"/>
        <v>3798.8676041527997</v>
      </c>
      <c r="BR59" s="250">
        <f t="shared" si="44"/>
        <v>2216.8723958472001</v>
      </c>
      <c r="BS59" s="216">
        <f t="shared" si="45"/>
        <v>6015.74</v>
      </c>
    </row>
    <row r="60" spans="1:71" x14ac:dyDescent="0.25">
      <c r="A60" s="167">
        <f t="shared" si="29"/>
        <v>45566</v>
      </c>
      <c r="B60">
        <v>39.090000000000003</v>
      </c>
      <c r="C60" s="135">
        <v>100000</v>
      </c>
      <c r="D60" s="136">
        <v>6.0000000000000001E-3</v>
      </c>
      <c r="E60" s="137">
        <v>6.0000000000000001E-3</v>
      </c>
      <c r="F60" s="137">
        <v>4.1000000000000002E-2</v>
      </c>
      <c r="G60" s="138">
        <v>4.8620000000000001</v>
      </c>
      <c r="H60" s="138">
        <v>4.0000000000000001E-3</v>
      </c>
      <c r="I60" s="139">
        <v>3.8700000000000002E-3</v>
      </c>
      <c r="J60" s="141">
        <f t="shared" si="37"/>
        <v>117888</v>
      </c>
      <c r="K60" s="141">
        <v>52144</v>
      </c>
      <c r="L60" s="141">
        <v>15598</v>
      </c>
      <c r="M60" s="141">
        <v>49426</v>
      </c>
      <c r="N60" s="146">
        <v>720</v>
      </c>
      <c r="O60" s="144">
        <v>117602</v>
      </c>
      <c r="P60" s="143">
        <f t="shared" si="13"/>
        <v>51778.207025120006</v>
      </c>
      <c r="Q60" s="144">
        <v>15820.485645900002</v>
      </c>
      <c r="R60" s="144">
        <v>49320.487899779997</v>
      </c>
      <c r="S60" s="147">
        <v>682.81942920000006</v>
      </c>
      <c r="T60" s="144">
        <v>8863</v>
      </c>
      <c r="U60" s="144">
        <v>6413.5112474437619</v>
      </c>
      <c r="V60" s="144">
        <f t="shared" si="15"/>
        <v>891.25200000000007</v>
      </c>
      <c r="W60" s="144">
        <f t="shared" si="16"/>
        <v>2502.8154300000001</v>
      </c>
      <c r="X60" s="144">
        <f t="shared" si="25"/>
        <v>351.69273000000004</v>
      </c>
      <c r="Z60" s="282">
        <v>1131648</v>
      </c>
      <c r="AA60" s="284">
        <f t="shared" si="27"/>
        <v>100000</v>
      </c>
      <c r="AF60" s="201">
        <v>7083.33</v>
      </c>
      <c r="AG60" s="201">
        <f t="shared" si="0"/>
        <v>0</v>
      </c>
      <c r="AL60" s="201">
        <f t="shared" si="41"/>
        <v>0</v>
      </c>
      <c r="AM60" s="201">
        <f t="shared" si="41"/>
        <v>0</v>
      </c>
      <c r="AQ60" s="285">
        <f t="shared" si="26"/>
        <v>7083.33</v>
      </c>
      <c r="AU60" s="252">
        <v>2192.9299999999998</v>
      </c>
      <c r="AV60" s="253">
        <f t="shared" si="28"/>
        <v>8863</v>
      </c>
      <c r="AW60" s="253">
        <f t="shared" si="31"/>
        <v>117888</v>
      </c>
      <c r="AX60" s="252">
        <f>AV60*G60</f>
        <v>43091.906000000003</v>
      </c>
      <c r="AY60" s="252">
        <f t="shared" si="42"/>
        <v>471.55200000000002</v>
      </c>
      <c r="AZ60" s="278">
        <v>458</v>
      </c>
      <c r="BC60" s="256">
        <f t="shared" si="39"/>
        <v>45756.388000000006</v>
      </c>
      <c r="BE60" s="287" t="s">
        <v>333</v>
      </c>
      <c r="BF60" s="292">
        <v>117602</v>
      </c>
      <c r="BG60" s="245">
        <v>0.04</v>
      </c>
      <c r="BH60" s="246">
        <f t="shared" si="6"/>
        <v>4704.08</v>
      </c>
      <c r="BI60" s="210">
        <v>3532.1</v>
      </c>
      <c r="BJ60" s="291">
        <f t="shared" si="40"/>
        <v>40580.070000000029</v>
      </c>
      <c r="BL60" s="247">
        <f t="shared" si="1"/>
        <v>1131648</v>
      </c>
      <c r="BM60" s="251">
        <f t="shared" si="34"/>
        <v>33141.898804305834</v>
      </c>
      <c r="BN60" s="248">
        <f t="shared" si="35"/>
        <v>19697.819195694159</v>
      </c>
      <c r="BO60" s="216">
        <f t="shared" si="19"/>
        <v>52839.717999999993</v>
      </c>
      <c r="BP60" s="294" t="str">
        <f t="shared" si="8"/>
        <v>E194CC-2410-1</v>
      </c>
      <c r="BQ60" s="250">
        <f t="shared" si="43"/>
        <v>5603.2282810048</v>
      </c>
      <c r="BR60" s="250">
        <f t="shared" si="44"/>
        <v>2632.9517189951998</v>
      </c>
      <c r="BS60" s="216">
        <f t="shared" si="45"/>
        <v>8236.18</v>
      </c>
    </row>
    <row r="61" spans="1:71" x14ac:dyDescent="0.25">
      <c r="A61" s="167">
        <f t="shared" si="29"/>
        <v>45597</v>
      </c>
      <c r="B61">
        <v>39.090000000000003</v>
      </c>
      <c r="C61" s="135">
        <v>100000</v>
      </c>
      <c r="D61" s="136">
        <v>6.0000000000000001E-3</v>
      </c>
      <c r="E61" s="137">
        <v>6.0000000000000001E-3</v>
      </c>
      <c r="F61" s="137">
        <v>4.1000000000000002E-2</v>
      </c>
      <c r="G61" s="138">
        <v>4.8620000000000001</v>
      </c>
      <c r="H61" s="138">
        <v>4.0000000000000001E-3</v>
      </c>
      <c r="I61" s="139">
        <v>8.6899999999999998E-3</v>
      </c>
      <c r="J61" s="141">
        <f t="shared" si="37"/>
        <v>108772</v>
      </c>
      <c r="K61" s="141">
        <v>44016</v>
      </c>
      <c r="L61" s="141">
        <v>16200</v>
      </c>
      <c r="M61" s="141">
        <v>47196</v>
      </c>
      <c r="N61" s="146">
        <v>1360</v>
      </c>
      <c r="O61" s="144">
        <v>110283</v>
      </c>
      <c r="P61" s="143">
        <f t="shared" si="13"/>
        <v>45089.163014639991</v>
      </c>
      <c r="Q61" s="144">
        <v>16435.023132180002</v>
      </c>
      <c r="R61" s="144">
        <v>47274.232255499999</v>
      </c>
      <c r="S61" s="147">
        <v>1484.5815976800002</v>
      </c>
      <c r="T61" s="144">
        <v>8863</v>
      </c>
      <c r="U61" s="144">
        <v>6413.5112474437619</v>
      </c>
      <c r="V61" s="144">
        <f t="shared" si="15"/>
        <v>891.25200000000007</v>
      </c>
      <c r="W61" s="144">
        <f t="shared" si="16"/>
        <v>2502.8154300000001</v>
      </c>
      <c r="X61" s="144">
        <f t="shared" si="25"/>
        <v>351.69273000000004</v>
      </c>
      <c r="Z61" s="282">
        <v>1136316</v>
      </c>
      <c r="AA61" s="284">
        <f t="shared" si="27"/>
        <v>100000</v>
      </c>
      <c r="AD61" s="200">
        <v>4800</v>
      </c>
      <c r="AF61" s="201">
        <v>7083.33</v>
      </c>
      <c r="AG61" s="201">
        <f t="shared" si="0"/>
        <v>0</v>
      </c>
      <c r="AL61" s="201">
        <f t="shared" si="41"/>
        <v>28.8</v>
      </c>
      <c r="AM61" s="201">
        <f t="shared" si="41"/>
        <v>0</v>
      </c>
      <c r="AN61" s="278">
        <v>28</v>
      </c>
      <c r="AQ61" s="285">
        <f t="shared" si="26"/>
        <v>7112.13</v>
      </c>
      <c r="AU61" s="252">
        <v>2192.9299999999998</v>
      </c>
      <c r="AV61" s="253">
        <f t="shared" si="28"/>
        <v>8863</v>
      </c>
      <c r="AW61" s="253">
        <f t="shared" si="31"/>
        <v>108772</v>
      </c>
      <c r="AX61" s="252">
        <f>AV61*G61</f>
        <v>43091.906000000003</v>
      </c>
      <c r="AY61" s="252">
        <f t="shared" si="42"/>
        <v>435.08800000000002</v>
      </c>
      <c r="AZ61" s="278">
        <v>944</v>
      </c>
      <c r="BC61" s="256">
        <f t="shared" si="39"/>
        <v>45719.924000000006</v>
      </c>
      <c r="BE61" s="287" t="s">
        <v>334</v>
      </c>
      <c r="BF61" s="292">
        <v>110283</v>
      </c>
      <c r="BG61" s="245">
        <v>0.04</v>
      </c>
      <c r="BH61" s="246">
        <f t="shared" si="6"/>
        <v>4411.32</v>
      </c>
      <c r="BI61" s="210">
        <v>3532.1</v>
      </c>
      <c r="BJ61" s="291">
        <f t="shared" si="40"/>
        <v>32636.650000000031</v>
      </c>
      <c r="BL61" s="247">
        <f t="shared" si="1"/>
        <v>1136316</v>
      </c>
      <c r="BM61" s="251">
        <f t="shared" si="34"/>
        <v>33055.611657333182</v>
      </c>
      <c r="BN61" s="248">
        <f t="shared" si="35"/>
        <v>19776.442342666811</v>
      </c>
      <c r="BO61" s="216">
        <f t="shared" si="19"/>
        <v>52832.053999999989</v>
      </c>
      <c r="BP61" s="294" t="str">
        <f t="shared" si="8"/>
        <v>E194CC-2411-1</v>
      </c>
      <c r="BQ61" s="250">
        <f t="shared" si="43"/>
        <v>5335.6665205855998</v>
      </c>
      <c r="BR61" s="250">
        <f t="shared" si="44"/>
        <v>2607.7534794144003</v>
      </c>
      <c r="BS61" s="216">
        <f t="shared" si="45"/>
        <v>7943.42</v>
      </c>
    </row>
    <row r="62" spans="1:71" x14ac:dyDescent="0.25">
      <c r="A62" s="167">
        <f t="shared" si="29"/>
        <v>45627</v>
      </c>
      <c r="B62">
        <v>39.090000000000003</v>
      </c>
      <c r="C62" s="135">
        <v>100000</v>
      </c>
      <c r="D62" s="136">
        <v>6.0000000000000001E-3</v>
      </c>
      <c r="E62" s="137">
        <v>6.0000000000000001E-3</v>
      </c>
      <c r="F62" s="137">
        <v>4.1000000000000002E-2</v>
      </c>
      <c r="G62" s="138">
        <v>4.8620000000000001</v>
      </c>
      <c r="H62" s="138">
        <v>4.0000000000000001E-3</v>
      </c>
      <c r="I62" s="139">
        <v>8.6899999999999998E-3</v>
      </c>
      <c r="J62" s="141">
        <f t="shared" si="37"/>
        <v>143577</v>
      </c>
      <c r="K62" s="141">
        <v>67757</v>
      </c>
      <c r="L62" s="141">
        <v>18550</v>
      </c>
      <c r="M62" s="141">
        <v>54490</v>
      </c>
      <c r="N62" s="146">
        <v>2780</v>
      </c>
      <c r="O62" s="144">
        <v>141664</v>
      </c>
      <c r="P62" s="143">
        <f t="shared" si="13"/>
        <v>66434.920048720014</v>
      </c>
      <c r="Q62" s="144">
        <v>18314.979205800002</v>
      </c>
      <c r="R62" s="144">
        <v>54275.334048119985</v>
      </c>
      <c r="S62" s="147">
        <v>2638.7666973600003</v>
      </c>
      <c r="T62" s="144">
        <v>8863</v>
      </c>
      <c r="U62" s="144">
        <v>6413.5112474437619</v>
      </c>
      <c r="V62" s="144">
        <f t="shared" si="15"/>
        <v>891.25200000000007</v>
      </c>
      <c r="W62" s="144">
        <f t="shared" si="16"/>
        <v>2502.8154300000001</v>
      </c>
      <c r="X62" s="144">
        <f t="shared" si="25"/>
        <v>351.69273000000004</v>
      </c>
      <c r="Z62" s="282">
        <v>1140946</v>
      </c>
      <c r="AA62" s="284">
        <f t="shared" si="27"/>
        <v>100000</v>
      </c>
      <c r="AD62" s="200">
        <v>19000</v>
      </c>
      <c r="AF62" s="201">
        <v>7083.33</v>
      </c>
      <c r="AG62" s="201">
        <f t="shared" si="0"/>
        <v>0</v>
      </c>
      <c r="AL62" s="201">
        <f t="shared" si="41"/>
        <v>114</v>
      </c>
      <c r="AM62" s="201">
        <f t="shared" si="41"/>
        <v>0</v>
      </c>
      <c r="AN62" s="278">
        <v>112</v>
      </c>
      <c r="AQ62" s="285">
        <f t="shared" si="26"/>
        <v>7197.33</v>
      </c>
      <c r="AU62" s="252">
        <v>2192.9299999999998</v>
      </c>
      <c r="AV62" s="253">
        <f t="shared" si="28"/>
        <v>8863</v>
      </c>
      <c r="AW62" s="253">
        <f t="shared" si="31"/>
        <v>143577</v>
      </c>
      <c r="AX62" s="252">
        <f>AV62*G62</f>
        <v>43091.906000000003</v>
      </c>
      <c r="AY62" s="252">
        <f t="shared" si="42"/>
        <v>574.30799999999999</v>
      </c>
      <c r="AZ62" s="278">
        <v>1251</v>
      </c>
      <c r="BC62" s="256">
        <f t="shared" si="39"/>
        <v>45859.144</v>
      </c>
      <c r="BE62" s="287" t="s">
        <v>335</v>
      </c>
      <c r="BF62" s="292">
        <v>141664</v>
      </c>
      <c r="BG62" s="245">
        <v>0.04</v>
      </c>
      <c r="BH62" s="246">
        <f t="shared" si="6"/>
        <v>5666.56</v>
      </c>
      <c r="BI62" s="210">
        <v>3532.1</v>
      </c>
      <c r="BJ62" s="291">
        <f t="shared" si="40"/>
        <v>23437.990000000031</v>
      </c>
      <c r="BL62" s="247">
        <f t="shared" si="1"/>
        <v>1140946</v>
      </c>
      <c r="BM62" s="251">
        <f t="shared" si="34"/>
        <v>33383.267798967376</v>
      </c>
      <c r="BN62" s="248">
        <f t="shared" si="35"/>
        <v>19673.206201032615</v>
      </c>
      <c r="BO62" s="216">
        <f t="shared" si="19"/>
        <v>53056.473999999987</v>
      </c>
      <c r="BP62" s="294" t="str">
        <f t="shared" si="8"/>
        <v>E194CC-2412-1</v>
      </c>
      <c r="BQ62" s="250">
        <f t="shared" si="43"/>
        <v>6189.4968019488006</v>
      </c>
      <c r="BR62" s="250">
        <f t="shared" si="44"/>
        <v>3009.1631980511993</v>
      </c>
      <c r="BS62" s="216">
        <f t="shared" si="45"/>
        <v>9198.66</v>
      </c>
    </row>
    <row r="63" spans="1:71" x14ac:dyDescent="0.25">
      <c r="A63" s="167"/>
      <c r="C63" s="135"/>
      <c r="D63" s="136"/>
      <c r="E63" s="137"/>
      <c r="F63" s="137"/>
      <c r="G63" s="138"/>
      <c r="H63" s="138"/>
      <c r="I63" s="139"/>
      <c r="P63" s="143"/>
      <c r="Z63" s="282"/>
      <c r="AA63" s="284"/>
      <c r="AF63" s="201"/>
      <c r="AG63" s="201"/>
      <c r="AQ63" s="285"/>
      <c r="AU63" s="252"/>
      <c r="AV63" s="253"/>
      <c r="AW63" s="253"/>
      <c r="AX63" s="252"/>
      <c r="AY63" s="252"/>
      <c r="BC63" s="256"/>
      <c r="BG63" s="245"/>
      <c r="BH63" s="246"/>
      <c r="BI63" s="210"/>
      <c r="BJ63" s="291"/>
      <c r="BL63" s="247"/>
      <c r="BM63" s="251"/>
      <c r="BN63" s="248"/>
      <c r="BO63" s="216"/>
      <c r="BP63" s="294"/>
      <c r="BQ63" s="250"/>
      <c r="BR63" s="250"/>
      <c r="BS63" s="216"/>
    </row>
    <row r="64" spans="1:71" x14ac:dyDescent="0.25">
      <c r="AV64" s="278">
        <f t="shared" si="28"/>
        <v>0</v>
      </c>
      <c r="BJ64" s="291">
        <f t="shared" si="40"/>
        <v>0</v>
      </c>
    </row>
  </sheetData>
  <mergeCells count="15">
    <mergeCell ref="Y1:Y5"/>
    <mergeCell ref="C1:F1"/>
    <mergeCell ref="G1:I1"/>
    <mergeCell ref="J1:N1"/>
    <mergeCell ref="O1:S1"/>
    <mergeCell ref="T1:X1"/>
    <mergeCell ref="BL1:BO1"/>
    <mergeCell ref="BP1:BS1"/>
    <mergeCell ref="BT1:BT5"/>
    <mergeCell ref="Z1:AQ1"/>
    <mergeCell ref="AR1:AT1"/>
    <mergeCell ref="AU1:BC1"/>
    <mergeCell ref="BD1:BD5"/>
    <mergeCell ref="BE1:BH1"/>
    <mergeCell ref="BK1:BK5"/>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snms xmlns="5439dcb1-57cb-40ed-87e6-3a760137f3f8" xsi:nil="true"/>
    <_dlc_DocId xmlns="2bc3004b-9ad1-483e-becf-bfd5ad8c6084">6YNFE3WTN53P-2032442789-1475</_dlc_DocId>
    <_dlc_DocIdUrl xmlns="2bc3004b-9ad1-483e-becf-bfd5ad8c6084">
      <Url>https://epcorweb/en-ca/departments/natgas/sites/ON/ONReg/_layouts/15/DocIdRedir.aspx?ID=6YNFE3WTN53P-2032442789-1475</Url>
      <Description>6YNFE3WTN53P-2032442789-1475</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2BAD137378F81F4FB318B1B24AB80438" ma:contentTypeVersion="3" ma:contentTypeDescription="Create a new document." ma:contentTypeScope="" ma:versionID="24e2e42336a1cd1f4ee2fe0de8a61d67">
  <xsd:schema xmlns:xsd="http://www.w3.org/2001/XMLSchema" xmlns:xs="http://www.w3.org/2001/XMLSchema" xmlns:p="http://schemas.microsoft.com/office/2006/metadata/properties" xmlns:ns2="2bc3004b-9ad1-483e-becf-bfd5ad8c6084" xmlns:ns3="5439dcb1-57cb-40ed-87e6-3a760137f3f8" targetNamespace="http://schemas.microsoft.com/office/2006/metadata/properties" ma:root="true" ma:fieldsID="123afb3d4e45bb2ee51a4b9193e9fa35" ns2:_="" ns3:_="">
    <xsd:import namespace="2bc3004b-9ad1-483e-becf-bfd5ad8c6084"/>
    <xsd:import namespace="5439dcb1-57cb-40ed-87e6-3a760137f3f8"/>
    <xsd:element name="properties">
      <xsd:complexType>
        <xsd:sequence>
          <xsd:element name="documentManagement">
            <xsd:complexType>
              <xsd:all>
                <xsd:element ref="ns2:_dlc_DocId" minOccurs="0"/>
                <xsd:element ref="ns2:_dlc_DocIdUrl" minOccurs="0"/>
                <xsd:element ref="ns2:_dlc_DocIdPersistId" minOccurs="0"/>
                <xsd:element ref="ns3:snm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3004b-9ad1-483e-becf-bfd5ad8c6084"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439dcb1-57cb-40ed-87e6-3a760137f3f8" elementFormDefault="qualified">
    <xsd:import namespace="http://schemas.microsoft.com/office/2006/documentManagement/types"/>
    <xsd:import namespace="http://schemas.microsoft.com/office/infopath/2007/PartnerControls"/>
    <xsd:element name="snms" ma:index="11" nillable="true" ma:displayName="Description" ma:internalName="snm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1F420F-4C9D-4EDE-A4F0-FB55FE15A6DC}">
  <ds:schemaRefs>
    <ds:schemaRef ds:uri="http://schemas.microsoft.com/sharepoint/events"/>
  </ds:schemaRefs>
</ds:datastoreItem>
</file>

<file path=customXml/itemProps2.xml><?xml version="1.0" encoding="utf-8"?>
<ds:datastoreItem xmlns:ds="http://schemas.openxmlformats.org/officeDocument/2006/customXml" ds:itemID="{702D51A8-EA96-4914-9F8B-D43DD84875CE}">
  <ds:schemaRefs>
    <ds:schemaRef ds:uri="5439dcb1-57cb-40ed-87e6-3a760137f3f8"/>
    <ds:schemaRef ds:uri="http://schemas.openxmlformats.org/package/2006/metadata/core-properties"/>
    <ds:schemaRef ds:uri="http://purl.org/dc/elements/1.1/"/>
    <ds:schemaRef ds:uri="http://schemas.microsoft.com/office/2006/metadata/properties"/>
    <ds:schemaRef ds:uri="2bc3004b-9ad1-483e-becf-bfd5ad8c6084"/>
    <ds:schemaRef ds:uri="http://schemas.microsoft.com/office/2006/documentManagement/types"/>
    <ds:schemaRef ds:uri="http://www.w3.org/XML/1998/namespace"/>
    <ds:schemaRef ds:uri="http://purl.org/dc/dcmitype/"/>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C05DE33C-7ED1-4C34-821D-537BC0EF3EC3}">
  <ds:schemaRefs>
    <ds:schemaRef ds:uri="http://schemas.microsoft.com/sharepoint/v3/contenttype/forms"/>
  </ds:schemaRefs>
</ds:datastoreItem>
</file>

<file path=customXml/itemProps4.xml><?xml version="1.0" encoding="utf-8"?>
<ds:datastoreItem xmlns:ds="http://schemas.openxmlformats.org/officeDocument/2006/customXml" ds:itemID="{07738B3F-F950-4C0C-A88F-08A364C9A3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3004b-9ad1-483e-becf-bfd5ad8c6084"/>
    <ds:schemaRef ds:uri="5439dcb1-57cb-40ed-87e6-3a760137f3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vt:i4>
      </vt:variant>
    </vt:vector>
  </HeadingPairs>
  <TitlesOfParts>
    <vt:vector size="24" baseType="lpstr">
      <vt:lpstr>TVA - Continuity</vt:lpstr>
      <vt:lpstr>S&amp;TVA - Continuity</vt:lpstr>
      <vt:lpstr>S&amp;TVA 2024</vt:lpstr>
      <vt:lpstr>S&amp;TVA 2023</vt:lpstr>
      <vt:lpstr>S&amp;TVA 2022</vt:lpstr>
      <vt:lpstr>S&amp;TVA 2021</vt:lpstr>
      <vt:lpstr>S&amp;TVA Q4 2020</vt:lpstr>
      <vt:lpstr>S&amp;TVA per CIP model</vt:lpstr>
      <vt:lpstr>Invoice Breakdown</vt:lpstr>
      <vt:lpstr>Allocation</vt:lpstr>
      <vt:lpstr>Accounting Order</vt:lpstr>
      <vt:lpstr>CNG</vt:lpstr>
      <vt:lpstr>Upstream Recovery</vt:lpstr>
      <vt:lpstr>Upstream Allocation</vt:lpstr>
      <vt:lpstr>Allocation Example</vt:lpstr>
      <vt:lpstr>Staff3a</vt:lpstr>
      <vt:lpstr>Staff7_TVA</vt:lpstr>
      <vt:lpstr>Staff7_STVA</vt:lpstr>
      <vt:lpstr>Staff7_Summary</vt:lpstr>
      <vt:lpstr>Staff16_TVA</vt:lpstr>
      <vt:lpstr>Staff16_STVA</vt:lpstr>
      <vt:lpstr>Staff16_Summary</vt:lpstr>
      <vt:lpstr>2020 ECNG</vt:lpstr>
      <vt:lpstr>inflation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Lamers, Nakita</dc:creator>
  <cp:lastModifiedBy>Hesselink, Tim</cp:lastModifiedBy>
  <cp:lastPrinted>2019-04-17T23:52:40Z</cp:lastPrinted>
  <dcterms:created xsi:type="dcterms:W3CDTF">2019-01-29T22:03:55Z</dcterms:created>
  <dcterms:modified xsi:type="dcterms:W3CDTF">2025-10-31T17:57:04Z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0x0101002BAD137378F81F4FB318B1B24AB80438</vt:lpwstr>
  </property>
  <property fmtid="{D5CDD505-2E9C-101B-9397-08002B2CF9AE}" pid="3" name="_dlc_DocIdItemGuid">
    <vt:lpwstr>26ee277f-24e7-4c2d-9348-236606094a54</vt:lpwstr>
  </property>
</Properties>
</file>