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oshawapowerutilities.sharepoint.com/sites/CostofServiceApplication2026/Shared Documents/General/4. Hearing Prep/1. Most up to date Evidence/8. Undertakings/"/>
    </mc:Choice>
  </mc:AlternateContent>
  <xr:revisionPtr revIDLastSave="31" documentId="13_ncr:1_{4BDDD898-DFF3-4222-A723-28143F457F40}" xr6:coauthVersionLast="47" xr6:coauthVersionMax="47" xr10:uidLastSave="{3A71C9B6-60D1-4453-BD46-D86C601464BF}"/>
  <bookViews>
    <workbookView xWindow="38290" yWindow="-110" windowWidth="38620" windowHeight="21100" xr2:uid="{3993B6A4-7791-4A78-94B8-7D7BDF521220}"/>
  </bookViews>
  <sheets>
    <sheet name="Sheet1" sheetId="1" r:id="rId1"/>
  </sheets>
  <externalReferences>
    <externalReference r:id="rId2"/>
  </externalReferences>
  <definedNames>
    <definedName name="BridgeYear">'[1]LDC Info'!$E$26</definedName>
    <definedName name="EBNUMBER">'[1]LDC Info'!$E$16</definedName>
    <definedName name="TestYear">'[1]LDC Info'!$E$24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C38" i="1"/>
  <c r="D38" i="1"/>
  <c r="E38" i="1"/>
  <c r="B38" i="1"/>
  <c r="G35" i="1"/>
  <c r="H35" i="1"/>
  <c r="M35" i="1"/>
  <c r="L35" i="1"/>
  <c r="K35" i="1"/>
  <c r="J35" i="1"/>
  <c r="I35" i="1"/>
  <c r="F35" i="1"/>
  <c r="E35" i="1"/>
  <c r="D35" i="1"/>
  <c r="C35" i="1"/>
  <c r="B35" i="1"/>
  <c r="J28" i="1"/>
  <c r="J32" i="1" s="1"/>
  <c r="J39" i="1" s="1"/>
  <c r="K28" i="1"/>
  <c r="K32" i="1" s="1"/>
  <c r="L28" i="1"/>
  <c r="M28" i="1"/>
  <c r="I28" i="1"/>
  <c r="H28" i="1"/>
  <c r="H32" i="1" s="1"/>
  <c r="G28" i="1"/>
  <c r="C28" i="1"/>
  <c r="D28" i="1"/>
  <c r="E28" i="1"/>
  <c r="E32" i="1" s="1"/>
  <c r="F28" i="1"/>
  <c r="F32" i="1" s="1"/>
  <c r="B28" i="1"/>
  <c r="B32" i="1" s="1"/>
  <c r="L32" i="1"/>
  <c r="L39" i="1" s="1"/>
  <c r="M32" i="1"/>
  <c r="M39" i="1" s="1"/>
  <c r="M2" i="1"/>
  <c r="L2" i="1"/>
  <c r="K2" i="1"/>
  <c r="J2" i="1"/>
  <c r="I2" i="1"/>
  <c r="E2" i="1"/>
  <c r="D2" i="1" s="1"/>
  <c r="C2" i="1" s="1"/>
  <c r="B2" i="1" s="1"/>
  <c r="K39" i="1" l="1"/>
  <c r="E39" i="1"/>
  <c r="F39" i="1"/>
  <c r="H39" i="1"/>
  <c r="D32" i="1"/>
  <c r="D39" i="1" s="1"/>
  <c r="C32" i="1"/>
  <c r="C39" i="1" s="1"/>
  <c r="I29" i="1"/>
  <c r="I32" i="1"/>
  <c r="I33" i="1" s="1"/>
  <c r="B29" i="1"/>
  <c r="G32" i="1"/>
  <c r="B33" i="1" l="1"/>
  <c r="B39" i="1" s="1"/>
  <c r="G39" i="1"/>
  <c r="N29" i="1"/>
  <c r="B40" i="1" l="1"/>
  <c r="I39" i="1"/>
  <c r="I40" i="1" s="1"/>
  <c r="I36" i="1"/>
  <c r="N33" i="1"/>
  <c r="B36" i="1"/>
  <c r="N36" i="1" s="1"/>
  <c r="N40" i="1" l="1"/>
</calcChain>
</file>

<file path=xl/sharedStrings.xml><?xml version="1.0" encoding="utf-8"?>
<sst xmlns="http://schemas.openxmlformats.org/spreadsheetml/2006/main" count="40" uniqueCount="39">
  <si>
    <t>IT Projects from Appendix 2-AA</t>
  </si>
  <si>
    <t>Projects</t>
  </si>
  <si>
    <t>2025 
Jan to June</t>
  </si>
  <si>
    <t>2025 
Jul to Dec</t>
  </si>
  <si>
    <t>2025 BridgeYear
(Original)</t>
  </si>
  <si>
    <t>Operational Technology (GIS,OMS,ODS,SCADA)</t>
  </si>
  <si>
    <t>Asset Management Software</t>
  </si>
  <si>
    <t>Information Technology General</t>
  </si>
  <si>
    <t>Office IT &amp; Equipment Upgrades</t>
  </si>
  <si>
    <t>Customer Information System (CIS) Software and Enhancements</t>
  </si>
  <si>
    <t>Customer Self Serve Online Portal</t>
  </si>
  <si>
    <t>Mobile Workforce Mgmt Software</t>
  </si>
  <si>
    <t>Software-HR/Timesheet</t>
  </si>
  <si>
    <t>CRM Software</t>
  </si>
  <si>
    <t>Financial Systems Enhancements</t>
  </si>
  <si>
    <t>Cyber Security Upgrades</t>
  </si>
  <si>
    <t>End User Hardware/Software Upgrades</t>
  </si>
  <si>
    <t>Enerprise Server Hardware/Software Upgrades</t>
  </si>
  <si>
    <t>ERP Software</t>
  </si>
  <si>
    <t>Scada Hardware/Software Upgrade</t>
  </si>
  <si>
    <t>Automation Platform</t>
  </si>
  <si>
    <t>System Automation</t>
  </si>
  <si>
    <t>Customer Communication Redesign</t>
  </si>
  <si>
    <t>GIS Upgrade</t>
  </si>
  <si>
    <t>Intranet Upgrade</t>
  </si>
  <si>
    <t>MDM Enhancements</t>
  </si>
  <si>
    <t>OMS Enhancements</t>
  </si>
  <si>
    <t>Records Management</t>
  </si>
  <si>
    <t>Website Redesign</t>
  </si>
  <si>
    <t>Total Spend (not including CIS project in 2025)</t>
  </si>
  <si>
    <t>Average 5-year spend (Not including CIS Project in 2025)</t>
  </si>
  <si>
    <t>Annual Inflation (CPI)</t>
  </si>
  <si>
    <t>Total Spend NPV (Not including CIS Project in 2025)</t>
  </si>
  <si>
    <t>Average 5-year spend NPV (Not including CIS Project in 2025)</t>
  </si>
  <si>
    <t>Total Spend</t>
  </si>
  <si>
    <t>Average 5-year spend</t>
  </si>
  <si>
    <t>Total Spend NPV</t>
  </si>
  <si>
    <t>Average 5-year spend NPV</t>
  </si>
  <si>
    <t>The statement was made that average capital IT spend is reduced by about 100k in 2026-2030 when compared to 2021-2025, not including the 2025 CIS project. 
As can be seen, it is reduced by 185k if using NPV (assuming 2% inflation 2025-2030) and 72k if not using NPV. 
Those numbers rise to 495k and 372k, respectively, when including the 2025 CIS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</si>
</sst>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3" fontId="0" fillId="0" borderId="5" xfId="1" applyNumberFormat="1" applyFont="1" applyFill="1" applyBorder="1" applyProtection="1">
      <protection locked="0"/>
    </xf>
    <xf numFmtId="3" fontId="0" fillId="0" borderId="6" xfId="1" applyNumberFormat="1" applyFont="1" applyFill="1" applyBorder="1" applyProtection="1">
      <protection locked="0"/>
    </xf>
    <xf numFmtId="3" fontId="0" fillId="0" borderId="21" xfId="1" applyNumberFormat="1" applyFont="1" applyFill="1" applyBorder="1" applyProtection="1">
      <protection locked="0"/>
    </xf>
    <xf numFmtId="3" fontId="0" fillId="0" borderId="22" xfId="1" applyNumberFormat="1" applyFont="1" applyFill="1" applyBorder="1" applyProtection="1">
      <protection locked="0"/>
    </xf>
    <xf numFmtId="3" fontId="0" fillId="0" borderId="23" xfId="1" applyNumberFormat="1" applyFont="1" applyFill="1" applyBorder="1" applyProtection="1">
      <protection locked="0"/>
    </xf>
    <xf numFmtId="3" fontId="0" fillId="0" borderId="24" xfId="1" applyNumberFormat="1" applyFont="1" applyFill="1" applyBorder="1" applyProtection="1">
      <protection locked="0"/>
    </xf>
    <xf numFmtId="3" fontId="0" fillId="0" borderId="20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2" xfId="1" applyNumberFormat="1" applyFont="1" applyFill="1" applyBorder="1" applyProtection="1">
      <protection locked="0"/>
    </xf>
    <xf numFmtId="3" fontId="0" fillId="0" borderId="10" xfId="1" applyNumberFormat="1" applyFont="1" applyFill="1" applyBorder="1" applyProtection="1">
      <protection locked="0"/>
    </xf>
    <xf numFmtId="3" fontId="0" fillId="0" borderId="13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3" fontId="0" fillId="0" borderId="7" xfId="1" applyNumberFormat="1" applyFont="1" applyFill="1" applyBorder="1" applyProtection="1">
      <protection locked="0"/>
    </xf>
    <xf numFmtId="3" fontId="0" fillId="0" borderId="8" xfId="1" applyNumberFormat="1" applyFont="1" applyFill="1" applyBorder="1" applyProtection="1">
      <protection locked="0"/>
    </xf>
    <xf numFmtId="3" fontId="0" fillId="0" borderId="9" xfId="1" applyNumberFormat="1" applyFont="1" applyFill="1" applyBorder="1" applyProtection="1">
      <protection locked="0"/>
    </xf>
    <xf numFmtId="3" fontId="0" fillId="0" borderId="27" xfId="1" applyNumberFormat="1" applyFont="1" applyFill="1" applyBorder="1" applyProtection="1">
      <protection locked="0"/>
    </xf>
    <xf numFmtId="3" fontId="0" fillId="0" borderId="28" xfId="1" applyNumberFormat="1" applyFont="1" applyFill="1" applyBorder="1" applyProtection="1">
      <protection locked="0"/>
    </xf>
    <xf numFmtId="3" fontId="0" fillId="0" borderId="25" xfId="1" applyNumberFormat="1" applyFont="1" applyFill="1" applyBorder="1" applyProtection="1">
      <protection locked="0"/>
    </xf>
    <xf numFmtId="3" fontId="0" fillId="0" borderId="29" xfId="1" applyNumberFormat="1" applyFont="1" applyFill="1" applyBorder="1" applyProtection="1">
      <protection locked="0"/>
    </xf>
    <xf numFmtId="3" fontId="0" fillId="0" borderId="26" xfId="1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25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30" xfId="0" applyFont="1" applyBorder="1" applyProtection="1">
      <protection locked="0"/>
    </xf>
    <xf numFmtId="3" fontId="0" fillId="0" borderId="32" xfId="1" applyNumberFormat="1" applyFont="1" applyFill="1" applyBorder="1" applyProtection="1">
      <protection locked="0"/>
    </xf>
    <xf numFmtId="3" fontId="0" fillId="0" borderId="33" xfId="1" applyNumberFormat="1" applyFont="1" applyFill="1" applyBorder="1" applyProtection="1">
      <protection locked="0"/>
    </xf>
    <xf numFmtId="3" fontId="0" fillId="0" borderId="30" xfId="1" applyNumberFormat="1" applyFont="1" applyFill="1" applyBorder="1" applyProtection="1">
      <protection locked="0"/>
    </xf>
    <xf numFmtId="3" fontId="0" fillId="0" borderId="34" xfId="1" applyNumberFormat="1" applyFont="1" applyFill="1" applyBorder="1" applyProtection="1">
      <protection locked="0"/>
    </xf>
    <xf numFmtId="3" fontId="0" fillId="0" borderId="31" xfId="1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2" fillId="2" borderId="0" xfId="0" applyFont="1" applyFill="1" applyProtection="1">
      <protection locked="0"/>
    </xf>
    <xf numFmtId="3" fontId="3" fillId="2" borderId="0" xfId="0" applyNumberFormat="1" applyFont="1" applyFill="1"/>
    <xf numFmtId="164" fontId="2" fillId="2" borderId="16" xfId="1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3" fontId="3" fillId="2" borderId="3" xfId="0" applyNumberFormat="1" applyFont="1" applyFill="1" applyBorder="1"/>
    <xf numFmtId="0" fontId="0" fillId="0" borderId="1" xfId="0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36" xfId="0" applyFont="1" applyBorder="1" applyProtection="1">
      <protection locked="0"/>
    </xf>
    <xf numFmtId="3" fontId="0" fillId="0" borderId="37" xfId="1" applyNumberFormat="1" applyFont="1" applyFill="1" applyBorder="1" applyProtection="1">
      <protection locked="0"/>
    </xf>
    <xf numFmtId="3" fontId="0" fillId="0" borderId="38" xfId="1" applyNumberFormat="1" applyFont="1" applyFill="1" applyBorder="1" applyProtection="1">
      <protection locked="0"/>
    </xf>
    <xf numFmtId="3" fontId="0" fillId="0" borderId="39" xfId="1" applyNumberFormat="1" applyFont="1" applyFill="1" applyBorder="1" applyProtection="1">
      <protection locked="0"/>
    </xf>
    <xf numFmtId="3" fontId="0" fillId="0" borderId="40" xfId="1" applyNumberFormat="1" applyFont="1" applyFill="1" applyBorder="1" applyProtection="1">
      <protection locked="0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>
      <alignment horizontal="center" vertical="top"/>
    </xf>
    <xf numFmtId="0" fontId="4" fillId="0" borderId="42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3" fontId="3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5" fillId="2" borderId="25" xfId="0" applyFont="1" applyFill="1" applyBorder="1" applyAlignment="1" applyProtection="1">
      <alignment horizontal="center" wrapText="1"/>
      <protection locked="0"/>
    </xf>
    <xf numFmtId="0" fontId="5" fillId="2" borderId="27" xfId="0" applyFont="1" applyFill="1" applyBorder="1" applyAlignment="1" applyProtection="1">
      <alignment horizontal="center" wrapText="1"/>
      <protection locked="0"/>
    </xf>
    <xf numFmtId="0" fontId="5" fillId="2" borderId="29" xfId="0" applyFont="1" applyFill="1" applyBorder="1" applyAlignment="1" applyProtection="1">
      <alignment horizontal="center" wrapText="1"/>
      <protection locked="0"/>
    </xf>
    <xf numFmtId="0" fontId="2" fillId="2" borderId="43" xfId="0" applyFont="1" applyFill="1" applyBorder="1" applyAlignment="1" applyProtection="1">
      <alignment horizontal="center"/>
      <protection locked="0"/>
    </xf>
    <xf numFmtId="0" fontId="2" fillId="2" borderId="44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myackoub.OPUC\Desktop\COS\Official\1.%20Application%20+%203%20IRRs%20+%20Model\Chapter2_Appendices.xlsm" TargetMode="External"/><Relationship Id="rId2" Type="http://schemas.microsoft.com/office/2019/04/relationships/externalLinkLongPath" Target="Official/1.%20Application%20+%203%20IRRs%20+%20Model/Chapter2_Appendices.xlsm?76DEFFD4" TargetMode="External"/><Relationship Id="rId1" Type="http://schemas.openxmlformats.org/officeDocument/2006/relationships/externalLinkPath" Target="file:///\\76DEFFD4\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2.1.4_ServiceQuality old"/>
      <sheetName val="App.2-H_Other_Rev"/>
      <sheetName val="Hidden_Other Revenue"/>
      <sheetName val="App_2-I LF_CDM"/>
      <sheetName val="lists"/>
      <sheetName val="2.1.7  All Accounts"/>
      <sheetName val="App.2-IA_Load_Forecast_Instrct"/>
      <sheetName val="App.2-IB_Load_Forecast_Analysis"/>
      <sheetName val="2.1.5.6"/>
      <sheetName val="2.1.4_ServiceQuality"/>
      <sheetName val="2.1.7 - System OM (2-AB)"/>
      <sheetName val="2.1.4 SAIDI SAIFI"/>
      <sheetName val="2018 Adjusted SAIDI and SAIFI"/>
      <sheetName val="2019 Adjusted SAIDI and SAIFI"/>
      <sheetName val="2020"/>
      <sheetName val="Several_Accounts"/>
      <sheetName val="2.1.2"/>
      <sheetName val="2.1.5.4"/>
      <sheetName val="FTE"/>
      <sheetName val="OM&amp;A_Expenses"/>
      <sheetName val="App.2-JA_OM&amp;A_Summary_Analys"/>
      <sheetName val="Hidden_OM&amp;A Summary"/>
      <sheetName val="App.2-JB_OM&amp;A_Cost _Drivers"/>
      <sheetName val="App.2-JC_OMA Programs"/>
      <sheetName val="App.2-JD_OM&amp;A USoA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EB-2025-0014</v>
          </cell>
        </row>
        <row r="24">
          <cell r="E24">
            <v>2026</v>
          </cell>
        </row>
        <row r="26">
          <cell r="E26">
            <v>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D3E6-D324-4EAE-914F-6C99E39F5B35}">
  <dimension ref="A1:N42"/>
  <sheetViews>
    <sheetView tabSelected="1" topLeftCell="B19" zoomScale="130" zoomScaleNormal="130" workbookViewId="0">
      <selection activeCell="N40" sqref="N40"/>
    </sheetView>
  </sheetViews>
  <sheetFormatPr defaultColWidth="9.453125" defaultRowHeight="14.5" x14ac:dyDescent="0.35"/>
  <cols>
    <col min="1" max="1" width="61.81640625" style="21" customWidth="1"/>
    <col min="2" max="4" width="13.81640625" style="21" bestFit="1" customWidth="1"/>
    <col min="5" max="5" width="13.54296875" style="21" customWidth="1"/>
    <col min="6" max="6" width="10.54296875" style="21" customWidth="1"/>
    <col min="7" max="7" width="13.81640625" style="21" bestFit="1" customWidth="1"/>
    <col min="8" max="8" width="15.1796875" style="21" bestFit="1" customWidth="1"/>
    <col min="9" max="9" width="13.54296875" style="21" customWidth="1"/>
    <col min="10" max="13" width="14.81640625" style="21" bestFit="1" customWidth="1"/>
    <col min="14" max="14" width="84" style="21" customWidth="1"/>
    <col min="15" max="16384" width="9.453125" style="21"/>
  </cols>
  <sheetData>
    <row r="1" spans="1:13" ht="18.5" thickBot="1" x14ac:dyDescent="0.4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3" ht="39.5" thickBot="1" x14ac:dyDescent="0.4">
      <c r="A2" s="22" t="s">
        <v>1</v>
      </c>
      <c r="B2" s="49">
        <f t="shared" ref="B2:D2" si="0">C2-1</f>
        <v>2021</v>
      </c>
      <c r="C2" s="49">
        <f t="shared" si="0"/>
        <v>2022</v>
      </c>
      <c r="D2" s="49">
        <f t="shared" si="0"/>
        <v>2023</v>
      </c>
      <c r="E2" s="50">
        <f>BridgeYear - 1</f>
        <v>2024</v>
      </c>
      <c r="F2" s="51" t="s">
        <v>2</v>
      </c>
      <c r="G2" s="52" t="s">
        <v>3</v>
      </c>
      <c r="H2" s="53" t="s">
        <v>4</v>
      </c>
      <c r="I2" s="49" t="str">
        <f>TestYear &amp; CHAR(10) &amp; "Test Year"</f>
        <v>2026
Test Year</v>
      </c>
      <c r="J2" s="54">
        <f>TestYear +1</f>
        <v>2027</v>
      </c>
      <c r="K2" s="54">
        <f>TestYear +2</f>
        <v>2028</v>
      </c>
      <c r="L2" s="54">
        <f>TestYear +3</f>
        <v>2029</v>
      </c>
      <c r="M2" s="55">
        <f>TestYear +4</f>
        <v>2030</v>
      </c>
    </row>
    <row r="3" spans="1:13" ht="15" thickBot="1" x14ac:dyDescent="0.4">
      <c r="A3" s="22" t="s">
        <v>5</v>
      </c>
      <c r="B3" s="16">
        <v>19984.070000000182</v>
      </c>
      <c r="C3" s="16">
        <v>24643.76999999996</v>
      </c>
      <c r="D3" s="16">
        <v>711090.7300000001</v>
      </c>
      <c r="E3" s="17">
        <v>4328.929999999993</v>
      </c>
      <c r="F3" s="18"/>
      <c r="G3" s="19">
        <v>376000</v>
      </c>
      <c r="H3" s="20">
        <v>376000</v>
      </c>
      <c r="I3" s="16"/>
      <c r="J3" s="16"/>
      <c r="K3" s="16"/>
      <c r="L3" s="16"/>
      <c r="M3" s="19"/>
    </row>
    <row r="4" spans="1:13" ht="15" thickBot="1" x14ac:dyDescent="0.4">
      <c r="A4" s="22" t="s">
        <v>6</v>
      </c>
      <c r="B4" s="16"/>
      <c r="C4" s="16"/>
      <c r="D4" s="16"/>
      <c r="E4" s="17"/>
      <c r="F4" s="18"/>
      <c r="G4" s="19"/>
      <c r="H4" s="20"/>
      <c r="I4" s="16">
        <v>165000</v>
      </c>
      <c r="J4" s="16">
        <v>0</v>
      </c>
      <c r="K4" s="16">
        <v>0</v>
      </c>
      <c r="L4" s="16">
        <v>0</v>
      </c>
      <c r="M4" s="19">
        <v>0</v>
      </c>
    </row>
    <row r="5" spans="1:13" ht="15" thickBot="1" x14ac:dyDescent="0.4">
      <c r="A5" s="22" t="s">
        <v>7</v>
      </c>
      <c r="B5" s="16">
        <v>231996.35</v>
      </c>
      <c r="C5" s="16">
        <v>454529.00999999995</v>
      </c>
      <c r="D5" s="16">
        <v>225226.37000000005</v>
      </c>
      <c r="E5" s="17">
        <v>209254.53</v>
      </c>
      <c r="F5" s="18">
        <v>347136.92000000004</v>
      </c>
      <c r="G5" s="19">
        <v>43863.079999999958</v>
      </c>
      <c r="H5" s="20">
        <v>531000</v>
      </c>
      <c r="I5" s="16"/>
      <c r="J5" s="16"/>
      <c r="K5" s="16"/>
      <c r="L5" s="16"/>
      <c r="M5" s="19"/>
    </row>
    <row r="6" spans="1:13" ht="15" thickBot="1" x14ac:dyDescent="0.4">
      <c r="A6" s="22" t="s">
        <v>8</v>
      </c>
      <c r="B6" s="16">
        <v>241897.85000000009</v>
      </c>
      <c r="C6" s="16">
        <v>93048.359999999928</v>
      </c>
      <c r="D6" s="16">
        <v>136639.84000000003</v>
      </c>
      <c r="E6" s="17">
        <v>88617.349999999991</v>
      </c>
      <c r="F6" s="18">
        <v>244326.39999999999</v>
      </c>
      <c r="G6" s="19">
        <v>0</v>
      </c>
      <c r="H6" s="20">
        <v>130000</v>
      </c>
      <c r="I6" s="16"/>
      <c r="J6" s="16"/>
      <c r="K6" s="16"/>
      <c r="L6" s="16"/>
      <c r="M6" s="19"/>
    </row>
    <row r="7" spans="1:13" ht="15" thickBot="1" x14ac:dyDescent="0.4">
      <c r="A7" s="22" t="s">
        <v>9</v>
      </c>
      <c r="B7" s="16"/>
      <c r="C7" s="16"/>
      <c r="D7" s="16"/>
      <c r="E7" s="17"/>
      <c r="F7" s="18"/>
      <c r="G7" s="19">
        <v>1500000</v>
      </c>
      <c r="H7" s="20">
        <v>1400000</v>
      </c>
      <c r="I7" s="16">
        <v>0</v>
      </c>
      <c r="J7" s="16">
        <v>0</v>
      </c>
      <c r="K7" s="16">
        <v>50000</v>
      </c>
      <c r="L7" s="16">
        <v>50000</v>
      </c>
      <c r="M7" s="19">
        <v>50000</v>
      </c>
    </row>
    <row r="8" spans="1:13" ht="15" thickBot="1" x14ac:dyDescent="0.4">
      <c r="A8" s="22" t="s">
        <v>10</v>
      </c>
      <c r="B8" s="16"/>
      <c r="C8" s="16"/>
      <c r="D8" s="16">
        <v>100659.7</v>
      </c>
      <c r="E8" s="17">
        <v>707.70000000001164</v>
      </c>
      <c r="F8" s="18"/>
      <c r="G8" s="19"/>
      <c r="H8" s="20"/>
      <c r="I8" s="16"/>
      <c r="J8" s="16"/>
      <c r="K8" s="16"/>
      <c r="L8" s="16"/>
      <c r="M8" s="19"/>
    </row>
    <row r="9" spans="1:13" ht="15" thickBot="1" x14ac:dyDescent="0.4">
      <c r="A9" s="22" t="s">
        <v>11</v>
      </c>
      <c r="B9" s="16"/>
      <c r="C9" s="16"/>
      <c r="D9" s="16"/>
      <c r="E9" s="17">
        <v>18047.84</v>
      </c>
      <c r="F9" s="18"/>
      <c r="G9" s="19">
        <v>150000</v>
      </c>
      <c r="H9" s="20">
        <v>235000</v>
      </c>
      <c r="I9" s="16"/>
      <c r="J9" s="16"/>
      <c r="K9" s="16"/>
      <c r="L9" s="16"/>
      <c r="M9" s="19"/>
    </row>
    <row r="10" spans="1:13" ht="15" thickBot="1" x14ac:dyDescent="0.4">
      <c r="A10" s="22" t="s">
        <v>12</v>
      </c>
      <c r="B10" s="16"/>
      <c r="C10" s="16">
        <v>5929.79</v>
      </c>
      <c r="D10" s="16">
        <v>206254.43000000002</v>
      </c>
      <c r="E10" s="17">
        <v>73847.760000000009</v>
      </c>
      <c r="F10" s="18"/>
      <c r="G10" s="19"/>
      <c r="H10" s="20"/>
      <c r="I10" s="16"/>
      <c r="J10" s="16"/>
      <c r="K10" s="16"/>
      <c r="L10" s="16"/>
      <c r="M10" s="19"/>
    </row>
    <row r="11" spans="1:13" ht="15" thickBot="1" x14ac:dyDescent="0.4">
      <c r="A11" s="24" t="s">
        <v>13</v>
      </c>
      <c r="B11" s="25"/>
      <c r="C11" s="25"/>
      <c r="D11" s="25"/>
      <c r="E11" s="26"/>
      <c r="F11" s="27"/>
      <c r="G11" s="28">
        <v>0</v>
      </c>
      <c r="H11" s="29">
        <v>50000</v>
      </c>
      <c r="I11" s="25">
        <v>50000</v>
      </c>
      <c r="J11" s="25"/>
      <c r="K11" s="25"/>
      <c r="L11" s="25"/>
      <c r="M11" s="28"/>
    </row>
    <row r="12" spans="1:13" ht="15" thickBot="1" x14ac:dyDescent="0.4">
      <c r="A12" s="22" t="s">
        <v>14</v>
      </c>
      <c r="B12" s="16"/>
      <c r="C12" s="16">
        <v>17493.849999999999</v>
      </c>
      <c r="D12" s="16"/>
      <c r="E12" s="17"/>
      <c r="F12" s="18">
        <v>71192.97</v>
      </c>
      <c r="G12" s="19">
        <v>0</v>
      </c>
      <c r="H12" s="20">
        <v>70200</v>
      </c>
      <c r="I12" s="16"/>
      <c r="J12" s="16"/>
      <c r="K12" s="16"/>
      <c r="L12" s="16"/>
      <c r="M12" s="19"/>
    </row>
    <row r="13" spans="1:13" ht="15" thickBot="1" x14ac:dyDescent="0.4">
      <c r="A13" s="22" t="s">
        <v>15</v>
      </c>
      <c r="B13" s="16"/>
      <c r="C13" s="16"/>
      <c r="D13" s="16"/>
      <c r="E13" s="17"/>
      <c r="F13" s="18"/>
      <c r="G13" s="19"/>
      <c r="H13" s="20"/>
      <c r="I13" s="16">
        <v>40000</v>
      </c>
      <c r="J13" s="16">
        <v>40000</v>
      </c>
      <c r="K13" s="16">
        <v>40000</v>
      </c>
      <c r="L13" s="16">
        <v>40000</v>
      </c>
      <c r="M13" s="19">
        <v>40000</v>
      </c>
    </row>
    <row r="14" spans="1:13" ht="15" thickBot="1" x14ac:dyDescent="0.4">
      <c r="A14" s="22" t="s">
        <v>16</v>
      </c>
      <c r="B14" s="16"/>
      <c r="C14" s="16"/>
      <c r="D14" s="16"/>
      <c r="E14" s="17"/>
      <c r="F14" s="18"/>
      <c r="G14" s="19"/>
      <c r="H14" s="20"/>
      <c r="I14" s="16">
        <v>196400</v>
      </c>
      <c r="J14" s="16">
        <v>146400</v>
      </c>
      <c r="K14" s="16">
        <v>146400</v>
      </c>
      <c r="L14" s="16">
        <v>146400</v>
      </c>
      <c r="M14" s="19">
        <v>146400</v>
      </c>
    </row>
    <row r="15" spans="1:13" ht="15" thickBot="1" x14ac:dyDescent="0.4">
      <c r="A15" s="22" t="s">
        <v>17</v>
      </c>
      <c r="B15" s="16"/>
      <c r="C15" s="16"/>
      <c r="D15" s="16"/>
      <c r="E15" s="17"/>
      <c r="F15" s="18"/>
      <c r="G15" s="19"/>
      <c r="H15" s="20"/>
      <c r="I15" s="16">
        <v>116000</v>
      </c>
      <c r="J15" s="16">
        <v>66000</v>
      </c>
      <c r="K15" s="16">
        <v>591000</v>
      </c>
      <c r="L15" s="16">
        <v>116000</v>
      </c>
      <c r="M15" s="19">
        <v>66000</v>
      </c>
    </row>
    <row r="16" spans="1:13" ht="15" thickBot="1" x14ac:dyDescent="0.4">
      <c r="A16" s="22" t="s">
        <v>18</v>
      </c>
      <c r="B16" s="16"/>
      <c r="C16" s="16"/>
      <c r="D16" s="16"/>
      <c r="E16" s="17"/>
      <c r="F16" s="18"/>
      <c r="G16" s="19"/>
      <c r="H16" s="20"/>
      <c r="I16" s="16">
        <v>0</v>
      </c>
      <c r="J16" s="16">
        <v>500000</v>
      </c>
      <c r="K16" s="16">
        <v>0</v>
      </c>
      <c r="L16" s="16">
        <v>0</v>
      </c>
      <c r="M16" s="19">
        <v>0</v>
      </c>
    </row>
    <row r="17" spans="1:14" ht="15" thickBot="1" x14ac:dyDescent="0.4">
      <c r="A17" s="22" t="s">
        <v>19</v>
      </c>
      <c r="B17" s="16"/>
      <c r="C17" s="16"/>
      <c r="D17" s="16"/>
      <c r="E17" s="17"/>
      <c r="F17" s="18"/>
      <c r="G17" s="19"/>
      <c r="H17" s="20"/>
      <c r="I17" s="16">
        <v>0</v>
      </c>
      <c r="J17" s="16">
        <v>0</v>
      </c>
      <c r="K17" s="16">
        <v>100000</v>
      </c>
      <c r="L17" s="16">
        <v>40000</v>
      </c>
      <c r="M17" s="19">
        <v>0</v>
      </c>
    </row>
    <row r="18" spans="1:14" ht="15" thickBot="1" x14ac:dyDescent="0.4">
      <c r="A18" s="22" t="s">
        <v>20</v>
      </c>
      <c r="B18" s="16"/>
      <c r="C18" s="16"/>
      <c r="D18" s="16"/>
      <c r="E18" s="17"/>
      <c r="F18" s="18"/>
      <c r="G18" s="19"/>
      <c r="H18" s="20"/>
      <c r="I18" s="16">
        <v>125000</v>
      </c>
      <c r="J18" s="16">
        <v>0</v>
      </c>
      <c r="K18" s="16">
        <v>0</v>
      </c>
      <c r="L18" s="16">
        <v>0</v>
      </c>
      <c r="M18" s="19">
        <v>0</v>
      </c>
    </row>
    <row r="19" spans="1:14" ht="15" thickBot="1" x14ac:dyDescent="0.4">
      <c r="A19" s="22" t="s">
        <v>21</v>
      </c>
      <c r="B19" s="16"/>
      <c r="C19" s="16"/>
      <c r="D19" s="16"/>
      <c r="E19" s="17"/>
      <c r="F19" s="18"/>
      <c r="G19" s="19"/>
      <c r="H19" s="20"/>
      <c r="I19" s="16">
        <v>30000</v>
      </c>
      <c r="J19" s="16">
        <v>30000</v>
      </c>
      <c r="K19" s="16">
        <v>30000</v>
      </c>
      <c r="L19" s="16">
        <v>30000</v>
      </c>
      <c r="M19" s="19">
        <v>30000</v>
      </c>
    </row>
    <row r="20" spans="1:14" ht="15" thickBot="1" x14ac:dyDescent="0.4">
      <c r="A20" s="22" t="s">
        <v>22</v>
      </c>
      <c r="B20" s="16"/>
      <c r="C20" s="16"/>
      <c r="D20" s="16"/>
      <c r="E20" s="17"/>
      <c r="F20" s="18"/>
      <c r="G20" s="19"/>
      <c r="H20" s="20"/>
      <c r="I20" s="16">
        <v>100000</v>
      </c>
      <c r="J20" s="16">
        <v>0</v>
      </c>
      <c r="K20" s="16">
        <v>0</v>
      </c>
      <c r="L20" s="16">
        <v>0</v>
      </c>
      <c r="M20" s="19">
        <v>0</v>
      </c>
    </row>
    <row r="21" spans="1:14" x14ac:dyDescent="0.35">
      <c r="A21" s="42" t="s">
        <v>23</v>
      </c>
      <c r="B21" s="3"/>
      <c r="C21" s="3"/>
      <c r="D21" s="3"/>
      <c r="E21" s="4"/>
      <c r="F21" s="5"/>
      <c r="G21" s="6"/>
      <c r="H21" s="7"/>
      <c r="I21" s="3">
        <v>50000</v>
      </c>
      <c r="J21" s="3">
        <v>0</v>
      </c>
      <c r="K21" s="3">
        <v>0</v>
      </c>
      <c r="L21" s="3">
        <v>0</v>
      </c>
      <c r="M21" s="6">
        <v>0</v>
      </c>
    </row>
    <row r="22" spans="1:14" x14ac:dyDescent="0.35">
      <c r="A22" s="43" t="s">
        <v>24</v>
      </c>
      <c r="B22" s="8"/>
      <c r="C22" s="8"/>
      <c r="D22" s="8"/>
      <c r="E22" s="9"/>
      <c r="F22" s="10"/>
      <c r="G22" s="11"/>
      <c r="H22" s="12"/>
      <c r="I22" s="8">
        <v>50000</v>
      </c>
      <c r="J22" s="8">
        <v>0</v>
      </c>
      <c r="K22" s="8">
        <v>0</v>
      </c>
      <c r="L22" s="8">
        <v>0</v>
      </c>
      <c r="M22" s="11">
        <v>0</v>
      </c>
    </row>
    <row r="23" spans="1:14" x14ac:dyDescent="0.35">
      <c r="A23" s="43" t="s">
        <v>25</v>
      </c>
      <c r="B23" s="8"/>
      <c r="C23" s="8"/>
      <c r="D23" s="8"/>
      <c r="E23" s="9"/>
      <c r="F23" s="10"/>
      <c r="G23" s="11"/>
      <c r="H23" s="12"/>
      <c r="I23" s="8">
        <v>17500</v>
      </c>
      <c r="J23" s="8">
        <v>17500</v>
      </c>
      <c r="K23" s="8">
        <v>17500</v>
      </c>
      <c r="L23" s="8">
        <v>17500</v>
      </c>
      <c r="M23" s="11">
        <v>0</v>
      </c>
    </row>
    <row r="24" spans="1:14" x14ac:dyDescent="0.35">
      <c r="A24" s="43" t="s">
        <v>26</v>
      </c>
      <c r="B24" s="8"/>
      <c r="C24" s="8"/>
      <c r="D24" s="8"/>
      <c r="E24" s="9"/>
      <c r="F24" s="10"/>
      <c r="G24" s="11"/>
      <c r="H24" s="12"/>
      <c r="I24" s="8">
        <v>25000</v>
      </c>
      <c r="J24" s="8">
        <v>25000</v>
      </c>
      <c r="K24" s="8">
        <v>25000</v>
      </c>
      <c r="L24" s="8">
        <v>25000</v>
      </c>
      <c r="M24" s="11">
        <v>0</v>
      </c>
    </row>
    <row r="25" spans="1:14" x14ac:dyDescent="0.35">
      <c r="A25" s="43" t="s">
        <v>27</v>
      </c>
      <c r="B25" s="2"/>
      <c r="C25" s="2"/>
      <c r="D25" s="2"/>
      <c r="E25" s="13"/>
      <c r="F25" s="14"/>
      <c r="G25" s="15"/>
      <c r="H25" s="1"/>
      <c r="I25" s="2">
        <v>100000</v>
      </c>
      <c r="J25" s="2">
        <v>0</v>
      </c>
      <c r="K25" s="2">
        <v>0</v>
      </c>
      <c r="L25" s="2">
        <v>0</v>
      </c>
      <c r="M25" s="15">
        <v>0</v>
      </c>
    </row>
    <row r="26" spans="1:14" x14ac:dyDescent="0.35">
      <c r="A26" s="43" t="s">
        <v>28</v>
      </c>
      <c r="B26" s="8"/>
      <c r="C26" s="8"/>
      <c r="D26" s="8"/>
      <c r="E26" s="9"/>
      <c r="F26" s="10"/>
      <c r="G26" s="11"/>
      <c r="H26" s="12"/>
      <c r="I26" s="8">
        <v>50000</v>
      </c>
      <c r="J26" s="8">
        <v>0</v>
      </c>
      <c r="K26" s="8">
        <v>0</v>
      </c>
      <c r="L26" s="8">
        <v>0</v>
      </c>
      <c r="M26" s="11">
        <v>0</v>
      </c>
    </row>
    <row r="27" spans="1:14" ht="15" thickBot="1" x14ac:dyDescent="0.4">
      <c r="A27" s="44"/>
      <c r="B27" s="45"/>
      <c r="C27" s="45"/>
      <c r="D27" s="45"/>
      <c r="E27" s="46"/>
      <c r="F27" s="47"/>
      <c r="G27" s="46"/>
      <c r="H27" s="47"/>
      <c r="I27" s="45"/>
      <c r="J27" s="45"/>
      <c r="K27" s="45"/>
      <c r="L27" s="45"/>
      <c r="M27" s="48"/>
    </row>
    <row r="28" spans="1:14" x14ac:dyDescent="0.35">
      <c r="A28" s="34" t="s">
        <v>29</v>
      </c>
      <c r="B28" s="35">
        <f>SUM(B$3:B$26)</f>
        <v>493878.27000000025</v>
      </c>
      <c r="C28" s="35">
        <f t="shared" ref="C28:F28" si="1">SUM(C$3:C$26)</f>
        <v>595644.77999999991</v>
      </c>
      <c r="D28" s="35">
        <f t="shared" si="1"/>
        <v>1379871.07</v>
      </c>
      <c r="E28" s="35">
        <f t="shared" si="1"/>
        <v>394804.11000000004</v>
      </c>
      <c r="F28" s="35">
        <f t="shared" si="1"/>
        <v>662656.29</v>
      </c>
      <c r="G28" s="35">
        <f>SUM(G$3:G$26)-$G$7</f>
        <v>569863.08000000007</v>
      </c>
      <c r="H28" s="35">
        <f>SUM(H$3:H$26)-$H$7</f>
        <v>1392200</v>
      </c>
      <c r="I28" s="35">
        <f>SUM(I$3:I$26)</f>
        <v>1114900</v>
      </c>
      <c r="J28" s="35">
        <f t="shared" ref="J28:M28" si="2">SUM(J$3:J$26)</f>
        <v>824900</v>
      </c>
      <c r="K28" s="35">
        <f t="shared" si="2"/>
        <v>999900</v>
      </c>
      <c r="L28" s="35">
        <f t="shared" si="2"/>
        <v>464900</v>
      </c>
      <c r="M28" s="35">
        <f t="shared" si="2"/>
        <v>332400</v>
      </c>
      <c r="N28" s="36"/>
    </row>
    <row r="29" spans="1:14" ht="15" thickBot="1" x14ac:dyDescent="0.4">
      <c r="A29" s="37" t="s">
        <v>30</v>
      </c>
      <c r="B29" s="59">
        <f>AVERAGE(B28,C28,D28,E28,SUM(F28:G28))</f>
        <v>819343.52</v>
      </c>
      <c r="C29" s="59"/>
      <c r="D29" s="59"/>
      <c r="E29" s="59"/>
      <c r="F29" s="59"/>
      <c r="G29" s="59"/>
      <c r="H29" s="59"/>
      <c r="I29" s="59">
        <f>AVERAGE(I28:M28)</f>
        <v>747400</v>
      </c>
      <c r="J29" s="59"/>
      <c r="K29" s="59"/>
      <c r="L29" s="59"/>
      <c r="M29" s="59"/>
      <c r="N29" s="38" t="str">
        <f>_xlfn.CONCAT("Average spend reduced by ",TEXT(B29-I29,"$#,##0")," in 2026-2030 vs 2021-2025, not including CIS project")</f>
        <v>Average spend reduced by $71,944 in 2026-2030 vs 2021-2025, not including CIS project</v>
      </c>
    </row>
    <row r="30" spans="1:14" ht="15" thickBot="1" x14ac:dyDescent="0.4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14" x14ac:dyDescent="0.35">
      <c r="A31" s="39" t="s">
        <v>31</v>
      </c>
      <c r="B31" s="40">
        <v>4.8</v>
      </c>
      <c r="C31" s="40">
        <v>6.3</v>
      </c>
      <c r="D31" s="40">
        <v>3.4</v>
      </c>
      <c r="E31" s="40">
        <v>1.8</v>
      </c>
      <c r="F31" s="60">
        <v>2.5</v>
      </c>
      <c r="G31" s="60"/>
      <c r="H31" s="60"/>
      <c r="I31" s="40">
        <v>2</v>
      </c>
      <c r="J31" s="40">
        <v>2</v>
      </c>
      <c r="K31" s="40">
        <v>2</v>
      </c>
      <c r="L31" s="40">
        <v>2</v>
      </c>
      <c r="M31" s="40">
        <v>2</v>
      </c>
      <c r="N31" s="36"/>
    </row>
    <row r="32" spans="1:14" x14ac:dyDescent="0.35">
      <c r="A32" s="41" t="s">
        <v>32</v>
      </c>
      <c r="B32" s="33">
        <f>B28*(1+B31/100)*(1+C31/100)*(1+D31/100)*(1+E31/100)*(1+F31/100)</f>
        <v>593617.43430502631</v>
      </c>
      <c r="C32" s="33">
        <f>C28*(1+C31/100)*(1+D31/100)*(1+E31/100)*(1+F31/100)</f>
        <v>683144.83134189702</v>
      </c>
      <c r="D32" s="33">
        <f>D28*(1+D31/100)*(1+E31/100)*(1+F31/100)</f>
        <v>1488780.5679032111</v>
      </c>
      <c r="E32" s="33">
        <f>E28*(1+E31/100)*(1+F31/100)</f>
        <v>411958.34857950005</v>
      </c>
      <c r="F32" s="33">
        <f>F28*(1+$F31/100)</f>
        <v>679222.69724999997</v>
      </c>
      <c r="G32" s="33">
        <f t="shared" ref="G32:H32" si="3">G28*(1+$F31/100)</f>
        <v>584109.65700000001</v>
      </c>
      <c r="H32" s="33">
        <f t="shared" si="3"/>
        <v>1427004.9999999998</v>
      </c>
      <c r="I32" s="33">
        <f>I28*(1-I31/100)</f>
        <v>1092602</v>
      </c>
      <c r="J32" s="33">
        <f>J28*(1-J31/100)*(1-I31/100)</f>
        <v>792233.96</v>
      </c>
      <c r="K32" s="33">
        <f>K28*(1-K31/100)*(1-J31/100)*(1-I31/100)</f>
        <v>941097.88079999993</v>
      </c>
      <c r="L32" s="33">
        <f>L28*(1-L31/100)*(1-K31/100)*(1-J31/100)*(1-I31/100)</f>
        <v>428808.95758400002</v>
      </c>
      <c r="M32" s="33">
        <f>M28*(1-M31/100)*(1-L31/100)*(1-K31/100)*(1-J31/100)*(1-I31/100)</f>
        <v>300463.27285631996</v>
      </c>
      <c r="N32" s="30"/>
    </row>
    <row r="33" spans="1:14" ht="15" thickBot="1" x14ac:dyDescent="0.4">
      <c r="A33" s="37" t="s">
        <v>33</v>
      </c>
      <c r="B33" s="59">
        <f>AVERAGE(B32,C32,D32,E32,SUM(F32:G32))</f>
        <v>888166.70727592683</v>
      </c>
      <c r="C33" s="59"/>
      <c r="D33" s="59"/>
      <c r="E33" s="59"/>
      <c r="F33" s="59"/>
      <c r="G33" s="59"/>
      <c r="H33" s="59"/>
      <c r="I33" s="59">
        <f>AVERAGE(I32:M32)</f>
        <v>711041.21424806397</v>
      </c>
      <c r="J33" s="59"/>
      <c r="K33" s="59"/>
      <c r="L33" s="59"/>
      <c r="M33" s="59"/>
      <c r="N33" s="38" t="str">
        <f>_xlfn.CONCAT("Average NPV spend reduced by ",TEXT(B33-I33,"$#,##0")," in 2026-2030 vs 2021-2025, not including CIS project")</f>
        <v>Average NPV spend reduced by $177,125 in 2026-2030 vs 2021-2025, not including CIS project</v>
      </c>
    </row>
    <row r="34" spans="1:14" ht="28.5" customHeight="1" thickBot="1" x14ac:dyDescent="0.4"/>
    <row r="35" spans="1:14" x14ac:dyDescent="0.35">
      <c r="A35" s="34" t="s">
        <v>34</v>
      </c>
      <c r="B35" s="35">
        <f>SUM(B$3:B$26)</f>
        <v>493878.27000000025</v>
      </c>
      <c r="C35" s="35">
        <f t="shared" ref="C35:F35" si="4">SUM(C$3:C$26)</f>
        <v>595644.77999999991</v>
      </c>
      <c r="D35" s="35">
        <f t="shared" si="4"/>
        <v>1379871.07</v>
      </c>
      <c r="E35" s="35">
        <f t="shared" si="4"/>
        <v>394804.11000000004</v>
      </c>
      <c r="F35" s="35">
        <f t="shared" si="4"/>
        <v>662656.29</v>
      </c>
      <c r="G35" s="35">
        <f>SUM(G$3:G$26)</f>
        <v>2069863.08</v>
      </c>
      <c r="H35" s="35">
        <f>SUM(H$3:H$26)</f>
        <v>2792200</v>
      </c>
      <c r="I35" s="35">
        <f>SUM(I$3:I$26)</f>
        <v>1114900</v>
      </c>
      <c r="J35" s="35">
        <f t="shared" ref="J35:M35" si="5">SUM(J$3:J$26)</f>
        <v>824900</v>
      </c>
      <c r="K35" s="35">
        <f t="shared" si="5"/>
        <v>999900</v>
      </c>
      <c r="L35" s="35">
        <f t="shared" si="5"/>
        <v>464900</v>
      </c>
      <c r="M35" s="35">
        <f t="shared" si="5"/>
        <v>332400</v>
      </c>
      <c r="N35" s="36"/>
    </row>
    <row r="36" spans="1:14" ht="15" thickBot="1" x14ac:dyDescent="0.4">
      <c r="A36" s="37" t="s">
        <v>35</v>
      </c>
      <c r="B36" s="59">
        <f>AVERAGE(B35,C35,D35,E35,SUM(F35:G35))</f>
        <v>1119343.52</v>
      </c>
      <c r="C36" s="59"/>
      <c r="D36" s="59"/>
      <c r="E36" s="59"/>
      <c r="F36" s="59"/>
      <c r="G36" s="59"/>
      <c r="H36" s="59"/>
      <c r="I36" s="59">
        <f>AVERAGE(I35:M35)</f>
        <v>747400</v>
      </c>
      <c r="J36" s="59"/>
      <c r="K36" s="59"/>
      <c r="L36" s="59"/>
      <c r="M36" s="59"/>
      <c r="N36" s="38" t="str">
        <f>_xlfn.CONCAT("Average spend reduced by ",TEXT(B36-I36,"$#,##0")," in 2026-2030 vs 2021-2025")</f>
        <v>Average spend reduced by $371,944 in 2026-2030 vs 2021-2025</v>
      </c>
    </row>
    <row r="37" spans="1:14" ht="15" thickBot="1" x14ac:dyDescent="0.4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4" x14ac:dyDescent="0.35">
      <c r="A38" s="39" t="s">
        <v>31</v>
      </c>
      <c r="B38" s="40">
        <f>B31</f>
        <v>4.8</v>
      </c>
      <c r="C38" s="40">
        <f t="shared" ref="C38:E38" si="6">C31</f>
        <v>6.3</v>
      </c>
      <c r="D38" s="40">
        <f t="shared" si="6"/>
        <v>3.4</v>
      </c>
      <c r="E38" s="40">
        <f t="shared" si="6"/>
        <v>1.8</v>
      </c>
      <c r="F38" s="64">
        <f>F31</f>
        <v>2.5</v>
      </c>
      <c r="G38" s="65"/>
      <c r="H38" s="66"/>
      <c r="I38" s="40">
        <v>2</v>
      </c>
      <c r="J38" s="40">
        <v>2</v>
      </c>
      <c r="K38" s="40">
        <v>2</v>
      </c>
      <c r="L38" s="40">
        <v>2</v>
      </c>
      <c r="M38" s="40">
        <v>2</v>
      </c>
      <c r="N38" s="36"/>
    </row>
    <row r="39" spans="1:14" x14ac:dyDescent="0.35">
      <c r="A39" s="41" t="s">
        <v>36</v>
      </c>
      <c r="B39" s="33">
        <f>B35*(1+B38/100)*(1+C38/100)*(1+D38/100)*(1+E38/100)*(1+F38/100)</f>
        <v>593617.43430502631</v>
      </c>
      <c r="C39" s="33">
        <f>C35*(1+C38/100)*(1+D38/100)*(1+E38/100)*(1+F38/100)</f>
        <v>683144.83134189702</v>
      </c>
      <c r="D39" s="33">
        <f>D35*(1+D38/100)*(1+E38/100)*(1+F38/100)</f>
        <v>1488780.5679032111</v>
      </c>
      <c r="E39" s="33">
        <f>E35*(1+E38/100)*(1+F38/100)</f>
        <v>411958.34857950005</v>
      </c>
      <c r="F39" s="33">
        <f>F35*(1+$F38/100)</f>
        <v>679222.69724999997</v>
      </c>
      <c r="G39" s="33">
        <f>G35*(1+$F38/100)</f>
        <v>2121609.6570000001</v>
      </c>
      <c r="H39" s="33">
        <f>H35*(1+$F38/100)</f>
        <v>2862004.9999999995</v>
      </c>
      <c r="I39" s="33">
        <f>I35*(1-I38/100)</f>
        <v>1092602</v>
      </c>
      <c r="J39" s="33">
        <f>J35*(1-J38/100)*(1-I38/100)</f>
        <v>792233.96</v>
      </c>
      <c r="K39" s="33">
        <f>K35*(1-K38/100)*(1-J38/100)*(1-I38/100)</f>
        <v>941097.88079999993</v>
      </c>
      <c r="L39" s="33">
        <f>L35*(1-L38/100)*(1-K38/100)*(1-J38/100)*(1-I38/100)</f>
        <v>428808.95758400002</v>
      </c>
      <c r="M39" s="33">
        <f>M35*(1-M38/100)*(1-L38/100)*(1-K38/100)*(1-J38/100)*(1-I38/100)</f>
        <v>300463.27285631996</v>
      </c>
      <c r="N39" s="30"/>
    </row>
    <row r="40" spans="1:14" ht="15" thickBot="1" x14ac:dyDescent="0.4">
      <c r="A40" s="37" t="s">
        <v>37</v>
      </c>
      <c r="B40" s="59">
        <f>AVERAGE(B39,C39,D39,E39,SUM(F39:G39))</f>
        <v>1195666.7072759268</v>
      </c>
      <c r="C40" s="59"/>
      <c r="D40" s="59"/>
      <c r="E40" s="59"/>
      <c r="F40" s="59"/>
      <c r="G40" s="59"/>
      <c r="H40" s="59"/>
      <c r="I40" s="59">
        <f>AVERAGE(I39:M39)</f>
        <v>711041.21424806397</v>
      </c>
      <c r="J40" s="59"/>
      <c r="K40" s="59"/>
      <c r="L40" s="59"/>
      <c r="M40" s="59"/>
      <c r="N40" s="38" t="str">
        <f>_xlfn.CONCAT("Average NPV spend reduced by ",TEXT(B40-I40,"$#,##0")," in 2026-2030 vs 2021-2025")</f>
        <v>Average NPV spend reduced by $484,625 in 2026-2030 vs 2021-2025</v>
      </c>
    </row>
    <row r="41" spans="1:14" ht="15" thickBot="1" x14ac:dyDescent="0.4"/>
    <row r="42" spans="1:14" ht="73.5" customHeight="1" thickBot="1" x14ac:dyDescent="0.55000000000000004">
      <c r="A42" s="61" t="s">
        <v>38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3"/>
      <c r="N42" s="23"/>
    </row>
  </sheetData>
  <mergeCells count="12">
    <mergeCell ref="A42:M42"/>
    <mergeCell ref="B36:H36"/>
    <mergeCell ref="I36:M36"/>
    <mergeCell ref="F38:H38"/>
    <mergeCell ref="B40:H40"/>
    <mergeCell ref="I40:M40"/>
    <mergeCell ref="A1:M1"/>
    <mergeCell ref="B29:H29"/>
    <mergeCell ref="I29:M29"/>
    <mergeCell ref="F31:H31"/>
    <mergeCell ref="B33:H33"/>
    <mergeCell ref="I33:M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F7894191A4349AFFBDB0ED3014EF7" ma:contentTypeVersion="11" ma:contentTypeDescription="Create a new document." ma:contentTypeScope="" ma:versionID="29c00645f4b3015fbb8741df9f5fc699">
  <xsd:schema xmlns:xsd="http://www.w3.org/2001/XMLSchema" xmlns:xs="http://www.w3.org/2001/XMLSchema" xmlns:p="http://schemas.microsoft.com/office/2006/metadata/properties" xmlns:ns2="2ce4e09a-ae32-4847-a815-5fa9f01a54e1" xmlns:ns3="4d7f1431-a7a7-47b2-9af7-ceb7500f2f77" targetNamespace="http://schemas.microsoft.com/office/2006/metadata/properties" ma:root="true" ma:fieldsID="240ee7005e234f85a2f76fb5cc8ca449" ns2:_="" ns3:_="">
    <xsd:import namespace="2ce4e09a-ae32-4847-a815-5fa9f01a54e1"/>
    <xsd:import namespace="4d7f1431-a7a7-47b2-9af7-ceb7500f2f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4e09a-ae32-4847-a815-5fa9f01a5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b6cf180-5fd3-4f6f-9882-60e254dedf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1431-a7a7-47b2-9af7-ceb7500f2f7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5f20f3d-b76f-4751-a5fb-89b5aaa6554b}" ma:internalName="TaxCatchAll" ma:showField="CatchAllData" ma:web="4d7f1431-a7a7-47b2-9af7-ceb7500f2f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e4e09a-ae32-4847-a815-5fa9f01a54e1">
      <Terms xmlns="http://schemas.microsoft.com/office/infopath/2007/PartnerControls"/>
    </lcf76f155ced4ddcb4097134ff3c332f>
    <TaxCatchAll xmlns="4d7f1431-a7a7-47b2-9af7-ceb7500f2f77" xsi:nil="true"/>
  </documentManagement>
</p:properties>
</file>

<file path=customXml/itemProps1.xml><?xml version="1.0" encoding="utf-8"?>
<ds:datastoreItem xmlns:ds="http://schemas.openxmlformats.org/officeDocument/2006/customXml" ds:itemID="{5268E90B-1478-4B3F-B9AC-A51900B30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e4e09a-ae32-4847-a815-5fa9f01a54e1"/>
    <ds:schemaRef ds:uri="4d7f1431-a7a7-47b2-9af7-ceb7500f2f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71E59F-F911-4EF1-91B7-CAC2AA7B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8E2B0-6117-4B93-8E49-20D871E23B56}">
  <ds:schemaRefs>
    <ds:schemaRef ds:uri="http://schemas.microsoft.com/office/2006/metadata/properties"/>
    <ds:schemaRef ds:uri="http://schemas.microsoft.com/office/infopath/2007/PartnerControls"/>
    <ds:schemaRef ds:uri="2ce4e09a-ae32-4847-a815-5fa9f01a54e1"/>
    <ds:schemaRef ds:uri="4d7f1431-a7a7-47b2-9af7-ceb7500f2f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Maged Yackoub</dc:creator>
  <cp:keywords/>
  <dc:description/>
  <cp:lastModifiedBy>Maged Yackoub</cp:lastModifiedBy>
  <cp:revision/>
  <dcterms:created xsi:type="dcterms:W3CDTF">2025-10-31T15:30:18Z</dcterms:created>
  <dcterms:modified xsi:type="dcterms:W3CDTF">2025-11-04T22:27:29Z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0x010100167F7894191A4349AFFBDB0ED3014EF7</vt:lpwstr>
  </property>
  <property fmtid="{D5CDD505-2E9C-101B-9397-08002B2CF9AE}" pid="3" name="MediaServiceImageTags">
    <vt:lpwstr/>
  </property>
</Properties>
</file>