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chartsheets/sheet2.xml" ContentType="application/vnd.openxmlformats-officedocument.spreadsheetml.chart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2060" windowHeight="2640" tabRatio="601" firstSheet="1" activeTab="3"/>
  </bookViews>
  <sheets>
    <sheet name="Summary" sheetId="11" r:id="rId1"/>
    <sheet name="Purchased Power Model" sheetId="7" r:id="rId2"/>
    <sheet name="Rate Class Energy Model" sheetId="9" r:id="rId3"/>
    <sheet name="Rate Class Customer Model" sheetId="17" r:id="rId4"/>
    <sheet name="Rate Class Load Model" sheetId="18" r:id="rId5"/>
    <sheet name="Chart3" sheetId="20" r:id="rId6"/>
    <sheet name="Purchased vs Forecast" sheetId="25" r:id="rId7"/>
    <sheet name="Chart4" sheetId="22" r:id="rId8"/>
    <sheet name="Customer growth" sheetId="24" r:id="rId9"/>
  </sheets>
  <externalReferences>
    <externalReference r:id="rId10"/>
    <externalReference r:id="rId11"/>
    <externalReference r:id="rId12"/>
    <externalReference r:id="rId13"/>
  </externalReferences>
  <definedNames>
    <definedName name="_Order1" hidden="1">255</definedName>
    <definedName name="_xlnm.Print_Area" localSheetId="8">'Customer growth'!$A$1:$O$123</definedName>
    <definedName name="_xlnm.Print_Area" localSheetId="1">'Purchased Power Model'!$A$1:$M$316,'Purchased Power Model'!$N$113:$W$153</definedName>
    <definedName name="_xlnm.Print_Area" localSheetId="6">'Purchased vs Forecast'!$A$1:$M$27</definedName>
    <definedName name="_xlnm.Print_Area" localSheetId="3">'Rate Class Customer Model'!$A$1:$J$30</definedName>
    <definedName name="_xlnm.Print_Area" localSheetId="2">'Rate Class Energy Model'!$A$1:$P$69</definedName>
    <definedName name="_xlnm.Print_Area" localSheetId="4">'Rate Class Load Model'!$A$1:$G$27</definedName>
    <definedName name="_xlnm.Print_Area" localSheetId="0">Summary!$A$1:$K$55,Summary!$F$66:$S$113</definedName>
  </definedNames>
  <calcPr calcId="144525"/>
</workbook>
</file>

<file path=xl/calcChain.xml><?xml version="1.0" encoding="utf-8"?>
<calcChain xmlns="http://schemas.openxmlformats.org/spreadsheetml/2006/main">
  <c r="C256" i="7" l="1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I13" i="17"/>
  <c r="I12" i="17"/>
  <c r="I11" i="17"/>
  <c r="I10" i="17"/>
  <c r="I9" i="17"/>
  <c r="I8" i="17"/>
  <c r="I7" i="17"/>
  <c r="I6" i="17"/>
  <c r="I5" i="17"/>
  <c r="H12" i="17"/>
  <c r="E12" i="17"/>
  <c r="D12" i="17"/>
  <c r="C12" i="17"/>
  <c r="B12" i="17"/>
  <c r="H11" i="17"/>
  <c r="E11" i="17"/>
  <c r="D11" i="17"/>
  <c r="C11" i="17"/>
  <c r="B11" i="17"/>
  <c r="H10" i="17"/>
  <c r="E10" i="17"/>
  <c r="D10" i="17"/>
  <c r="C10" i="17"/>
  <c r="B10" i="17"/>
  <c r="H9" i="17"/>
  <c r="E9" i="17"/>
  <c r="D9" i="17"/>
  <c r="C9" i="17"/>
  <c r="B9" i="17"/>
  <c r="H8" i="17"/>
  <c r="E8" i="17"/>
  <c r="D8" i="17"/>
  <c r="C8" i="17"/>
  <c r="B8" i="17"/>
  <c r="H7" i="17"/>
  <c r="E7" i="17"/>
  <c r="D7" i="17"/>
  <c r="C7" i="17"/>
  <c r="B7" i="17"/>
  <c r="H6" i="17"/>
  <c r="E6" i="17"/>
  <c r="D6" i="17"/>
  <c r="C6" i="17"/>
  <c r="B6" i="17"/>
  <c r="H5" i="17"/>
  <c r="E5" i="17"/>
  <c r="D5" i="17"/>
  <c r="C5" i="17"/>
  <c r="B5" i="17"/>
  <c r="B253" i="7"/>
  <c r="B252" i="7"/>
  <c r="B251" i="7"/>
  <c r="B250" i="7"/>
  <c r="B247" i="7"/>
  <c r="B246" i="7"/>
  <c r="B245" i="7"/>
  <c r="B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I66" i="11" l="1"/>
  <c r="J66" i="11"/>
  <c r="K66" i="11"/>
  <c r="K69" i="11"/>
  <c r="O71" i="11"/>
  <c r="O74" i="11"/>
  <c r="O75" i="11"/>
  <c r="O78" i="11"/>
  <c r="O79" i="11"/>
  <c r="O82" i="11"/>
  <c r="O83" i="11"/>
  <c r="O84" i="11"/>
  <c r="N86" i="11"/>
  <c r="O87" i="11"/>
  <c r="O88" i="11"/>
  <c r="O89" i="11"/>
  <c r="O92" i="11"/>
  <c r="O93" i="11"/>
  <c r="O94" i="11"/>
  <c r="O97" i="11"/>
  <c r="O98" i="11"/>
  <c r="O99" i="11"/>
  <c r="G113" i="11" l="1"/>
  <c r="G112" i="11"/>
  <c r="G111" i="11"/>
  <c r="T144" i="7" l="1"/>
  <c r="T145" i="7"/>
  <c r="T146" i="7"/>
  <c r="T147" i="7"/>
  <c r="T148" i="7"/>
  <c r="T149" i="7"/>
  <c r="T150" i="7"/>
  <c r="T151" i="7"/>
  <c r="T152" i="7"/>
  <c r="R144" i="7"/>
  <c r="R145" i="7"/>
  <c r="R146" i="7"/>
  <c r="R147" i="7"/>
  <c r="R148" i="7"/>
  <c r="R149" i="7"/>
  <c r="R150" i="7"/>
  <c r="R151" i="7"/>
  <c r="R152" i="7"/>
  <c r="C268" i="7" l="1"/>
  <c r="C267" i="7"/>
  <c r="C266" i="7"/>
  <c r="C265" i="7"/>
  <c r="C264" i="7"/>
  <c r="C263" i="7"/>
  <c r="C262" i="7"/>
  <c r="C261" i="7"/>
  <c r="C260" i="7"/>
  <c r="C259" i="7"/>
  <c r="C258" i="7"/>
  <c r="C257" i="7"/>
  <c r="B249" i="7" l="1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J259" i="7" l="1"/>
  <c r="J258" i="7"/>
  <c r="J257" i="7"/>
  <c r="J256" i="7"/>
  <c r="J255" i="7"/>
  <c r="J267" i="7" s="1"/>
  <c r="J254" i="7"/>
  <c r="J253" i="7"/>
  <c r="J252" i="7"/>
  <c r="J251" i="7"/>
  <c r="J250" i="7"/>
  <c r="J249" i="7"/>
  <c r="J248" i="7"/>
  <c r="K248" i="7" s="1"/>
  <c r="J260" i="7" l="1"/>
  <c r="J262" i="7"/>
  <c r="J264" i="7"/>
  <c r="J266" i="7"/>
  <c r="J268" i="7"/>
  <c r="J261" i="7"/>
  <c r="J263" i="7"/>
  <c r="J265" i="7"/>
  <c r="K249" i="7"/>
  <c r="O32" i="9" l="1"/>
  <c r="I6" i="24" s="1"/>
  <c r="O31" i="9"/>
  <c r="J13" i="17"/>
  <c r="J17" i="11"/>
  <c r="J79" i="11" s="1"/>
  <c r="R79" i="11" s="1"/>
  <c r="I17" i="11"/>
  <c r="I79" i="11" s="1"/>
  <c r="Q79" i="11" s="1"/>
  <c r="H17" i="11"/>
  <c r="H79" i="11" s="1"/>
  <c r="P79" i="11" s="1"/>
  <c r="G17" i="11"/>
  <c r="F17" i="11"/>
  <c r="E17" i="11"/>
  <c r="D17" i="11"/>
  <c r="C17" i="11"/>
  <c r="J36" i="11"/>
  <c r="J98" i="11" s="1"/>
  <c r="R98" i="11" s="1"/>
  <c r="I36" i="11"/>
  <c r="I98" i="11" s="1"/>
  <c r="Q98" i="11" s="1"/>
  <c r="H36" i="11"/>
  <c r="H98" i="11" s="1"/>
  <c r="P98" i="11" s="1"/>
  <c r="G36" i="11"/>
  <c r="F36" i="11"/>
  <c r="E36" i="11"/>
  <c r="D36" i="11"/>
  <c r="C36" i="11"/>
  <c r="B36" i="11"/>
  <c r="B17" i="11"/>
  <c r="K300" i="7"/>
  <c r="H300" i="7" s="1"/>
  <c r="K298" i="7"/>
  <c r="K296" i="7"/>
  <c r="H296" i="7" s="1"/>
  <c r="G3" i="18"/>
  <c r="G4" i="18"/>
  <c r="G5" i="18"/>
  <c r="G6" i="18"/>
  <c r="G7" i="18"/>
  <c r="G8" i="18"/>
  <c r="G9" i="18"/>
  <c r="G10" i="18"/>
  <c r="G11" i="18"/>
  <c r="B17" i="18"/>
  <c r="C17" i="18"/>
  <c r="D17" i="18"/>
  <c r="E17" i="18"/>
  <c r="F17" i="18"/>
  <c r="B18" i="18"/>
  <c r="C18" i="18"/>
  <c r="D18" i="18"/>
  <c r="E18" i="18"/>
  <c r="F18" i="18"/>
  <c r="B19" i="18"/>
  <c r="C19" i="18"/>
  <c r="D19" i="18"/>
  <c r="E19" i="18"/>
  <c r="F19" i="18"/>
  <c r="B20" i="18"/>
  <c r="C20" i="18"/>
  <c r="D20" i="18"/>
  <c r="E20" i="18"/>
  <c r="F20" i="18"/>
  <c r="B21" i="18"/>
  <c r="C21" i="18"/>
  <c r="D21" i="18"/>
  <c r="E21" i="18"/>
  <c r="F21" i="18"/>
  <c r="B22" i="18"/>
  <c r="C22" i="18"/>
  <c r="D22" i="18"/>
  <c r="E22" i="18"/>
  <c r="F22" i="18"/>
  <c r="B23" i="18"/>
  <c r="C23" i="18"/>
  <c r="D23" i="18"/>
  <c r="E23" i="18"/>
  <c r="F23" i="18"/>
  <c r="B24" i="18"/>
  <c r="C24" i="18"/>
  <c r="D24" i="18"/>
  <c r="E24" i="18"/>
  <c r="F24" i="18"/>
  <c r="B25" i="18"/>
  <c r="C25" i="18"/>
  <c r="D25" i="18"/>
  <c r="E25" i="18"/>
  <c r="F25" i="18"/>
  <c r="B2" i="17"/>
  <c r="C2" i="17"/>
  <c r="D2" i="17"/>
  <c r="B1" i="18" s="1"/>
  <c r="E2" i="17"/>
  <c r="C1" i="18" s="1"/>
  <c r="G2" i="17"/>
  <c r="E1" i="18" s="1"/>
  <c r="H2" i="17"/>
  <c r="F1" i="18" s="1"/>
  <c r="I2" i="17"/>
  <c r="B20" i="17"/>
  <c r="H20" i="17"/>
  <c r="B22" i="17"/>
  <c r="H22" i="17"/>
  <c r="B24" i="17"/>
  <c r="H24" i="17"/>
  <c r="B26" i="17"/>
  <c r="H26" i="17"/>
  <c r="D20" i="17"/>
  <c r="F20" i="17"/>
  <c r="G20" i="17"/>
  <c r="D21" i="17"/>
  <c r="F21" i="17"/>
  <c r="G21" i="17"/>
  <c r="D22" i="17"/>
  <c r="F22" i="17"/>
  <c r="G22" i="17"/>
  <c r="D23" i="17"/>
  <c r="F23" i="17"/>
  <c r="G23" i="17"/>
  <c r="D24" i="17"/>
  <c r="F24" i="17"/>
  <c r="G24" i="17"/>
  <c r="I24" i="17"/>
  <c r="D25" i="17"/>
  <c r="F25" i="17"/>
  <c r="G25" i="17"/>
  <c r="I25" i="17"/>
  <c r="D26" i="17"/>
  <c r="F26" i="17"/>
  <c r="G26" i="17"/>
  <c r="I26" i="17"/>
  <c r="D27" i="17"/>
  <c r="F27" i="17"/>
  <c r="G27" i="17"/>
  <c r="I27" i="17"/>
  <c r="F30" i="17"/>
  <c r="F28" i="17" s="1"/>
  <c r="F14" i="17" s="1"/>
  <c r="A7" i="9"/>
  <c r="C7" i="9"/>
  <c r="A8" i="9"/>
  <c r="A9" i="9"/>
  <c r="A10" i="9"/>
  <c r="A11" i="9"/>
  <c r="A28" i="9" s="1"/>
  <c r="A12" i="9"/>
  <c r="A29" i="9" s="1"/>
  <c r="G12" i="9"/>
  <c r="B8" i="11" s="1"/>
  <c r="A13" i="9"/>
  <c r="G13" i="9"/>
  <c r="A14" i="9"/>
  <c r="G14" i="9"/>
  <c r="D54" i="11" s="1"/>
  <c r="A15" i="9"/>
  <c r="A32" i="9" s="1"/>
  <c r="G15" i="9"/>
  <c r="A16" i="9"/>
  <c r="A33" i="9" s="1"/>
  <c r="G16" i="9"/>
  <c r="A17" i="9"/>
  <c r="A34" i="9" s="1"/>
  <c r="G17" i="9"/>
  <c r="G8" i="11" s="1"/>
  <c r="A18" i="9"/>
  <c r="A35" i="9" s="1"/>
  <c r="G18" i="9"/>
  <c r="A19" i="9"/>
  <c r="A36" i="9" s="1"/>
  <c r="G19" i="9"/>
  <c r="A20" i="9"/>
  <c r="A37" i="9" s="1"/>
  <c r="G20" i="9"/>
  <c r="A21" i="9"/>
  <c r="A38" i="9" s="1"/>
  <c r="A27" i="9"/>
  <c r="H29" i="9"/>
  <c r="B3" i="24" s="1"/>
  <c r="I29" i="9"/>
  <c r="C3" i="24" s="1"/>
  <c r="J29" i="9"/>
  <c r="D3" i="24" s="1"/>
  <c r="K29" i="9"/>
  <c r="E3" i="24" s="1"/>
  <c r="L29" i="9"/>
  <c r="F3" i="24" s="1"/>
  <c r="M29" i="9"/>
  <c r="G3" i="24"/>
  <c r="N29" i="9"/>
  <c r="H3" i="24" s="1"/>
  <c r="O29" i="9"/>
  <c r="I3" i="24" s="1"/>
  <c r="A30" i="9"/>
  <c r="H30" i="9"/>
  <c r="B4" i="24" s="1"/>
  <c r="I30" i="9"/>
  <c r="C4" i="24" s="1"/>
  <c r="J30" i="9"/>
  <c r="D4" i="24" s="1"/>
  <c r="K30" i="9"/>
  <c r="E4" i="24" s="1"/>
  <c r="L30" i="9"/>
  <c r="F4" i="24" s="1"/>
  <c r="M30" i="9"/>
  <c r="G4" i="24" s="1"/>
  <c r="G14" i="24" s="1"/>
  <c r="N30" i="9"/>
  <c r="H4" i="24" s="1"/>
  <c r="O30" i="9"/>
  <c r="I4" i="24" s="1"/>
  <c r="A31" i="9"/>
  <c r="H31" i="9"/>
  <c r="B5" i="24" s="1"/>
  <c r="I31" i="9"/>
  <c r="C5" i="24" s="1"/>
  <c r="J31" i="9"/>
  <c r="D5" i="24" s="1"/>
  <c r="K31" i="9"/>
  <c r="E5" i="24" s="1"/>
  <c r="L31" i="9"/>
  <c r="F5" i="24" s="1"/>
  <c r="M31" i="9"/>
  <c r="G5" i="24" s="1"/>
  <c r="N31" i="9"/>
  <c r="H5" i="24" s="1"/>
  <c r="H32" i="9"/>
  <c r="B6" i="24" s="1"/>
  <c r="I32" i="9"/>
  <c r="C6" i="24" s="1"/>
  <c r="J32" i="9"/>
  <c r="D6" i="24" s="1"/>
  <c r="K32" i="9"/>
  <c r="E6" i="24" s="1"/>
  <c r="L32" i="9"/>
  <c r="F6" i="24" s="1"/>
  <c r="M32" i="9"/>
  <c r="G6" i="24" s="1"/>
  <c r="G16" i="24" s="1"/>
  <c r="N32" i="9"/>
  <c r="H6" i="24" s="1"/>
  <c r="H33" i="9"/>
  <c r="B7" i="24" s="1"/>
  <c r="I33" i="9"/>
  <c r="C7" i="24" s="1"/>
  <c r="J33" i="9"/>
  <c r="D7" i="24" s="1"/>
  <c r="K33" i="9"/>
  <c r="E7" i="24" s="1"/>
  <c r="L33" i="9"/>
  <c r="F7" i="24" s="1"/>
  <c r="F17" i="24" s="1"/>
  <c r="M33" i="9"/>
  <c r="G7" i="24" s="1"/>
  <c r="G17" i="24" s="1"/>
  <c r="N33" i="9"/>
  <c r="H7" i="24" s="1"/>
  <c r="O33" i="9"/>
  <c r="I7" i="24" s="1"/>
  <c r="H34" i="9"/>
  <c r="B8" i="24" s="1"/>
  <c r="I34" i="9"/>
  <c r="C8" i="24" s="1"/>
  <c r="J34" i="9"/>
  <c r="D8" i="24" s="1"/>
  <c r="K34" i="9"/>
  <c r="E8" i="24" s="1"/>
  <c r="L34" i="9"/>
  <c r="F8" i="24" s="1"/>
  <c r="M34" i="9"/>
  <c r="G8" i="24" s="1"/>
  <c r="N34" i="9"/>
  <c r="H8" i="24" s="1"/>
  <c r="O34" i="9"/>
  <c r="I8" i="24" s="1"/>
  <c r="I18" i="24" s="1"/>
  <c r="H35" i="9"/>
  <c r="B9" i="24" s="1"/>
  <c r="I35" i="9"/>
  <c r="C9" i="24" s="1"/>
  <c r="J35" i="9"/>
  <c r="D9" i="24" s="1"/>
  <c r="K35" i="9"/>
  <c r="E9" i="24" s="1"/>
  <c r="L35" i="9"/>
  <c r="F9" i="24" s="1"/>
  <c r="M35" i="9"/>
  <c r="G9" i="24" s="1"/>
  <c r="G19" i="24" s="1"/>
  <c r="N35" i="9"/>
  <c r="H9" i="24" s="1"/>
  <c r="H19" i="24" s="1"/>
  <c r="O35" i="9"/>
  <c r="I9" i="24" s="1"/>
  <c r="H36" i="9"/>
  <c r="B10" i="24" s="1"/>
  <c r="I36" i="9"/>
  <c r="C10" i="24" s="1"/>
  <c r="J36" i="9"/>
  <c r="D10" i="24" s="1"/>
  <c r="K36" i="9"/>
  <c r="E10" i="24" s="1"/>
  <c r="E20" i="24" s="1"/>
  <c r="L36" i="9"/>
  <c r="F10" i="24" s="1"/>
  <c r="F20" i="24" s="1"/>
  <c r="M36" i="9"/>
  <c r="G10" i="24" s="1"/>
  <c r="G20" i="24" s="1"/>
  <c r="N36" i="9"/>
  <c r="H10" i="24" s="1"/>
  <c r="O36" i="9"/>
  <c r="I10" i="24" s="1"/>
  <c r="H37" i="9"/>
  <c r="B11" i="24" s="1"/>
  <c r="I37" i="9"/>
  <c r="C11" i="24" s="1"/>
  <c r="J37" i="9"/>
  <c r="D11" i="24" s="1"/>
  <c r="K37" i="9"/>
  <c r="E11" i="24" s="1"/>
  <c r="L37" i="9"/>
  <c r="F11" i="24" s="1"/>
  <c r="M37" i="9"/>
  <c r="N37" i="9"/>
  <c r="H11" i="24" s="1"/>
  <c r="O37" i="9"/>
  <c r="I11" i="24" s="1"/>
  <c r="L44" i="9"/>
  <c r="M48" i="9"/>
  <c r="A61" i="9"/>
  <c r="A65" i="9" s="1"/>
  <c r="A69" i="9" s="1"/>
  <c r="N2" i="7"/>
  <c r="K293" i="7"/>
  <c r="K295" i="7"/>
  <c r="C10" i="9" s="1"/>
  <c r="R153" i="7"/>
  <c r="T153" i="7"/>
  <c r="B248" i="7"/>
  <c r="B305" i="7" s="1"/>
  <c r="D261" i="7"/>
  <c r="K261" i="7" s="1"/>
  <c r="K250" i="7"/>
  <c r="K251" i="7"/>
  <c r="K252" i="7"/>
  <c r="K253" i="7"/>
  <c r="D254" i="7"/>
  <c r="K254" i="7" s="1"/>
  <c r="D255" i="7"/>
  <c r="K255" i="7" s="1"/>
  <c r="D256" i="7"/>
  <c r="K256" i="7" s="1"/>
  <c r="D257" i="7"/>
  <c r="K257" i="7" s="1"/>
  <c r="D258" i="7"/>
  <c r="K258" i="7" s="1"/>
  <c r="D259" i="7"/>
  <c r="K259" i="7" s="1"/>
  <c r="D260" i="7"/>
  <c r="K260" i="7" s="1"/>
  <c r="D265" i="7"/>
  <c r="K265" i="7" s="1"/>
  <c r="B292" i="7"/>
  <c r="B7" i="9" s="1"/>
  <c r="D7" i="9" s="1"/>
  <c r="B293" i="7"/>
  <c r="B297" i="7"/>
  <c r="B306" i="7"/>
  <c r="I306" i="7" s="1"/>
  <c r="B307" i="7"/>
  <c r="I307" i="7" s="1"/>
  <c r="H1" i="11"/>
  <c r="C8" i="11"/>
  <c r="D8" i="11"/>
  <c r="E8" i="11"/>
  <c r="F8" i="11"/>
  <c r="H8" i="11"/>
  <c r="H71" i="11" s="1"/>
  <c r="I8" i="11"/>
  <c r="I71" i="11" s="1"/>
  <c r="A11" i="11"/>
  <c r="B12" i="11"/>
  <c r="C12" i="11"/>
  <c r="D12" i="11"/>
  <c r="E12" i="11"/>
  <c r="F12" i="11"/>
  <c r="G12" i="11"/>
  <c r="H12" i="11"/>
  <c r="H74" i="11" s="1"/>
  <c r="P74" i="11" s="1"/>
  <c r="I12" i="11"/>
  <c r="I74" i="11" s="1"/>
  <c r="Q74" i="11" s="1"/>
  <c r="J12" i="11"/>
  <c r="J74" i="11" s="1"/>
  <c r="R74" i="11" s="1"/>
  <c r="B13" i="11"/>
  <c r="C13" i="11"/>
  <c r="D13" i="11"/>
  <c r="E13" i="11"/>
  <c r="F13" i="11"/>
  <c r="G13" i="11"/>
  <c r="H13" i="11"/>
  <c r="H75" i="11" s="1"/>
  <c r="P75" i="11" s="1"/>
  <c r="I13" i="11"/>
  <c r="I75" i="11" s="1"/>
  <c r="Q75" i="11" s="1"/>
  <c r="J13" i="11"/>
  <c r="J75" i="11" s="1"/>
  <c r="R75" i="11" s="1"/>
  <c r="A15" i="11"/>
  <c r="F77" i="11" s="1"/>
  <c r="N77" i="11" s="1"/>
  <c r="B16" i="11"/>
  <c r="C16" i="11"/>
  <c r="D16" i="11"/>
  <c r="E16" i="11"/>
  <c r="F16" i="11"/>
  <c r="G16" i="11"/>
  <c r="H16" i="11"/>
  <c r="H78" i="11" s="1"/>
  <c r="P78" i="11" s="1"/>
  <c r="I16" i="11"/>
  <c r="I78" i="11" s="1"/>
  <c r="Q78" i="11" s="1"/>
  <c r="J16" i="11"/>
  <c r="J78" i="11" s="1"/>
  <c r="R78" i="11" s="1"/>
  <c r="A19" i="11"/>
  <c r="B20" i="11"/>
  <c r="C20" i="11"/>
  <c r="D20" i="11"/>
  <c r="E20" i="11"/>
  <c r="F20" i="11"/>
  <c r="G20" i="11"/>
  <c r="H20" i="11"/>
  <c r="H82" i="11" s="1"/>
  <c r="P82" i="11" s="1"/>
  <c r="I20" i="11"/>
  <c r="I82" i="11" s="1"/>
  <c r="Q82" i="11" s="1"/>
  <c r="J20" i="11"/>
  <c r="J82" i="11" s="1"/>
  <c r="R82" i="11" s="1"/>
  <c r="B21" i="11"/>
  <c r="C21" i="11"/>
  <c r="D21" i="11"/>
  <c r="E21" i="11"/>
  <c r="F21" i="11"/>
  <c r="G21" i="11"/>
  <c r="H21" i="11"/>
  <c r="H83" i="11" s="1"/>
  <c r="P83" i="11" s="1"/>
  <c r="I21" i="11"/>
  <c r="I83" i="11" s="1"/>
  <c r="Q83" i="11" s="1"/>
  <c r="J21" i="11"/>
  <c r="J83" i="11" s="1"/>
  <c r="R83" i="11" s="1"/>
  <c r="B22" i="11"/>
  <c r="C22" i="11"/>
  <c r="D22" i="11"/>
  <c r="E22" i="11"/>
  <c r="F22" i="11"/>
  <c r="G22" i="11"/>
  <c r="H22" i="11"/>
  <c r="H84" i="11" s="1"/>
  <c r="P84" i="11" s="1"/>
  <c r="I22" i="11"/>
  <c r="I84" i="11" s="1"/>
  <c r="Q84" i="11" s="1"/>
  <c r="J22" i="11"/>
  <c r="J84" i="11" s="1"/>
  <c r="R84" i="11" s="1"/>
  <c r="A24" i="11"/>
  <c r="B25" i="11"/>
  <c r="C25" i="11"/>
  <c r="D25" i="11"/>
  <c r="E25" i="11"/>
  <c r="F25" i="11"/>
  <c r="G25" i="11"/>
  <c r="H25" i="11"/>
  <c r="H87" i="11" s="1"/>
  <c r="P87" i="11" s="1"/>
  <c r="I25" i="11"/>
  <c r="I87" i="11" s="1"/>
  <c r="Q87" i="11" s="1"/>
  <c r="J25" i="11"/>
  <c r="J87" i="11" s="1"/>
  <c r="R87" i="11" s="1"/>
  <c r="B26" i="11"/>
  <c r="C26" i="11"/>
  <c r="D26" i="11"/>
  <c r="E26" i="11"/>
  <c r="F26" i="11"/>
  <c r="G26" i="11"/>
  <c r="H26" i="11"/>
  <c r="H88" i="11" s="1"/>
  <c r="P88" i="11" s="1"/>
  <c r="I26" i="11"/>
  <c r="I88" i="11" s="1"/>
  <c r="Q88" i="11" s="1"/>
  <c r="J26" i="11"/>
  <c r="J88" i="11" s="1"/>
  <c r="R88" i="11" s="1"/>
  <c r="B27" i="11"/>
  <c r="C27" i="11"/>
  <c r="D27" i="11"/>
  <c r="E27" i="11"/>
  <c r="F27" i="11"/>
  <c r="G27" i="11"/>
  <c r="H27" i="11"/>
  <c r="H89" i="11" s="1"/>
  <c r="P89" i="11" s="1"/>
  <c r="I27" i="11"/>
  <c r="I89" i="11" s="1"/>
  <c r="Q89" i="11" s="1"/>
  <c r="J27" i="11"/>
  <c r="J89" i="11" s="1"/>
  <c r="R89" i="11" s="1"/>
  <c r="A29" i="11"/>
  <c r="B30" i="11"/>
  <c r="C30" i="11"/>
  <c r="D30" i="11"/>
  <c r="E30" i="11"/>
  <c r="F30" i="11"/>
  <c r="G30" i="11"/>
  <c r="H30" i="11"/>
  <c r="H92" i="11" s="1"/>
  <c r="P92" i="11" s="1"/>
  <c r="I30" i="11"/>
  <c r="I92" i="11" s="1"/>
  <c r="Q92" i="11" s="1"/>
  <c r="J30" i="11"/>
  <c r="J92" i="11" s="1"/>
  <c r="R92" i="11" s="1"/>
  <c r="B31" i="11"/>
  <c r="C31" i="11"/>
  <c r="D31" i="11"/>
  <c r="E31" i="11"/>
  <c r="F31" i="11"/>
  <c r="G31" i="11"/>
  <c r="H31" i="11"/>
  <c r="H93" i="11" s="1"/>
  <c r="P93" i="11" s="1"/>
  <c r="I31" i="11"/>
  <c r="I93" i="11" s="1"/>
  <c r="J31" i="11"/>
  <c r="J93" i="11" s="1"/>
  <c r="B32" i="11"/>
  <c r="C32" i="11"/>
  <c r="D32" i="11"/>
  <c r="E32" i="11"/>
  <c r="F32" i="11"/>
  <c r="G32" i="11"/>
  <c r="H32" i="11"/>
  <c r="H94" i="11" s="1"/>
  <c r="P94" i="11" s="1"/>
  <c r="I32" i="11"/>
  <c r="I94" i="11" s="1"/>
  <c r="Q94" i="11" s="1"/>
  <c r="J32" i="11"/>
  <c r="J94" i="11" s="1"/>
  <c r="R94" i="11" s="1"/>
  <c r="A34" i="11"/>
  <c r="F96" i="11" s="1"/>
  <c r="N96" i="11" s="1"/>
  <c r="B35" i="11"/>
  <c r="C35" i="11"/>
  <c r="D35" i="11"/>
  <c r="E35" i="11"/>
  <c r="F35" i="11"/>
  <c r="G35" i="11"/>
  <c r="H35" i="11"/>
  <c r="H97" i="11" s="1"/>
  <c r="P97" i="11" s="1"/>
  <c r="I35" i="11"/>
  <c r="I97" i="11" s="1"/>
  <c r="Q97" i="11" s="1"/>
  <c r="J35" i="11"/>
  <c r="J97" i="11" s="1"/>
  <c r="R97" i="11" s="1"/>
  <c r="B37" i="11"/>
  <c r="C37" i="11"/>
  <c r="D37" i="11"/>
  <c r="E37" i="11"/>
  <c r="F37" i="11"/>
  <c r="G37" i="11"/>
  <c r="H37" i="11"/>
  <c r="H99" i="11" s="1"/>
  <c r="P99" i="11" s="1"/>
  <c r="I37" i="11"/>
  <c r="I99" i="11" s="1"/>
  <c r="Q99" i="11" s="1"/>
  <c r="J37" i="11"/>
  <c r="J99" i="11" s="1"/>
  <c r="R99" i="11" s="1"/>
  <c r="A39" i="11"/>
  <c r="B40" i="11"/>
  <c r="C40" i="11"/>
  <c r="D40" i="11"/>
  <c r="E40" i="11"/>
  <c r="F40" i="11"/>
  <c r="G40" i="11"/>
  <c r="H40" i="11"/>
  <c r="H102" i="11" s="1"/>
  <c r="P102" i="11" s="1"/>
  <c r="I40" i="11"/>
  <c r="J40" i="11"/>
  <c r="B41" i="11"/>
  <c r="C41" i="11"/>
  <c r="D41" i="11"/>
  <c r="E41" i="11"/>
  <c r="F41" i="11"/>
  <c r="G41" i="11"/>
  <c r="H41" i="11"/>
  <c r="H103" i="11" s="1"/>
  <c r="P103" i="11" s="1"/>
  <c r="I41" i="11"/>
  <c r="J41" i="11"/>
  <c r="B42" i="11"/>
  <c r="B51" i="11" s="1"/>
  <c r="C42" i="11"/>
  <c r="D42" i="11"/>
  <c r="E42" i="11"/>
  <c r="F42" i="11"/>
  <c r="G42" i="11"/>
  <c r="H42" i="11"/>
  <c r="H104" i="11" s="1"/>
  <c r="P104" i="11" s="1"/>
  <c r="I42" i="11"/>
  <c r="J42" i="11"/>
  <c r="J51" i="11" s="1"/>
  <c r="A44" i="11"/>
  <c r="B45" i="11"/>
  <c r="C45" i="11"/>
  <c r="F45" i="11"/>
  <c r="G45" i="11"/>
  <c r="H45" i="11"/>
  <c r="H107" i="11" s="1"/>
  <c r="P107" i="11" s="1"/>
  <c r="I45" i="11"/>
  <c r="J45" i="11"/>
  <c r="B46" i="11"/>
  <c r="C46" i="11"/>
  <c r="D46" i="11"/>
  <c r="E46" i="11"/>
  <c r="F46" i="11"/>
  <c r="G46" i="11"/>
  <c r="H46" i="11"/>
  <c r="H108" i="11" s="1"/>
  <c r="P108" i="11" s="1"/>
  <c r="I46" i="11"/>
  <c r="J46" i="11"/>
  <c r="C51" i="11"/>
  <c r="D51" i="11"/>
  <c r="J53" i="11"/>
  <c r="B54" i="11"/>
  <c r="C54" i="11"/>
  <c r="E54" i="11"/>
  <c r="F54" i="11"/>
  <c r="G54" i="11"/>
  <c r="H54" i="11"/>
  <c r="I54" i="11"/>
  <c r="J54" i="11"/>
  <c r="B55" i="11"/>
  <c r="C55" i="11"/>
  <c r="D55" i="11"/>
  <c r="E55" i="11"/>
  <c r="F55" i="11"/>
  <c r="G55" i="11"/>
  <c r="H55" i="11"/>
  <c r="I55" i="11"/>
  <c r="J55" i="11"/>
  <c r="F67" i="11"/>
  <c r="F68" i="11"/>
  <c r="F69" i="11"/>
  <c r="F71" i="11"/>
  <c r="F72" i="11"/>
  <c r="N72" i="11" s="1"/>
  <c r="F73" i="11"/>
  <c r="N73" i="11" s="1"/>
  <c r="F74" i="11"/>
  <c r="N74" i="11" s="1"/>
  <c r="F75" i="11"/>
  <c r="N75" i="11" s="1"/>
  <c r="F78" i="11"/>
  <c r="N78" i="11" s="1"/>
  <c r="F79" i="11"/>
  <c r="N79" i="11" s="1"/>
  <c r="F81" i="11"/>
  <c r="N81" i="11" s="1"/>
  <c r="F82" i="11"/>
  <c r="N82" i="11" s="1"/>
  <c r="F83" i="11"/>
  <c r="N83" i="11" s="1"/>
  <c r="F84" i="11"/>
  <c r="N84" i="11" s="1"/>
  <c r="F87" i="11"/>
  <c r="N87" i="11" s="1"/>
  <c r="F88" i="11"/>
  <c r="N88" i="11" s="1"/>
  <c r="F89" i="11"/>
  <c r="N89" i="11" s="1"/>
  <c r="F91" i="11"/>
  <c r="N91" i="11" s="1"/>
  <c r="F92" i="11"/>
  <c r="N92" i="11" s="1"/>
  <c r="F93" i="11"/>
  <c r="N93" i="11" s="1"/>
  <c r="F94" i="11"/>
  <c r="N94" i="11" s="1"/>
  <c r="F98" i="11"/>
  <c r="N98" i="11" s="1"/>
  <c r="F99" i="11"/>
  <c r="N99" i="11" s="1"/>
  <c r="F101" i="11"/>
  <c r="N101" i="11" s="1"/>
  <c r="F102" i="11"/>
  <c r="J102" i="11"/>
  <c r="N102" i="11"/>
  <c r="O102" i="11"/>
  <c r="R102" i="11"/>
  <c r="F103" i="11"/>
  <c r="N103" i="11" s="1"/>
  <c r="I103" i="11"/>
  <c r="Q103" i="11" s="1"/>
  <c r="J103" i="11"/>
  <c r="O103" i="11"/>
  <c r="R103" i="11"/>
  <c r="F104" i="11"/>
  <c r="N104" i="11" s="1"/>
  <c r="I104" i="11"/>
  <c r="Q104" i="11" s="1"/>
  <c r="J104" i="11"/>
  <c r="R104" i="11" s="1"/>
  <c r="O104" i="11"/>
  <c r="F106" i="11"/>
  <c r="N106" i="11" s="1"/>
  <c r="F107" i="11"/>
  <c r="N107" i="11"/>
  <c r="O107" i="11"/>
  <c r="F108" i="11"/>
  <c r="N108" i="11" s="1"/>
  <c r="O108" i="11"/>
  <c r="F110" i="11"/>
  <c r="N110" i="11" s="1"/>
  <c r="F111" i="11"/>
  <c r="N111" i="11"/>
  <c r="O111" i="11"/>
  <c r="F112" i="11"/>
  <c r="N112" i="11" s="1"/>
  <c r="O112" i="11"/>
  <c r="F113" i="11"/>
  <c r="N113" i="11" s="1"/>
  <c r="O113" i="11"/>
  <c r="K299" i="7"/>
  <c r="H299" i="7" s="1"/>
  <c r="K297" i="7"/>
  <c r="B5" i="11" s="1"/>
  <c r="G11" i="24"/>
  <c r="G30" i="17"/>
  <c r="G28" i="17" s="1"/>
  <c r="G14" i="17" s="1"/>
  <c r="M44" i="9"/>
  <c r="M43" i="9"/>
  <c r="K294" i="7"/>
  <c r="C9" i="9" s="1"/>
  <c r="H295" i="7"/>
  <c r="C5" i="25" s="1"/>
  <c r="H293" i="7"/>
  <c r="H298" i="7"/>
  <c r="C5" i="11"/>
  <c r="C13" i="9"/>
  <c r="C15" i="9"/>
  <c r="C8" i="9" l="1"/>
  <c r="J8" i="11"/>
  <c r="J71" i="11" s="1"/>
  <c r="B27" i="18"/>
  <c r="D27" i="18"/>
  <c r="C27" i="18"/>
  <c r="F27" i="18"/>
  <c r="E27" i="18"/>
  <c r="J108" i="11"/>
  <c r="R108" i="11" s="1"/>
  <c r="I107" i="11"/>
  <c r="Q107" i="11" s="1"/>
  <c r="I102" i="11"/>
  <c r="Q102" i="11" s="1"/>
  <c r="I50" i="11"/>
  <c r="I112" i="11" s="1"/>
  <c r="Q112" i="11" s="1"/>
  <c r="G50" i="11"/>
  <c r="G58" i="11" s="1"/>
  <c r="E50" i="11"/>
  <c r="E58" i="11" s="1"/>
  <c r="C50" i="11"/>
  <c r="C58" i="11" s="1"/>
  <c r="D59" i="11"/>
  <c r="I51" i="11"/>
  <c r="I59" i="11" s="1"/>
  <c r="H51" i="11"/>
  <c r="F51" i="11"/>
  <c r="F59" i="11" s="1"/>
  <c r="I108" i="11"/>
  <c r="Q108" i="11" s="1"/>
  <c r="C59" i="11"/>
  <c r="B59" i="11"/>
  <c r="G51" i="11"/>
  <c r="G59" i="11" s="1"/>
  <c r="E51" i="11"/>
  <c r="E59" i="11" s="1"/>
  <c r="I20" i="17"/>
  <c r="D30" i="17"/>
  <c r="D28" i="17" s="1"/>
  <c r="D14" i="17" s="1"/>
  <c r="I5" i="24"/>
  <c r="O44" i="9"/>
  <c r="N50" i="9"/>
  <c r="I23" i="17"/>
  <c r="I21" i="17"/>
  <c r="E45" i="11"/>
  <c r="I22" i="17"/>
  <c r="B4" i="11"/>
  <c r="B6" i="11" s="1"/>
  <c r="D45" i="11"/>
  <c r="I113" i="11"/>
  <c r="Q113" i="11" s="1"/>
  <c r="J113" i="11"/>
  <c r="R113" i="11" s="1"/>
  <c r="J59" i="11"/>
  <c r="L48" i="9"/>
  <c r="M47" i="9"/>
  <c r="H44" i="9"/>
  <c r="G15" i="24"/>
  <c r="L50" i="9"/>
  <c r="L47" i="9"/>
  <c r="L43" i="9"/>
  <c r="J49" i="11"/>
  <c r="J111" i="11" s="1"/>
  <c r="R111" i="11" s="1"/>
  <c r="D263" i="7"/>
  <c r="D262" i="7"/>
  <c r="K262" i="7" s="1"/>
  <c r="J50" i="9"/>
  <c r="M46" i="9"/>
  <c r="J43" i="9"/>
  <c r="M49" i="9"/>
  <c r="L46" i="9"/>
  <c r="F14" i="24"/>
  <c r="I297" i="7"/>
  <c r="B7" i="25" s="1"/>
  <c r="D268" i="7"/>
  <c r="K268" i="7" s="1"/>
  <c r="L49" i="9"/>
  <c r="M45" i="9"/>
  <c r="H49" i="9"/>
  <c r="L45" i="9"/>
  <c r="G18" i="24"/>
  <c r="B50" i="11"/>
  <c r="B58" i="11" s="1"/>
  <c r="H47" i="9"/>
  <c r="H43" i="9"/>
  <c r="K35" i="11"/>
  <c r="K97" i="11" s="1"/>
  <c r="S97" i="11" s="1"/>
  <c r="K30" i="11"/>
  <c r="K92" i="11" s="1"/>
  <c r="S92" i="11" s="1"/>
  <c r="H50" i="9"/>
  <c r="N47" i="9"/>
  <c r="K45" i="9"/>
  <c r="N43" i="9"/>
  <c r="K43" i="9"/>
  <c r="I43" i="9"/>
  <c r="I293" i="7"/>
  <c r="B3" i="25" s="1"/>
  <c r="H46" i="9"/>
  <c r="I45" i="9"/>
  <c r="N44" i="9"/>
  <c r="J44" i="9"/>
  <c r="O43" i="9"/>
  <c r="H16" i="24"/>
  <c r="D16" i="24"/>
  <c r="I15" i="24"/>
  <c r="B14" i="24"/>
  <c r="H27" i="17"/>
  <c r="B27" i="17"/>
  <c r="H25" i="17"/>
  <c r="B25" i="17"/>
  <c r="H23" i="17"/>
  <c r="B23" i="17"/>
  <c r="H21" i="17"/>
  <c r="B21" i="17"/>
  <c r="E26" i="17"/>
  <c r="C26" i="17"/>
  <c r="E24" i="17"/>
  <c r="C24" i="17"/>
  <c r="E22" i="17"/>
  <c r="C22" i="17"/>
  <c r="E20" i="17"/>
  <c r="C20" i="17"/>
  <c r="C11" i="9"/>
  <c r="E5" i="11"/>
  <c r="N49" i="9"/>
  <c r="J48" i="9"/>
  <c r="J47" i="9"/>
  <c r="J46" i="9"/>
  <c r="N45" i="9"/>
  <c r="J45" i="9"/>
  <c r="H45" i="9"/>
  <c r="K44" i="9"/>
  <c r="I44" i="9"/>
  <c r="E27" i="17"/>
  <c r="C27" i="17"/>
  <c r="E25" i="17"/>
  <c r="C25" i="17"/>
  <c r="E23" i="17"/>
  <c r="C23" i="17"/>
  <c r="E21" i="17"/>
  <c r="C21" i="17"/>
  <c r="H14" i="24"/>
  <c r="C8" i="25"/>
  <c r="C12" i="9"/>
  <c r="I305" i="7"/>
  <c r="D267" i="7"/>
  <c r="K267" i="7" s="1"/>
  <c r="H294" i="7"/>
  <c r="C4" i="25" s="1"/>
  <c r="B301" i="7"/>
  <c r="B16" i="9" s="1"/>
  <c r="F16" i="9" s="1"/>
  <c r="B295" i="7"/>
  <c r="B303" i="7"/>
  <c r="H4" i="11" s="1"/>
  <c r="H67" i="11" s="1"/>
  <c r="B298" i="7"/>
  <c r="L298" i="7" s="1"/>
  <c r="M298" i="7" s="1"/>
  <c r="B296" i="7"/>
  <c r="I296" i="7" s="1"/>
  <c r="B294" i="7"/>
  <c r="B9" i="9" s="1"/>
  <c r="D9" i="9" s="1"/>
  <c r="E9" i="9" s="1"/>
  <c r="J107" i="11"/>
  <c r="R107" i="11" s="1"/>
  <c r="J9" i="17"/>
  <c r="F53" i="11" s="1"/>
  <c r="I49" i="11"/>
  <c r="I111" i="11" s="1"/>
  <c r="Q111" i="11" s="1"/>
  <c r="K50" i="9"/>
  <c r="J49" i="9"/>
  <c r="N48" i="9"/>
  <c r="H48" i="9"/>
  <c r="N46" i="9"/>
  <c r="L297" i="7"/>
  <c r="M297" i="7" s="1"/>
  <c r="L293" i="7"/>
  <c r="M293" i="7" s="1"/>
  <c r="B8" i="9"/>
  <c r="D8" i="9" s="1"/>
  <c r="E8" i="9" s="1"/>
  <c r="B12" i="9"/>
  <c r="F12" i="9" s="1"/>
  <c r="G49" i="11"/>
  <c r="C49" i="11"/>
  <c r="J5" i="17"/>
  <c r="B53" i="11" s="1"/>
  <c r="F49" i="11"/>
  <c r="B49" i="11"/>
  <c r="J7" i="17"/>
  <c r="D53" i="11" s="1"/>
  <c r="D49" i="11"/>
  <c r="J11" i="17"/>
  <c r="H53" i="11" s="1"/>
  <c r="H49" i="11"/>
  <c r="H111" i="11" s="1"/>
  <c r="P111" i="11" s="1"/>
  <c r="C18" i="24"/>
  <c r="J10" i="17"/>
  <c r="J24" i="17" s="1"/>
  <c r="J6" i="17"/>
  <c r="C53" i="11" s="1"/>
  <c r="O50" i="9"/>
  <c r="I50" i="9"/>
  <c r="O49" i="9"/>
  <c r="K49" i="9"/>
  <c r="I49" i="9"/>
  <c r="O48" i="9"/>
  <c r="K48" i="9"/>
  <c r="I48" i="9"/>
  <c r="O47" i="9"/>
  <c r="K47" i="9"/>
  <c r="I47" i="9"/>
  <c r="O46" i="9"/>
  <c r="K46" i="9"/>
  <c r="I46" i="9"/>
  <c r="O45" i="9"/>
  <c r="H18" i="24"/>
  <c r="I17" i="24"/>
  <c r="H15" i="24"/>
  <c r="B15" i="24"/>
  <c r="I14" i="24"/>
  <c r="E14" i="24"/>
  <c r="J12" i="17"/>
  <c r="J27" i="17" s="1"/>
  <c r="J8" i="17"/>
  <c r="E53" i="11" s="1"/>
  <c r="D5" i="11"/>
  <c r="C16" i="24"/>
  <c r="C17" i="24"/>
  <c r="I19" i="24"/>
  <c r="M50" i="9"/>
  <c r="F19" i="24"/>
  <c r="D18" i="24"/>
  <c r="H17" i="24"/>
  <c r="I16" i="24"/>
  <c r="F16" i="24"/>
  <c r="J50" i="11"/>
  <c r="J58" i="11" s="1"/>
  <c r="H50" i="11"/>
  <c r="H112" i="11" s="1"/>
  <c r="P112" i="11" s="1"/>
  <c r="F50" i="11"/>
  <c r="D50" i="11"/>
  <c r="I20" i="24"/>
  <c r="E19" i="24"/>
  <c r="D17" i="24"/>
  <c r="E16" i="24"/>
  <c r="H297" i="7"/>
  <c r="C6" i="25"/>
  <c r="D266" i="7"/>
  <c r="K266" i="7" s="1"/>
  <c r="D264" i="7"/>
  <c r="K264" i="7" s="1"/>
  <c r="E17" i="24"/>
  <c r="E18" i="24"/>
  <c r="F18" i="24"/>
  <c r="F15" i="24"/>
  <c r="C19" i="24"/>
  <c r="C20" i="24"/>
  <c r="D14" i="24"/>
  <c r="D15" i="24"/>
  <c r="B20" i="24"/>
  <c r="E15" i="24"/>
  <c r="C9" i="25"/>
  <c r="C10" i="25"/>
  <c r="C3" i="25"/>
  <c r="C14" i="9"/>
  <c r="K304" i="7"/>
  <c r="K301" i="7"/>
  <c r="K303" i="7"/>
  <c r="K302" i="7"/>
  <c r="B304" i="7"/>
  <c r="I4" i="11" s="1"/>
  <c r="I67" i="11" s="1"/>
  <c r="B302" i="7"/>
  <c r="B17" i="9" s="1"/>
  <c r="F17" i="9" s="1"/>
  <c r="B300" i="7"/>
  <c r="B15" i="9" s="1"/>
  <c r="F15" i="9" s="1"/>
  <c r="B299" i="7"/>
  <c r="L299" i="7" s="1"/>
  <c r="M299" i="7" s="1"/>
  <c r="D19" i="24"/>
  <c r="D20" i="24"/>
  <c r="B18" i="24"/>
  <c r="B19" i="24"/>
  <c r="B16" i="24"/>
  <c r="B17" i="24"/>
  <c r="C14" i="24"/>
  <c r="C15" i="24"/>
  <c r="I53" i="11"/>
  <c r="J21" i="17"/>
  <c r="H20" i="24"/>
  <c r="M54" i="9" l="1"/>
  <c r="M52" i="9" s="1"/>
  <c r="M38" i="9" s="1"/>
  <c r="I30" i="17"/>
  <c r="I28" i="17" s="1"/>
  <c r="I14" i="17" s="1"/>
  <c r="K45" i="11" s="1"/>
  <c r="H59" i="11"/>
  <c r="H113" i="11"/>
  <c r="P113" i="11" s="1"/>
  <c r="I57" i="11"/>
  <c r="E49" i="11"/>
  <c r="I58" i="11"/>
  <c r="K20" i="11"/>
  <c r="K82" i="11" s="1"/>
  <c r="S82" i="11" s="1"/>
  <c r="J25" i="17"/>
  <c r="J54" i="9"/>
  <c r="J52" i="9" s="1"/>
  <c r="J38" i="9" s="1"/>
  <c r="B18" i="9"/>
  <c r="F18" i="9" s="1"/>
  <c r="E57" i="11"/>
  <c r="C57" i="11"/>
  <c r="B57" i="11"/>
  <c r="B13" i="9"/>
  <c r="F13" i="9" s="1"/>
  <c r="M57" i="9"/>
  <c r="M65" i="9" s="1"/>
  <c r="F57" i="11"/>
  <c r="J23" i="17"/>
  <c r="L54" i="9"/>
  <c r="L52" i="9" s="1"/>
  <c r="L38" i="9" s="1"/>
  <c r="J57" i="11"/>
  <c r="B30" i="17"/>
  <c r="B28" i="17" s="1"/>
  <c r="B14" i="17" s="1"/>
  <c r="G53" i="11"/>
  <c r="H54" i="9"/>
  <c r="H52" i="9" s="1"/>
  <c r="H38" i="9" s="1"/>
  <c r="H30" i="17"/>
  <c r="H28" i="17" s="1"/>
  <c r="H14" i="17" s="1"/>
  <c r="K40" i="11" s="1"/>
  <c r="K263" i="7"/>
  <c r="K306" i="7" s="1"/>
  <c r="K5" i="11" s="1"/>
  <c r="K68" i="11" s="1"/>
  <c r="J20" i="17"/>
  <c r="J57" i="9"/>
  <c r="J65" i="9" s="1"/>
  <c r="I54" i="9"/>
  <c r="I52" i="9" s="1"/>
  <c r="I38" i="9" s="1"/>
  <c r="I301" i="7"/>
  <c r="B11" i="25" s="1"/>
  <c r="I303" i="7"/>
  <c r="N54" i="9"/>
  <c r="N52" i="9" s="1"/>
  <c r="N38" i="9" s="1"/>
  <c r="N57" i="9" s="1"/>
  <c r="N65" i="9" s="1"/>
  <c r="B20" i="9"/>
  <c r="F20" i="9" s="1"/>
  <c r="J26" i="17"/>
  <c r="J22" i="17"/>
  <c r="H57" i="11"/>
  <c r="D57" i="11"/>
  <c r="C30" i="17"/>
  <c r="C28" i="17" s="1"/>
  <c r="C14" i="17" s="1"/>
  <c r="E30" i="17"/>
  <c r="E28" i="17" s="1"/>
  <c r="E14" i="17" s="1"/>
  <c r="L300" i="7"/>
  <c r="M300" i="7" s="1"/>
  <c r="J4" i="11"/>
  <c r="J67" i="11" s="1"/>
  <c r="L295" i="7"/>
  <c r="M295" i="7" s="1"/>
  <c r="B11" i="9"/>
  <c r="D11" i="9" s="1"/>
  <c r="E11" i="9" s="1"/>
  <c r="B10" i="9"/>
  <c r="D10" i="9" s="1"/>
  <c r="E10" i="9" s="1"/>
  <c r="C4" i="11"/>
  <c r="C6" i="11" s="1"/>
  <c r="L296" i="7"/>
  <c r="M296" i="7" s="1"/>
  <c r="I295" i="7"/>
  <c r="B5" i="25" s="1"/>
  <c r="I302" i="7"/>
  <c r="I294" i="7"/>
  <c r="B4" i="25" s="1"/>
  <c r="I298" i="7"/>
  <c r="F4" i="11"/>
  <c r="L294" i="7"/>
  <c r="M294" i="7" s="1"/>
  <c r="K54" i="9"/>
  <c r="K52" i="9" s="1"/>
  <c r="K38" i="9" s="1"/>
  <c r="O54" i="9"/>
  <c r="O52" i="9" s="1"/>
  <c r="O38" i="9" s="1"/>
  <c r="O57" i="9" s="1"/>
  <c r="B6" i="25"/>
  <c r="D12" i="9"/>
  <c r="E12" i="9" s="1"/>
  <c r="B13" i="25"/>
  <c r="K107" i="11"/>
  <c r="S107" i="11" s="1"/>
  <c r="I300" i="7"/>
  <c r="I304" i="7"/>
  <c r="L302" i="7"/>
  <c r="M302" i="7" s="1"/>
  <c r="J112" i="11"/>
  <c r="R112" i="11" s="1"/>
  <c r="H58" i="11"/>
  <c r="F58" i="11"/>
  <c r="D58" i="11"/>
  <c r="B15" i="25"/>
  <c r="K305" i="7"/>
  <c r="L305" i="7" s="1"/>
  <c r="M305" i="7" s="1"/>
  <c r="E4" i="11"/>
  <c r="E6" i="11" s="1"/>
  <c r="L304" i="7"/>
  <c r="B19" i="9"/>
  <c r="F19" i="9" s="1"/>
  <c r="C7" i="25"/>
  <c r="I299" i="7"/>
  <c r="B9" i="25" s="1"/>
  <c r="B14" i="9"/>
  <c r="C17" i="9"/>
  <c r="D17" i="9" s="1"/>
  <c r="E17" i="9" s="1"/>
  <c r="H302" i="7"/>
  <c r="G5" i="11"/>
  <c r="H303" i="7"/>
  <c r="C18" i="9"/>
  <c r="D18" i="9" s="1"/>
  <c r="E18" i="9" s="1"/>
  <c r="H5" i="11"/>
  <c r="L303" i="7"/>
  <c r="M303" i="7" s="1"/>
  <c r="L301" i="7"/>
  <c r="M301" i="7" s="1"/>
  <c r="H301" i="7"/>
  <c r="C16" i="9"/>
  <c r="D16" i="9" s="1"/>
  <c r="E16" i="9" s="1"/>
  <c r="F5" i="11"/>
  <c r="C19" i="9"/>
  <c r="D19" i="9" s="1"/>
  <c r="E19" i="9" s="1"/>
  <c r="I5" i="11"/>
  <c r="I68" i="11" s="1"/>
  <c r="H304" i="7"/>
  <c r="B311" i="7"/>
  <c r="D4" i="11"/>
  <c r="D6" i="11" s="1"/>
  <c r="G4" i="11"/>
  <c r="G6" i="11" s="1"/>
  <c r="D15" i="9"/>
  <c r="E15" i="9" s="1"/>
  <c r="D14" i="9" l="1"/>
  <c r="E14" i="9" s="1"/>
  <c r="F14" i="9"/>
  <c r="K102" i="11"/>
  <c r="S102" i="11" s="1"/>
  <c r="H6" i="11"/>
  <c r="H69" i="11" s="1"/>
  <c r="H68" i="11"/>
  <c r="G57" i="11"/>
  <c r="H57" i="9"/>
  <c r="H65" i="9" s="1"/>
  <c r="D13" i="9"/>
  <c r="E13" i="9" s="1"/>
  <c r="K12" i="11"/>
  <c r="K74" i="11" s="1"/>
  <c r="S74" i="11" s="1"/>
  <c r="L57" i="9"/>
  <c r="L65" i="9" s="1"/>
  <c r="F6" i="11"/>
  <c r="K57" i="9"/>
  <c r="K65" i="9" s="1"/>
  <c r="J30" i="17"/>
  <c r="J28" i="17" s="1"/>
  <c r="J14" i="17"/>
  <c r="K53" i="11" s="1"/>
  <c r="K16" i="11"/>
  <c r="K78" i="11" s="1"/>
  <c r="S78" i="11" s="1"/>
  <c r="I57" i="9"/>
  <c r="I65" i="9" s="1"/>
  <c r="K25" i="11"/>
  <c r="K87" i="11" s="1"/>
  <c r="S87" i="11" s="1"/>
  <c r="B12" i="25"/>
  <c r="B10" i="25"/>
  <c r="B8" i="25"/>
  <c r="C21" i="9"/>
  <c r="O65" i="9"/>
  <c r="B14" i="25"/>
  <c r="M304" i="7"/>
  <c r="H306" i="7"/>
  <c r="J5" i="11"/>
  <c r="H305" i="7"/>
  <c r="C15" i="25" s="1"/>
  <c r="C20" i="9"/>
  <c r="D20" i="9" s="1"/>
  <c r="E20" i="9" s="1"/>
  <c r="I6" i="11"/>
  <c r="I69" i="11" s="1"/>
  <c r="C13" i="25"/>
  <c r="C14" i="25"/>
  <c r="C11" i="25"/>
  <c r="C12" i="25"/>
  <c r="J6" i="11" l="1"/>
  <c r="J69" i="11" s="1"/>
  <c r="J68" i="11"/>
  <c r="K2" i="11"/>
  <c r="C16" i="25"/>
  <c r="G57" i="9"/>
  <c r="K49" i="11"/>
  <c r="P65" i="9"/>
  <c r="K282" i="7"/>
  <c r="K307" i="7"/>
  <c r="K311" i="7" s="1"/>
  <c r="L311" i="7" s="1"/>
  <c r="G21" i="9"/>
  <c r="L313" i="7" l="1"/>
  <c r="K111" i="11"/>
  <c r="S111" i="11" s="1"/>
  <c r="K57" i="11"/>
  <c r="K313" i="7"/>
  <c r="K315" i="7"/>
  <c r="L315" i="7" s="1"/>
  <c r="H307" i="7"/>
  <c r="G61" i="9"/>
  <c r="K8" i="11"/>
  <c r="K71" i="11" s="1"/>
  <c r="K54" i="11"/>
  <c r="G65" i="9" l="1"/>
  <c r="C17" i="25"/>
  <c r="J69" i="9"/>
  <c r="M69" i="9"/>
  <c r="K69" i="9"/>
  <c r="O69" i="9"/>
  <c r="H69" i="9"/>
  <c r="L69" i="9"/>
  <c r="I69" i="9"/>
  <c r="N69" i="9"/>
  <c r="L61" i="9" l="1"/>
  <c r="O61" i="9"/>
  <c r="M61" i="9"/>
  <c r="N61" i="9"/>
  <c r="I61" i="9"/>
  <c r="H61" i="9"/>
  <c r="K61" i="9"/>
  <c r="J61" i="9"/>
  <c r="K17" i="11"/>
  <c r="K79" i="11" s="1"/>
  <c r="S79" i="11" s="1"/>
  <c r="P61" i="9"/>
  <c r="K13" i="11"/>
  <c r="K75" i="11" s="1"/>
  <c r="S75" i="11" s="1"/>
  <c r="K21" i="11"/>
  <c r="K83" i="11" s="1"/>
  <c r="S83" i="11" s="1"/>
  <c r="B12" i="18"/>
  <c r="C12" i="18"/>
  <c r="K26" i="11"/>
  <c r="K88" i="11" s="1"/>
  <c r="S88" i="11" s="1"/>
  <c r="K41" i="11"/>
  <c r="F12" i="18"/>
  <c r="K31" i="11"/>
  <c r="K93" i="11" s="1"/>
  <c r="D12" i="18"/>
  <c r="E12" i="18"/>
  <c r="K37" i="11" l="1"/>
  <c r="K99" i="11" s="1"/>
  <c r="S99" i="11" s="1"/>
  <c r="K32" i="11"/>
  <c r="K94" i="11" s="1"/>
  <c r="S94" i="11" s="1"/>
  <c r="K42" i="11"/>
  <c r="K36" i="11"/>
  <c r="K98" i="11" s="1"/>
  <c r="S98" i="11" s="1"/>
  <c r="K46" i="11"/>
  <c r="K27" i="11"/>
  <c r="K89" i="11" s="1"/>
  <c r="S89" i="11" s="1"/>
  <c r="K103" i="11"/>
  <c r="S103" i="11" s="1"/>
  <c r="K104" i="11"/>
  <c r="S104" i="11" s="1"/>
  <c r="G12" i="18"/>
  <c r="K55" i="11" s="1"/>
  <c r="K22" i="11"/>
  <c r="K84" i="11" s="1"/>
  <c r="S84" i="11" s="1"/>
  <c r="K50" i="11"/>
  <c r="K58" i="11" s="1"/>
  <c r="K108" i="11" l="1"/>
  <c r="S108" i="11" s="1"/>
  <c r="K112" i="11"/>
  <c r="S112" i="11" s="1"/>
  <c r="K51" i="11"/>
  <c r="K113" i="11" l="1"/>
  <c r="S113" i="11" s="1"/>
  <c r="K59" i="11"/>
</calcChain>
</file>

<file path=xl/comments1.xml><?xml version="1.0" encoding="utf-8"?>
<comments xmlns="http://schemas.openxmlformats.org/spreadsheetml/2006/main">
  <authors>
    <author>Cristina Birceanu</author>
    <author>OXF</author>
  </authors>
  <commentList>
    <comment ref="B2" authorId="0">
      <text>
        <r>
          <rPr>
            <b/>
            <sz val="11"/>
            <color indexed="81"/>
            <rFont val="Tahoma"/>
            <family val="2"/>
          </rPr>
          <t>Cristina Birceanu:</t>
        </r>
        <r>
          <rPr>
            <sz val="11"/>
            <color indexed="81"/>
            <rFont val="Tahoma"/>
            <family val="2"/>
          </rPr>
          <t xml:space="preserve">
Metered Wholesale kWh GHESI &amp; Rockwood</t>
        </r>
      </text>
    </comment>
    <comment ref="B141" authorId="1">
      <text>
        <r>
          <rPr>
            <b/>
            <sz val="8"/>
            <color indexed="81"/>
            <rFont val="Tahoma"/>
            <family val="2"/>
          </rPr>
          <t>OXF:
This month had two invoces with different numbers. Revised Version has been taken into consideration as it was printed later. See the Invoices for details.</t>
        </r>
      </text>
    </comment>
    <comment ref="B250" authorId="0">
      <text>
        <r>
          <rPr>
            <b/>
            <sz val="11"/>
            <color indexed="81"/>
            <rFont val="Tahoma"/>
            <family val="2"/>
          </rPr>
          <t>Cristina Birceanu:</t>
        </r>
        <r>
          <rPr>
            <sz val="11"/>
            <color indexed="81"/>
            <rFont val="Tahoma"/>
            <family val="2"/>
          </rPr>
          <t xml:space="preserve">
Population become negative</t>
        </r>
      </text>
    </comment>
  </commentList>
</comments>
</file>

<file path=xl/sharedStrings.xml><?xml version="1.0" encoding="utf-8"?>
<sst xmlns="http://schemas.openxmlformats.org/spreadsheetml/2006/main" count="179" uniqueCount="120">
  <si>
    <t>Loss Factor</t>
  </si>
  <si>
    <t xml:space="preserve">Residential </t>
  </si>
  <si>
    <t>Sentinel Lights</t>
  </si>
  <si>
    <t xml:space="preserve">Unmetered Loads </t>
  </si>
  <si>
    <t xml:space="preserve">Streetlights </t>
  </si>
  <si>
    <t>Total Billed</t>
  </si>
  <si>
    <t>Purchases</t>
  </si>
  <si>
    <t>Modeled Purchases</t>
  </si>
  <si>
    <t>% Difference</t>
  </si>
  <si>
    <t>Total</t>
  </si>
  <si>
    <t>Variances (kWh)</t>
  </si>
  <si>
    <t>% Variance</t>
  </si>
  <si>
    <t>Weatther Normal</t>
  </si>
  <si>
    <t>Average</t>
  </si>
  <si>
    <t xml:space="preserve">Geomean </t>
  </si>
  <si>
    <t>Usage Per Customer</t>
  </si>
  <si>
    <t xml:space="preserve">Total </t>
  </si>
  <si>
    <t xml:space="preserve">Used 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</si>
  <si>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</si>
  <si>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</si>
  <si>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</si>
  <si>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</si>
  <si>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</si>
  <si>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</si>
  <si>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</si>
  <si>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</si>
  <si>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</si>
  <si>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</si>
  <si>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</si>
  <si>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</si>
  <si>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</si>
  <si>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</si>
  <si>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</si>
  <si>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</si>
  <si>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</si>
  <si>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</si>
  <si>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</si>
  <si>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</si>
  <si>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</si>
  <si>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</si>
  <si>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</si>
  <si>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</si>
  <si>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</si>
  <si>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</si>
  <si>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</si>
  <si>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</si>
  <si>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</si>
  <si>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</si>
  <si>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</si>
  <si>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</si>
  <si>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</si>
  <si>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</si>
  <si>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</si>
  <si>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</si>
  <si>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</si>
  <si>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</si>
  <si>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</si>
  <si>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</si>
  <si>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</si>
  <si>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</si>
  <si>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</si>
  <si>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</si>
  <si>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</si>
  <si>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r>
      <t xml:space="preserve">General Service </t>
    </r>
    <r>
      <rPr>
        <u/>
        <sz val="10"/>
        <rFont val="Arial"/>
        <family val="2"/>
      </rPr>
      <t>&lt; 50 kW</t>
    </r>
  </si>
  <si>
    <r>
      <t xml:space="preserve">General Service </t>
    </r>
    <r>
      <rPr>
        <u/>
        <sz val="10"/>
        <rFont val="Arial"/>
        <family val="2"/>
      </rPr>
      <t>&gt; 50 to 999 kW</t>
    </r>
  </si>
  <si>
    <r>
      <t xml:space="preserve">General Service </t>
    </r>
    <r>
      <rPr>
        <u/>
        <sz val="10"/>
        <rFont val="Arial"/>
        <family val="2"/>
      </rPr>
      <t>&gt; 1000 to 4999 kW</t>
    </r>
  </si>
  <si>
    <t>kW/kWh</t>
  </si>
  <si>
    <t>Check totals above sould be zero</t>
  </si>
  <si>
    <t>__________________ Hydro Weather Normal Load Forecast for 2010 Rate Application</t>
  </si>
  <si>
    <t>Large Use &gt;5000 kW</t>
  </si>
  <si>
    <t>Cooling Degree Days=V2</t>
  </si>
  <si>
    <t>Ontario Real GDP Monthly %=V3</t>
  </si>
  <si>
    <t>Number of Days in Month=V4</t>
  </si>
  <si>
    <t>Heating Degree Days</t>
  </si>
  <si>
    <t>Cooling Degree Days</t>
  </si>
  <si>
    <t>Ontario Real GDP Monthly %</t>
  </si>
  <si>
    <t>Number of Days in Month</t>
  </si>
  <si>
    <t>Number of Peak Hours</t>
  </si>
  <si>
    <t>Blackout Flag</t>
  </si>
  <si>
    <t>Usage Per Customer [kWh]</t>
  </si>
  <si>
    <t>Consumption growth per customer [%]</t>
  </si>
  <si>
    <t>Actual LF</t>
  </si>
  <si>
    <t>weather corrected am.</t>
  </si>
  <si>
    <t>Actual Purchases</t>
  </si>
  <si>
    <t xml:space="preserve">Forecasted Purchases </t>
  </si>
  <si>
    <t>Real Ontario GDP (chained $1997 with Base 100 in 1997)</t>
  </si>
  <si>
    <t xml:space="preserve">Predicted Purchases=V9 </t>
  </si>
  <si>
    <t>+</t>
  </si>
  <si>
    <t>x</t>
  </si>
  <si>
    <t>Connections</t>
  </si>
  <si>
    <t>For graph</t>
  </si>
  <si>
    <t>purchase</t>
  </si>
  <si>
    <t>2011 Weather Normal</t>
  </si>
  <si>
    <t>2008 Board  Approved</t>
  </si>
  <si>
    <t>Table 19 - Variance from 2008 Board Approved [%]</t>
  </si>
  <si>
    <r>
      <t>Guelph Hydro’s Monthly Predicted kWh Purchases:</t>
    </r>
    <r>
      <rPr>
        <sz val="12"/>
        <color indexed="10"/>
        <rFont val="Times New Roman"/>
        <family val="1"/>
      </rPr>
      <t xml:space="preserve"> </t>
    </r>
  </si>
  <si>
    <t>Total to 2009</t>
  </si>
  <si>
    <t xml:space="preserve">2007 Actual </t>
  </si>
  <si>
    <t>2002 Actual</t>
  </si>
  <si>
    <t xml:space="preserve">Actual versus Forecasted purchases </t>
  </si>
  <si>
    <t>Heating Degree Days 10 =V1</t>
  </si>
  <si>
    <t>Purchased wo Losses</t>
  </si>
  <si>
    <t>Manufacturing GDP</t>
  </si>
  <si>
    <t>Population</t>
  </si>
  <si>
    <t>Population V5</t>
  </si>
  <si>
    <t>2011 Metered customers</t>
  </si>
  <si>
    <t>Number of Peak Hours=V6</t>
  </si>
  <si>
    <t>Blackout Flag=V7</t>
  </si>
  <si>
    <t>Manufacturing GDP chained Jan 1997= V8</t>
  </si>
  <si>
    <t>General Service 1000 to 4999 kW</t>
  </si>
  <si>
    <t>2008 Actual Variance</t>
  </si>
  <si>
    <t>2009 Actual Variance</t>
  </si>
  <si>
    <t>2010 Actual Variance</t>
  </si>
  <si>
    <t>2011 Weather Normal Variance</t>
  </si>
  <si>
    <t xml:space="preserve">presumption: the 2010 data identical with 2009 </t>
  </si>
  <si>
    <t>the 2010 data is identical with 2009</t>
  </si>
  <si>
    <t>actual loss factor</t>
  </si>
  <si>
    <t>General Service &lt; 50 kW</t>
  </si>
  <si>
    <t>General Service &gt; 50 to 999 kW</t>
  </si>
  <si>
    <t>General Service &gt; 1000 to 4999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</si>
</sst>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"/>
    <numFmt numFmtId="167" formatCode="#,##0;\(#,##0\)"/>
    <numFmt numFmtId="168" formatCode="0.0000"/>
    <numFmt numFmtId="169" formatCode="#,##0.0000"/>
    <numFmt numFmtId="170" formatCode="0.0000%"/>
    <numFmt numFmtId="171" formatCode="_(* #,##0_);_(* \(#,##0\);_(* &quot;-&quot;??_);_(@_)"/>
    <numFmt numFmtId="172" formatCode="_-* #,##0_-;\-* #,##0_-;_-* &quot;-&quot;??_-;_-@_-"/>
    <numFmt numFmtId="173" formatCode="#,##0_ ;[Red]\-#,##0\ "/>
    <numFmt numFmtId="174" formatCode="#,##0.0"/>
  </numFmts>
  <fonts count="3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u/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Unicode MS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8"/>
      <color indexed="8"/>
      <name val="Arial"/>
      <family val="2"/>
    </font>
    <font>
      <i/>
      <sz val="10"/>
      <name val="Arial"/>
      <family val="2"/>
    </font>
    <font>
      <b/>
      <u/>
      <sz val="12"/>
      <name val="Times New Roman"/>
      <family val="1"/>
    </font>
    <font>
      <sz val="8"/>
      <color indexed="8"/>
      <name val="Verdana"/>
      <family val="2"/>
    </font>
    <font>
      <sz val="12"/>
      <name val="Times New Roman"/>
      <family val="1"/>
    </font>
    <font>
      <sz val="12"/>
      <color indexed="10"/>
      <name val="Times New Roman"/>
      <family val="1"/>
    </font>
    <font>
      <sz val="12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sz val="8"/>
      <color rgb="FF00000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/>
    </xf>
    <xf numFmtId="3" fontId="1" fillId="0" borderId="0" xfId="1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4" fillId="0" borderId="0" xfId="0" applyFont="1" applyAlignment="1"/>
    <xf numFmtId="3" fontId="0" fillId="2" borderId="0" xfId="0" applyNumberFormat="1" applyFill="1" applyAlignment="1">
      <alignment horizontal="center"/>
    </xf>
    <xf numFmtId="17" fontId="4" fillId="0" borderId="0" xfId="0" applyNumberFormat="1" applyFont="1"/>
    <xf numFmtId="3" fontId="0" fillId="0" borderId="1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0" fontId="5" fillId="0" borderId="0" xfId="0" applyFont="1"/>
    <xf numFmtId="165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9" fontId="0" fillId="3" borderId="0" xfId="0" applyNumberForma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 wrapText="1"/>
    </xf>
    <xf numFmtId="3" fontId="3" fillId="3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0" xfId="0" applyNumberFormat="1" applyAlignment="1">
      <alignment horizontal="center"/>
    </xf>
    <xf numFmtId="0" fontId="0" fillId="0" borderId="0" xfId="0" applyNumberFormat="1"/>
    <xf numFmtId="0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" fontId="0" fillId="0" borderId="0" xfId="0" applyNumberFormat="1"/>
    <xf numFmtId="10" fontId="0" fillId="0" borderId="0" xfId="0" applyNumberFormat="1"/>
    <xf numFmtId="168" fontId="0" fillId="0" borderId="0" xfId="0" applyNumberFormat="1" applyFill="1" applyAlignment="1">
      <alignment horizontal="center"/>
    </xf>
    <xf numFmtId="0" fontId="7" fillId="0" borderId="0" xfId="0" applyFont="1"/>
    <xf numFmtId="3" fontId="7" fillId="0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 wrapText="1"/>
    </xf>
    <xf numFmtId="3" fontId="10" fillId="0" borderId="0" xfId="0" applyNumberFormat="1" applyFont="1" applyAlignment="1">
      <alignment horizontal="center" wrapText="1"/>
    </xf>
    <xf numFmtId="17" fontId="7" fillId="0" borderId="0" xfId="0" applyNumberFormat="1" applyFont="1"/>
    <xf numFmtId="0" fontId="7" fillId="0" borderId="0" xfId="0" applyFont="1" applyFill="1" applyAlignment="1">
      <alignment horizontal="center"/>
    </xf>
    <xf numFmtId="37" fontId="11" fillId="0" borderId="0" xfId="0" applyNumberFormat="1" applyFont="1" applyFill="1" applyAlignment="1">
      <alignment horizontal="center"/>
    </xf>
    <xf numFmtId="3" fontId="11" fillId="0" borderId="0" xfId="0" applyNumberFormat="1" applyFont="1" applyFill="1" applyAlignment="1">
      <alignment horizontal="center"/>
    </xf>
    <xf numFmtId="37" fontId="11" fillId="0" borderId="0" xfId="0" applyNumberFormat="1" applyFont="1" applyAlignment="1">
      <alignment horizontal="center"/>
    </xf>
    <xf numFmtId="3" fontId="7" fillId="0" borderId="0" xfId="0" applyNumberFormat="1" applyFont="1" applyFill="1" applyAlignment="1">
      <alignment horizontal="right"/>
    </xf>
    <xf numFmtId="17" fontId="7" fillId="0" borderId="0" xfId="0" applyNumberFormat="1" applyFont="1" applyFill="1"/>
    <xf numFmtId="3" fontId="7" fillId="0" borderId="3" xfId="0" applyNumberFormat="1" applyFont="1" applyFill="1" applyBorder="1" applyAlignment="1">
      <alignment horizontal="right"/>
    </xf>
    <xf numFmtId="17" fontId="11" fillId="0" borderId="0" xfId="0" applyNumberFormat="1" applyFont="1" applyFill="1"/>
    <xf numFmtId="0" fontId="11" fillId="0" borderId="0" xfId="0" applyFont="1"/>
    <xf numFmtId="3" fontId="11" fillId="0" borderId="0" xfId="0" applyNumberFormat="1" applyFont="1" applyAlignment="1">
      <alignment horizontal="center"/>
    </xf>
    <xf numFmtId="0" fontId="7" fillId="0" borderId="0" xfId="0" applyFont="1" applyFill="1"/>
    <xf numFmtId="37" fontId="11" fillId="0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1" fontId="7" fillId="0" borderId="0" xfId="0" applyNumberFormat="1" applyFont="1"/>
    <xf numFmtId="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4" fontId="4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10" fontId="0" fillId="0" borderId="1" xfId="0" applyNumberFormat="1" applyBorder="1"/>
    <xf numFmtId="0" fontId="16" fillId="0" borderId="0" xfId="0" applyFont="1" applyAlignment="1">
      <alignment horizontal="left"/>
    </xf>
    <xf numFmtId="10" fontId="0" fillId="0" borderId="0" xfId="0" applyNumberFormat="1" applyBorder="1"/>
    <xf numFmtId="3" fontId="0" fillId="0" borderId="0" xfId="0" applyNumberFormat="1" applyBorder="1"/>
    <xf numFmtId="0" fontId="4" fillId="0" borderId="0" xfId="0" applyFont="1" applyAlignment="1">
      <alignment wrapText="1"/>
    </xf>
    <xf numFmtId="0" fontId="4" fillId="0" borderId="4" xfId="0" applyFont="1" applyBorder="1"/>
    <xf numFmtId="0" fontId="0" fillId="0" borderId="1" xfId="0" applyBorder="1" applyAlignment="1">
      <alignment horizontal="center" wrapText="1"/>
    </xf>
    <xf numFmtId="3" fontId="2" fillId="0" borderId="1" xfId="0" applyNumberFormat="1" applyFont="1" applyBorder="1"/>
    <xf numFmtId="17" fontId="17" fillId="0" borderId="0" xfId="0" applyNumberFormat="1" applyFont="1"/>
    <xf numFmtId="166" fontId="12" fillId="0" borderId="0" xfId="0" applyNumberFormat="1" applyFont="1" applyAlignment="1">
      <alignment horizontal="center"/>
    </xf>
    <xf numFmtId="4" fontId="0" fillId="0" borderId="0" xfId="0" applyNumberFormat="1" applyFill="1" applyBorder="1" applyAlignment="1"/>
    <xf numFmtId="4" fontId="0" fillId="0" borderId="2" xfId="0" applyNumberFormat="1" applyFill="1" applyBorder="1" applyAlignment="1"/>
    <xf numFmtId="0" fontId="9" fillId="0" borderId="0" xfId="0" applyFont="1" applyAlignment="1">
      <alignment horizontal="left"/>
    </xf>
    <xf numFmtId="3" fontId="4" fillId="3" borderId="0" xfId="0" applyNumberFormat="1" applyFont="1" applyFill="1"/>
    <xf numFmtId="10" fontId="0" fillId="0" borderId="1" xfId="0" applyNumberFormat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7" fillId="0" borderId="0" xfId="0" applyNumberFormat="1" applyFont="1" applyFill="1" applyBorder="1" applyAlignment="1"/>
    <xf numFmtId="3" fontId="7" fillId="2" borderId="0" xfId="0" applyNumberFormat="1" applyFont="1" applyFill="1" applyAlignment="1">
      <alignment horizontal="center"/>
    </xf>
    <xf numFmtId="3" fontId="12" fillId="0" borderId="0" xfId="0" applyNumberFormat="1" applyFont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right" vertical="center" wrapText="1"/>
    </xf>
    <xf numFmtId="166" fontId="12" fillId="0" borderId="0" xfId="0" applyNumberFormat="1" applyFont="1" applyFill="1" applyAlignment="1">
      <alignment horizontal="center"/>
    </xf>
    <xf numFmtId="0" fontId="10" fillId="0" borderId="0" xfId="0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7" fillId="0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3" fontId="7" fillId="0" borderId="0" xfId="0" applyNumberFormat="1" applyFont="1" applyAlignment="1">
      <alignment horizontal="left"/>
    </xf>
    <xf numFmtId="4" fontId="7" fillId="0" borderId="0" xfId="0" applyNumberFormat="1" applyFont="1"/>
    <xf numFmtId="0" fontId="23" fillId="0" borderId="0" xfId="0" applyFont="1" applyAlignment="1">
      <alignment horizontal="center"/>
    </xf>
    <xf numFmtId="0" fontId="0" fillId="0" borderId="0" xfId="0" applyAlignment="1"/>
    <xf numFmtId="0" fontId="2" fillId="0" borderId="1" xfId="0" applyFont="1" applyFill="1" applyBorder="1" applyAlignment="1">
      <alignment horizontal="center" wrapText="1"/>
    </xf>
    <xf numFmtId="10" fontId="0" fillId="0" borderId="0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3" fontId="0" fillId="4" borderId="6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 wrapText="1"/>
    </xf>
    <xf numFmtId="3" fontId="2" fillId="4" borderId="1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 wrapText="1"/>
    </xf>
    <xf numFmtId="0" fontId="0" fillId="4" borderId="1" xfId="0" applyFill="1" applyBorder="1"/>
    <xf numFmtId="10" fontId="0" fillId="4" borderId="1" xfId="0" applyNumberFormat="1" applyFill="1" applyBorder="1"/>
    <xf numFmtId="3" fontId="2" fillId="0" borderId="1" xfId="0" applyNumberFormat="1" applyFont="1" applyFill="1" applyBorder="1" applyAlignment="1">
      <alignment horizontal="center"/>
    </xf>
    <xf numFmtId="10" fontId="0" fillId="0" borderId="1" xfId="0" applyNumberFormat="1" applyFill="1" applyBorder="1"/>
    <xf numFmtId="3" fontId="2" fillId="4" borderId="1" xfId="0" applyNumberFormat="1" applyFont="1" applyFill="1" applyBorder="1"/>
    <xf numFmtId="169" fontId="0" fillId="0" borderId="0" xfId="0" applyNumberFormat="1"/>
    <xf numFmtId="37" fontId="11" fillId="5" borderId="0" xfId="0" applyNumberFormat="1" applyFont="1" applyFill="1" applyAlignment="1">
      <alignment horizontal="center"/>
    </xf>
    <xf numFmtId="0" fontId="11" fillId="6" borderId="0" xfId="0" applyFont="1" applyFill="1" applyBorder="1" applyAlignment="1">
      <alignment horizontal="right" vertical="center" wrapText="1"/>
    </xf>
    <xf numFmtId="1" fontId="11" fillId="5" borderId="0" xfId="0" applyNumberFormat="1" applyFont="1" applyFill="1" applyAlignment="1">
      <alignment horizontal="right"/>
    </xf>
    <xf numFmtId="174" fontId="7" fillId="0" borderId="0" xfId="0" applyNumberFormat="1" applyFont="1" applyFill="1" applyAlignment="1">
      <alignment horizontal="right"/>
    </xf>
    <xf numFmtId="3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10" fontId="7" fillId="0" borderId="0" xfId="0" applyNumberFormat="1" applyFont="1" applyFill="1" applyBorder="1" applyAlignment="1">
      <alignment horizontal="center"/>
    </xf>
    <xf numFmtId="10" fontId="7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0" fontId="0" fillId="0" borderId="0" xfId="0" applyNumberFormat="1" applyFill="1" applyBorder="1"/>
    <xf numFmtId="173" fontId="0" fillId="0" borderId="0" xfId="0" applyNumberFormat="1" applyFill="1" applyBorder="1"/>
    <xf numFmtId="169" fontId="0" fillId="0" borderId="0" xfId="0" applyNumberFormat="1" applyFill="1" applyBorder="1"/>
    <xf numFmtId="0" fontId="2" fillId="0" borderId="0" xfId="0" applyFont="1" applyFill="1" applyBorder="1" applyAlignment="1">
      <alignment horizontal="center"/>
    </xf>
    <xf numFmtId="173" fontId="14" fillId="0" borderId="0" xfId="0" applyNumberFormat="1" applyFont="1" applyFill="1" applyBorder="1" applyAlignment="1">
      <alignment horizontal="center"/>
    </xf>
    <xf numFmtId="173" fontId="0" fillId="0" borderId="0" xfId="0" applyNumberFormat="1" applyFill="1" applyBorder="1" applyAlignment="1">
      <alignment horizontal="center"/>
    </xf>
    <xf numFmtId="173" fontId="15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9" fillId="0" borderId="0" xfId="0" applyFon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3" fontId="0" fillId="0" borderId="0" xfId="0" applyNumberForma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 wrapText="1"/>
    </xf>
    <xf numFmtId="171" fontId="26" fillId="7" borderId="0" xfId="1" applyNumberFormat="1" applyFont="1" applyFill="1" applyBorder="1" applyAlignment="1">
      <alignment horizontal="left"/>
    </xf>
    <xf numFmtId="171" fontId="26" fillId="8" borderId="1" xfId="1" applyNumberFormat="1" applyFont="1" applyFill="1" applyBorder="1" applyAlignment="1">
      <alignment horizontal="left"/>
    </xf>
    <xf numFmtId="37" fontId="11" fillId="0" borderId="3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4" fontId="7" fillId="0" borderId="0" xfId="0" applyNumberFormat="1" applyFont="1" applyFill="1" applyBorder="1" applyAlignment="1">
      <alignment horizontal="center"/>
    </xf>
    <xf numFmtId="0" fontId="0" fillId="0" borderId="2" xfId="0" applyFill="1" applyBorder="1" applyAlignment="1"/>
    <xf numFmtId="0" fontId="18" fillId="0" borderId="7" xfId="0" applyFon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17" fontId="7" fillId="0" borderId="0" xfId="0" applyNumberFormat="1" applyFont="1" applyBorder="1"/>
    <xf numFmtId="1" fontId="7" fillId="0" borderId="2" xfId="0" applyNumberFormat="1" applyFont="1" applyBorder="1"/>
    <xf numFmtId="0" fontId="7" fillId="0" borderId="2" xfId="0" applyFont="1" applyBorder="1" applyAlignment="1">
      <alignment horizontal="right"/>
    </xf>
    <xf numFmtId="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7" fontId="7" fillId="0" borderId="2" xfId="0" applyNumberFormat="1" applyFont="1" applyBorder="1" applyAlignment="1">
      <alignment horizontal="center"/>
    </xf>
    <xf numFmtId="0" fontId="27" fillId="0" borderId="0" xfId="0" applyFont="1"/>
    <xf numFmtId="3" fontId="27" fillId="0" borderId="1" xfId="0" applyNumberFormat="1" applyFont="1" applyBorder="1" applyAlignment="1">
      <alignment horizontal="left"/>
    </xf>
    <xf numFmtId="3" fontId="2" fillId="0" borderId="0" xfId="0" applyNumberFormat="1" applyFont="1" applyFill="1" applyAlignment="1">
      <alignment horizontal="center"/>
    </xf>
    <xf numFmtId="0" fontId="18" fillId="0" borderId="7" xfId="0" applyFont="1" applyFill="1" applyBorder="1" applyAlignment="1">
      <alignment horizontal="centerContinuous"/>
    </xf>
    <xf numFmtId="4" fontId="7" fillId="0" borderId="0" xfId="0" applyNumberFormat="1" applyFont="1" applyAlignment="1">
      <alignment horizontal="center" wrapText="1"/>
    </xf>
    <xf numFmtId="166" fontId="7" fillId="0" borderId="0" xfId="0" applyNumberFormat="1" applyFont="1" applyAlignment="1">
      <alignment horizontal="center"/>
    </xf>
    <xf numFmtId="166" fontId="7" fillId="0" borderId="0" xfId="0" applyNumberFormat="1" applyFont="1" applyFill="1" applyAlignment="1">
      <alignment horizontal="center"/>
    </xf>
    <xf numFmtId="174" fontId="7" fillId="0" borderId="0" xfId="0" applyNumberFormat="1" applyFont="1" applyAlignment="1">
      <alignment horizontal="center" wrapText="1"/>
    </xf>
    <xf numFmtId="0" fontId="7" fillId="0" borderId="0" xfId="0" applyFont="1" applyBorder="1"/>
    <xf numFmtId="0" fontId="11" fillId="0" borderId="0" xfId="0" applyFont="1" applyBorder="1"/>
    <xf numFmtId="0" fontId="7" fillId="0" borderId="0" xfId="0" applyFont="1" applyFill="1" applyBorder="1"/>
    <xf numFmtId="3" fontId="2" fillId="0" borderId="0" xfId="0" applyNumberFormat="1" applyFont="1" applyBorder="1" applyAlignment="1">
      <alignment horizontal="right"/>
    </xf>
    <xf numFmtId="0" fontId="7" fillId="9" borderId="0" xfId="0" applyFont="1" applyFill="1"/>
    <xf numFmtId="4" fontId="11" fillId="0" borderId="0" xfId="0" applyNumberFormat="1" applyFont="1" applyFill="1" applyAlignment="1">
      <alignment horizontal="center"/>
    </xf>
    <xf numFmtId="4" fontId="11" fillId="0" borderId="0" xfId="0" applyNumberFormat="1" applyFont="1" applyAlignment="1">
      <alignment horizontal="center"/>
    </xf>
    <xf numFmtId="4" fontId="11" fillId="5" borderId="0" xfId="0" applyNumberFormat="1" applyFont="1" applyFill="1" applyAlignment="1">
      <alignment horizontal="right"/>
    </xf>
    <xf numFmtId="0" fontId="0" fillId="0" borderId="0" xfId="0" applyFill="1"/>
    <xf numFmtId="0" fontId="10" fillId="0" borderId="0" xfId="0" applyNumberFormat="1" applyFont="1" applyFill="1" applyAlignment="1">
      <alignment horizontal="right" wrapText="1"/>
    </xf>
    <xf numFmtId="3" fontId="10" fillId="0" borderId="0" xfId="0" applyNumberFormat="1" applyFont="1" applyFill="1" applyAlignment="1">
      <alignment horizontal="right"/>
    </xf>
    <xf numFmtId="3" fontId="7" fillId="0" borderId="0" xfId="1" applyNumberFormat="1" applyFont="1" applyFill="1" applyAlignment="1">
      <alignment horizontal="right"/>
    </xf>
    <xf numFmtId="3" fontId="7" fillId="0" borderId="3" xfId="1" applyNumberFormat="1" applyFont="1" applyFill="1" applyBorder="1" applyAlignment="1">
      <alignment horizontal="right"/>
    </xf>
    <xf numFmtId="171" fontId="7" fillId="0" borderId="0" xfId="0" applyNumberFormat="1" applyFont="1" applyFill="1" applyAlignment="1">
      <alignment horizontal="right"/>
    </xf>
    <xf numFmtId="171" fontId="7" fillId="0" borderId="3" xfId="0" applyNumberFormat="1" applyFont="1" applyFill="1" applyBorder="1" applyAlignment="1">
      <alignment horizontal="right"/>
    </xf>
    <xf numFmtId="172" fontId="7" fillId="0" borderId="0" xfId="2" applyNumberFormat="1" applyFont="1" applyFill="1" applyAlignment="1">
      <alignment horizontal="right"/>
    </xf>
    <xf numFmtId="171" fontId="7" fillId="0" borderId="0" xfId="1" applyNumberFormat="1" applyFont="1" applyFill="1" applyAlignment="1">
      <alignment horizontal="right"/>
    </xf>
    <xf numFmtId="171" fontId="7" fillId="0" borderId="0" xfId="1" applyNumberFormat="1" applyFont="1" applyFill="1" applyBorder="1" applyAlignment="1">
      <alignment horizontal="right"/>
    </xf>
    <xf numFmtId="171" fontId="7" fillId="0" borderId="3" xfId="1" applyNumberFormat="1" applyFont="1" applyFill="1" applyBorder="1" applyAlignment="1">
      <alignment horizontal="right"/>
    </xf>
    <xf numFmtId="3" fontId="13" fillId="0" borderId="0" xfId="0" applyNumberFormat="1" applyFont="1" applyFill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3" fontId="7" fillId="9" borderId="0" xfId="0" applyNumberFormat="1" applyFont="1" applyFill="1" applyAlignment="1">
      <alignment horizontal="right"/>
    </xf>
    <xf numFmtId="166" fontId="7" fillId="9" borderId="0" xfId="0" applyNumberFormat="1" applyFont="1" applyFill="1" applyAlignment="1">
      <alignment horizontal="center"/>
    </xf>
    <xf numFmtId="37" fontId="11" fillId="9" borderId="0" xfId="0" applyNumberFormat="1" applyFont="1" applyFill="1" applyAlignment="1">
      <alignment horizontal="center"/>
    </xf>
    <xf numFmtId="0" fontId="7" fillId="9" borderId="0" xfId="0" applyFont="1" applyFill="1" applyAlignment="1">
      <alignment horizontal="center"/>
    </xf>
    <xf numFmtId="4" fontId="11" fillId="9" borderId="0" xfId="0" applyNumberFormat="1" applyFont="1" applyFill="1" applyAlignment="1">
      <alignment horizontal="right"/>
    </xf>
    <xf numFmtId="0" fontId="0" fillId="0" borderId="0" xfId="0" applyFill="1" applyBorder="1" applyAlignment="1"/>
    <xf numFmtId="0" fontId="10" fillId="0" borderId="0" xfId="0" applyFont="1" applyAlignment="1">
      <alignment horizontal="left" wrapText="1"/>
    </xf>
    <xf numFmtId="165" fontId="11" fillId="0" borderId="0" xfId="0" applyNumberFormat="1" applyFont="1" applyAlignment="1">
      <alignment horizontal="left"/>
    </xf>
    <xf numFmtId="171" fontId="0" fillId="0" borderId="0" xfId="1" applyNumberFormat="1" applyFont="1" applyAlignment="1">
      <alignment horizontal="left"/>
    </xf>
    <xf numFmtId="171" fontId="28" fillId="10" borderId="0" xfId="1" applyNumberFormat="1" applyFont="1" applyFill="1" applyAlignment="1">
      <alignment horizontal="left"/>
    </xf>
    <xf numFmtId="165" fontId="11" fillId="0" borderId="0" xfId="0" applyNumberFormat="1" applyFont="1" applyFill="1" applyAlignment="1">
      <alignment horizontal="left"/>
    </xf>
    <xf numFmtId="0" fontId="7" fillId="0" borderId="2" xfId="0" applyFont="1" applyBorder="1" applyAlignment="1">
      <alignment horizontal="left"/>
    </xf>
    <xf numFmtId="165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3" fontId="2" fillId="7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0" borderId="0" xfId="0" applyNumberFormat="1" applyFill="1"/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left"/>
    </xf>
    <xf numFmtId="3" fontId="0" fillId="4" borderId="5" xfId="0" applyNumberFormat="1" applyFill="1" applyBorder="1" applyAlignment="1">
      <alignment horizontal="center" wrapText="1"/>
    </xf>
    <xf numFmtId="3" fontId="0" fillId="4" borderId="6" xfId="0" applyNumberFormat="1" applyFill="1" applyBorder="1" applyAlignment="1"/>
    <xf numFmtId="0" fontId="9" fillId="7" borderId="9" xfId="0" applyFont="1" applyFill="1" applyBorder="1" applyAlignment="1">
      <alignment wrapText="1"/>
    </xf>
    <xf numFmtId="3" fontId="19" fillId="7" borderId="4" xfId="0" applyNumberFormat="1" applyFont="1" applyFill="1" applyBorder="1"/>
    <xf numFmtId="3" fontId="27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Alignment="1">
      <alignment horizontal="center" wrapText="1"/>
    </xf>
    <xf numFmtId="4" fontId="11" fillId="0" borderId="0" xfId="0" applyNumberFormat="1" applyFont="1" applyFill="1" applyAlignment="1">
      <alignment horizontal="right"/>
    </xf>
    <xf numFmtId="1" fontId="11" fillId="0" borderId="0" xfId="0" applyNumberFormat="1" applyFont="1" applyFill="1" applyAlignment="1">
      <alignment horizontal="right"/>
    </xf>
    <xf numFmtId="1" fontId="11" fillId="11" borderId="0" xfId="0" applyNumberFormat="1" applyFont="1" applyFill="1" applyAlignment="1">
      <alignment horizontal="right"/>
    </xf>
    <xf numFmtId="4" fontId="11" fillId="11" borderId="0" xfId="0" applyNumberFormat="1" applyFont="1" applyFill="1" applyAlignment="1">
      <alignment horizontal="right"/>
    </xf>
    <xf numFmtId="17" fontId="7" fillId="9" borderId="0" xfId="0" applyNumberFormat="1" applyFont="1" applyFill="1"/>
    <xf numFmtId="0" fontId="11" fillId="9" borderId="0" xfId="0" applyFont="1" applyFill="1" applyBorder="1" applyAlignment="1">
      <alignment horizontal="right" vertical="center" wrapText="1"/>
    </xf>
    <xf numFmtId="0" fontId="11" fillId="10" borderId="0" xfId="0" applyFont="1" applyFill="1" applyBorder="1" applyAlignment="1">
      <alignment horizontal="right" vertical="center" wrapText="1"/>
    </xf>
    <xf numFmtId="0" fontId="20" fillId="10" borderId="0" xfId="0" applyFont="1" applyFill="1" applyAlignment="1">
      <alignment horizontal="right" vertical="center" wrapText="1"/>
    </xf>
    <xf numFmtId="0" fontId="7" fillId="11" borderId="0" xfId="0" applyFont="1" applyFill="1"/>
    <xf numFmtId="0" fontId="17" fillId="10" borderId="0" xfId="0" applyFont="1" applyFill="1" applyAlignment="1">
      <alignment horizontal="right" vertical="center" wrapText="1"/>
    </xf>
    <xf numFmtId="0" fontId="29" fillId="10" borderId="0" xfId="0" applyFont="1" applyFill="1" applyAlignment="1">
      <alignment horizontal="right" vertical="center" wrapText="1"/>
    </xf>
    <xf numFmtId="0" fontId="30" fillId="10" borderId="0" xfId="0" applyFont="1" applyFill="1" applyAlignment="1">
      <alignment horizontal="right" vertical="center" wrapText="1"/>
    </xf>
    <xf numFmtId="0" fontId="29" fillId="10" borderId="0" xfId="0" applyFont="1" applyFill="1" applyAlignment="1">
      <alignment horizontal="right"/>
    </xf>
    <xf numFmtId="0" fontId="29" fillId="10" borderId="0" xfId="0" applyFont="1" applyFill="1"/>
    <xf numFmtId="0" fontId="29" fillId="9" borderId="0" xfId="0" applyFont="1" applyFill="1"/>
    <xf numFmtId="0" fontId="29" fillId="11" borderId="0" xfId="0" applyFont="1" applyFill="1"/>
    <xf numFmtId="169" fontId="0" fillId="0" borderId="0" xfId="0" applyNumberFormat="1" applyFill="1" applyAlignment="1">
      <alignment horizontal="center"/>
    </xf>
    <xf numFmtId="3" fontId="27" fillId="7" borderId="0" xfId="0" applyNumberFormat="1" applyFont="1" applyFill="1" applyBorder="1" applyAlignment="1">
      <alignment horizontal="left"/>
    </xf>
    <xf numFmtId="3" fontId="0" fillId="12" borderId="0" xfId="0" applyNumberFormat="1" applyFill="1" applyAlignment="1">
      <alignment horizontal="center"/>
    </xf>
    <xf numFmtId="4" fontId="7" fillId="0" borderId="0" xfId="0" applyNumberFormat="1" applyFont="1" applyAlignment="1">
      <alignment horizontal="right"/>
    </xf>
    <xf numFmtId="4" fontId="7" fillId="9" borderId="0" xfId="0" applyNumberFormat="1" applyFont="1" applyFill="1"/>
    <xf numFmtId="4" fontId="7" fillId="0" borderId="0" xfId="0" applyNumberFormat="1" applyFont="1" applyFill="1"/>
    <xf numFmtId="37" fontId="7" fillId="0" borderId="0" xfId="0" applyNumberFormat="1" applyFont="1" applyAlignment="1">
      <alignment horizontal="center"/>
    </xf>
    <xf numFmtId="3" fontId="0" fillId="0" borderId="0" xfId="0" applyNumberFormat="1" applyFill="1" applyBorder="1" applyAlignment="1">
      <alignment horizontal="center" wrapText="1"/>
    </xf>
    <xf numFmtId="0" fontId="0" fillId="0" borderId="0" xfId="0" applyFill="1" applyBorder="1" applyAlignment="1"/>
    <xf numFmtId="3" fontId="1" fillId="4" borderId="5" xfId="0" applyNumberFormat="1" applyFont="1" applyFill="1" applyBorder="1" applyAlignment="1">
      <alignment horizontal="left" wrapText="1"/>
    </xf>
    <xf numFmtId="3" fontId="1" fillId="4" borderId="8" xfId="0" applyNumberFormat="1" applyFont="1" applyFill="1" applyBorder="1" applyAlignment="1">
      <alignment horizontal="left" wrapText="1"/>
    </xf>
    <xf numFmtId="3" fontId="1" fillId="4" borderId="6" xfId="0" applyNumberFormat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3" fontId="0" fillId="4" borderId="5" xfId="0" applyNumberFormat="1" applyFill="1" applyBorder="1" applyAlignment="1">
      <alignment horizontal="left" wrapText="1"/>
    </xf>
    <xf numFmtId="3" fontId="0" fillId="4" borderId="8" xfId="0" applyNumberForma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3" fontId="0" fillId="4" borderId="5" xfId="0" applyNumberFormat="1" applyFill="1" applyBorder="1" applyAlignment="1">
      <alignment horizontal="center" wrapText="1"/>
    </xf>
    <xf numFmtId="3" fontId="0" fillId="4" borderId="6" xfId="0" applyNumberForma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21" fillId="0" borderId="0" xfId="0" applyFont="1" applyAlignment="1">
      <alignment horizontal="justify"/>
    </xf>
    <xf numFmtId="0" fontId="0" fillId="0" borderId="0" xfId="0" applyAlignment="1"/>
    <xf numFmtId="0" fontId="4" fillId="0" borderId="0" xfId="0" applyFont="1" applyAlignment="1">
      <alignment wrapText="1"/>
    </xf>
  </cellXfs>
  <cellStyles count="3">
    <cellStyle name="Comma" xfId="1" builtinId="3"/>
    <cellStyle name="Comma_2004 EDI Revenue Analysis" xfId="2"/>
    <cellStyle name="Normal" xfId="0" builtinId="0"/>
  </cellStyles>
  <dxfs count="0"/>
  <tableStyles count="0" defaultTableStyle="TableStyleMedium9" defaultPivotStyle="PivotStyleLight16"/>
  <colors>
    <mruColors>
      <color rgb="FF00FF00"/>
      <color rgb="FFCCFFCC"/>
      <color rgb="FFFFFF99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7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FF"/>
                </a:solidFill>
                <a:latin typeface="Arial"/>
                <a:cs typeface="Arial"/>
              </a:rPr>
              <a:t>Actual Purchased</a:t>
            </a: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 versus </a:t>
            </a:r>
            <a:r>
              <a:rPr lang="en-US" sz="1200" b="1" i="0" strike="noStrike">
                <a:solidFill>
                  <a:srgbClr val="FF00FF"/>
                </a:solidFill>
                <a:latin typeface="Arial"/>
                <a:cs typeface="Arial"/>
              </a:rPr>
              <a:t>Sales</a:t>
            </a: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 kWh </a:t>
            </a:r>
          </a:p>
        </c:rich>
      </c:tx>
      <c:layout>
        <c:manualLayout>
          <c:xMode val="edge"/>
          <c:yMode val="edge"/>
          <c:x val="0.37291897891232451"/>
          <c:y val="1.9575842708695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28412874583796"/>
          <c:y val="0.11620294599018088"/>
          <c:w val="0.53829078801331853"/>
          <c:h val="0.77250409165303313"/>
        </c:manualLayout>
      </c:layout>
      <c:lineChart>
        <c:grouping val="standard"/>
        <c:varyColors val="0"/>
        <c:ser>
          <c:idx val="0"/>
          <c:order val="0"/>
          <c:tx>
            <c:v>Purchased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'Purchased Power Model'!$A$294:$A$305</c:f>
              <c:numCache>
                <c:formatCode>General</c:formatCode>
                <c:ptCount val="12"/>
                <c:pt idx="0" formatCode="0">
                  <c:v>1999</c:v>
                </c:pt>
                <c:pt idx="1">
                  <c:v>2000</c:v>
                </c:pt>
                <c:pt idx="2" formatCode="0">
                  <c:v>2001</c:v>
                </c:pt>
                <c:pt idx="3">
                  <c:v>2002</c:v>
                </c:pt>
                <c:pt idx="4" formatCode="0">
                  <c:v>2003</c:v>
                </c:pt>
                <c:pt idx="5">
                  <c:v>2004</c:v>
                </c:pt>
                <c:pt idx="6" formatCode="0">
                  <c:v>2005</c:v>
                </c:pt>
                <c:pt idx="7">
                  <c:v>2006</c:v>
                </c:pt>
                <c:pt idx="8" formatCode="0">
                  <c:v>2007</c:v>
                </c:pt>
                <c:pt idx="9">
                  <c:v>2008</c:v>
                </c:pt>
                <c:pt idx="10" formatCode="0">
                  <c:v>2009</c:v>
                </c:pt>
                <c:pt idx="11">
                  <c:v>2010</c:v>
                </c:pt>
              </c:numCache>
            </c:numRef>
          </c:cat>
          <c:val>
            <c:numRef>
              <c:f>'Purchased Power Model'!$B$293:$B$305</c:f>
              <c:numCache>
                <c:formatCode>#,##0</c:formatCode>
                <c:ptCount val="13"/>
                <c:pt idx="0">
                  <c:v>1368341834.2</c:v>
                </c:pt>
                <c:pt idx="1">
                  <c:v>1419862044.4000001</c:v>
                </c:pt>
                <c:pt idx="2">
                  <c:v>1491540734</c:v>
                </c:pt>
                <c:pt idx="3">
                  <c:v>1489293270</c:v>
                </c:pt>
                <c:pt idx="4">
                  <c:v>1521498084.98</c:v>
                </c:pt>
                <c:pt idx="5">
                  <c:v>1508144801.98</c:v>
                </c:pt>
                <c:pt idx="6">
                  <c:v>1578638924.0699999</c:v>
                </c:pt>
                <c:pt idx="7">
                  <c:v>1641442335.24</c:v>
                </c:pt>
                <c:pt idx="8">
                  <c:v>1633788171.9999998</c:v>
                </c:pt>
                <c:pt idx="9">
                  <c:v>1631697102.8999999</c:v>
                </c:pt>
                <c:pt idx="10">
                  <c:v>1594089337.5</c:v>
                </c:pt>
                <c:pt idx="11">
                  <c:v>1504188795.0899999</c:v>
                </c:pt>
                <c:pt idx="12">
                  <c:v>1100104886</c:v>
                </c:pt>
              </c:numCache>
            </c:numRef>
          </c:val>
          <c:smooth val="0"/>
        </c:ser>
        <c:ser>
          <c:idx val="1"/>
          <c:order val="1"/>
          <c:tx>
            <c:v>Sales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'Purchased Power Model'!$A$294:$A$305</c:f>
              <c:numCache>
                <c:formatCode>General</c:formatCode>
                <c:ptCount val="12"/>
                <c:pt idx="0" formatCode="0">
                  <c:v>1999</c:v>
                </c:pt>
                <c:pt idx="1">
                  <c:v>2000</c:v>
                </c:pt>
                <c:pt idx="2" formatCode="0">
                  <c:v>2001</c:v>
                </c:pt>
                <c:pt idx="3">
                  <c:v>2002</c:v>
                </c:pt>
                <c:pt idx="4" formatCode="0">
                  <c:v>2003</c:v>
                </c:pt>
                <c:pt idx="5">
                  <c:v>2004</c:v>
                </c:pt>
                <c:pt idx="6" formatCode="0">
                  <c:v>2005</c:v>
                </c:pt>
                <c:pt idx="7">
                  <c:v>2006</c:v>
                </c:pt>
                <c:pt idx="8" formatCode="0">
                  <c:v>2007</c:v>
                </c:pt>
                <c:pt idx="9">
                  <c:v>2008</c:v>
                </c:pt>
                <c:pt idx="10" formatCode="0">
                  <c:v>2009</c:v>
                </c:pt>
                <c:pt idx="11">
                  <c:v>2010</c:v>
                </c:pt>
              </c:numCache>
            </c:numRef>
          </c:cat>
          <c:val>
            <c:numRef>
              <c:f>'Rate Class Energy Model'!$G$8:$G$20</c:f>
              <c:numCache>
                <c:formatCode>#,##0</c:formatCode>
                <c:ptCount val="13"/>
                <c:pt idx="4">
                  <c:v>1429964026.4390182</c:v>
                </c:pt>
                <c:pt idx="5">
                  <c:v>1485066532.433605</c:v>
                </c:pt>
                <c:pt idx="6">
                  <c:v>1556406606.3514192</c:v>
                </c:pt>
                <c:pt idx="7">
                  <c:v>1619044518.0224638</c:v>
                </c:pt>
                <c:pt idx="8">
                  <c:v>1609929222.885083</c:v>
                </c:pt>
                <c:pt idx="9">
                  <c:v>1609674692.7480927</c:v>
                </c:pt>
                <c:pt idx="10">
                  <c:v>1574447831.9159546</c:v>
                </c:pt>
                <c:pt idx="11">
                  <c:v>1485530567.0518968</c:v>
                </c:pt>
                <c:pt idx="12">
                  <c:v>1062154355.4421062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38080"/>
        <c:axId val="160640384"/>
      </c:lineChart>
      <c:dateAx>
        <c:axId val="16063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39400665926748546"/>
              <c:y val="0.944535140963352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640384"/>
        <c:crosses val="autoZero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16064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kWh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481239738649690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6380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806881243063804"/>
          <c:y val="0.3862520458265139"/>
          <c:w val="0.24750277469478218"/>
          <c:h val="0.446808510638298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Consumption per customer</a:t>
            </a:r>
          </a:p>
        </c:rich>
      </c:tx>
      <c:layout>
        <c:manualLayout>
          <c:xMode val="edge"/>
          <c:yMode val="edge"/>
          <c:x val="0.26327433628318575"/>
          <c:y val="3.6184246937183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29203539823225"/>
          <c:y val="0.22039509083812694"/>
          <c:w val="0.55752212389380529"/>
          <c:h val="0.6315799618047806"/>
        </c:manualLayout>
      </c:layout>
      <c:lineChart>
        <c:grouping val="standard"/>
        <c:varyColors val="0"/>
        <c:ser>
          <c:idx val="5"/>
          <c:order val="0"/>
          <c:tx>
            <c:strRef>
              <c:f>'Customer growth'!$G$2</c:f>
              <c:strCache>
                <c:ptCount val="1"/>
                <c:pt idx="0">
                  <c:v>Streetlights 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'Customer growth'!$A$3:$A$11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</c:numCache>
            </c:numRef>
          </c:cat>
          <c:val>
            <c:numRef>
              <c:f>'Customer growth'!$G$3:$G$11</c:f>
              <c:numCache>
                <c:formatCode>#,##0</c:formatCode>
                <c:ptCount val="9"/>
                <c:pt idx="0">
                  <c:v>846.79920005588235</c:v>
                </c:pt>
                <c:pt idx="1">
                  <c:v>748.51318223611622</c:v>
                </c:pt>
                <c:pt idx="2">
                  <c:v>742.89324973589544</c:v>
                </c:pt>
                <c:pt idx="3">
                  <c:v>720.35517140864795</c:v>
                </c:pt>
                <c:pt idx="4">
                  <c:v>715.82301221229898</c:v>
                </c:pt>
                <c:pt idx="5">
                  <c:v>697.36630504390462</c:v>
                </c:pt>
                <c:pt idx="6">
                  <c:v>724.34706282763477</c:v>
                </c:pt>
                <c:pt idx="7">
                  <c:v>724.82621073094867</c:v>
                </c:pt>
                <c:pt idx="8">
                  <c:v>517.40583223740396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78752"/>
        <c:axId val="161180672"/>
      </c:lineChart>
      <c:catAx>
        <c:axId val="161178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18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180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kWh</a:t>
                </a:r>
              </a:p>
            </c:rich>
          </c:tx>
          <c:layout>
            <c:manualLayout>
              <c:xMode val="edge"/>
              <c:yMode val="edge"/>
              <c:x val="3.5398230088495596E-2"/>
              <c:y val="0.483553453581880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1787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115044247788386"/>
          <c:y val="0.50000083855333211"/>
          <c:w val="0.24115044247786888"/>
          <c:h val="7.23684938743656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Consumption per customer</a:t>
            </a:r>
          </a:p>
        </c:rich>
      </c:tx>
      <c:layout>
        <c:manualLayout>
          <c:xMode val="edge"/>
          <c:yMode val="edge"/>
          <c:x val="0.26327433628318575"/>
          <c:y val="3.6184210526316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14159292035397"/>
          <c:y val="0.16666701201823456"/>
          <c:w val="0.58112094395280156"/>
          <c:h val="0.68639591103743613"/>
        </c:manualLayout>
      </c:layout>
      <c:lineChart>
        <c:grouping val="standard"/>
        <c:varyColors val="0"/>
        <c:ser>
          <c:idx val="6"/>
          <c:order val="0"/>
          <c:tx>
            <c:strRef>
              <c:f>'Customer growth'!$H$2</c:f>
              <c:strCache>
                <c:ptCount val="1"/>
                <c:pt idx="0">
                  <c:v>Sentinel Lights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'Customer growth'!$A$3:$A$11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</c:numCache>
            </c:numRef>
          </c:cat>
          <c:val>
            <c:numRef>
              <c:f>'Customer growth'!$H$3:$H$11</c:f>
              <c:numCache>
                <c:formatCode>#,##0</c:formatCode>
                <c:ptCount val="9"/>
                <c:pt idx="0">
                  <c:v>2610.2953525745243</c:v>
                </c:pt>
                <c:pt idx="1">
                  <c:v>4347.3856112359599</c:v>
                </c:pt>
                <c:pt idx="2">
                  <c:v>4322.0380283286095</c:v>
                </c:pt>
                <c:pt idx="3">
                  <c:v>4125.6032548387038</c:v>
                </c:pt>
                <c:pt idx="4">
                  <c:v>4156.9254474114405</c:v>
                </c:pt>
                <c:pt idx="5">
                  <c:v>4135.8792551724155</c:v>
                </c:pt>
                <c:pt idx="6">
                  <c:v>3645.3630898203537</c:v>
                </c:pt>
                <c:pt idx="7">
                  <c:v>3614.299125222552</c:v>
                </c:pt>
                <c:pt idx="8">
                  <c:v>2584.2238745341247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95360"/>
        <c:axId val="161313920"/>
      </c:lineChart>
      <c:catAx>
        <c:axId val="1612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313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313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kWh</a:t>
                </a:r>
              </a:p>
            </c:rich>
          </c:tx>
          <c:layout>
            <c:manualLayout>
              <c:xMode val="edge"/>
              <c:yMode val="edge"/>
              <c:x val="4.4247787610619468E-2"/>
              <c:y val="0.4868427959662975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295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259587020649606"/>
          <c:y val="0.5000006907031358"/>
          <c:w val="0.14970501474925971"/>
          <c:h val="7.23684210526312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Consumption per customer</a:t>
            </a:r>
          </a:p>
        </c:rich>
      </c:tx>
      <c:layout>
        <c:manualLayout>
          <c:xMode val="edge"/>
          <c:yMode val="edge"/>
          <c:x val="0.26327433628318575"/>
          <c:y val="3.6184210526316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62831858407094"/>
          <c:y val="0.22039509083812694"/>
          <c:w val="0.45353982300884982"/>
          <c:h val="0.5822377772887819"/>
        </c:manualLayout>
      </c:layout>
      <c:lineChart>
        <c:grouping val="standard"/>
        <c:varyColors val="0"/>
        <c:ser>
          <c:idx val="7"/>
          <c:order val="0"/>
          <c:tx>
            <c:strRef>
              <c:f>'Customer growth'!$I$2</c:f>
              <c:strCache>
                <c:ptCount val="1"/>
                <c:pt idx="0">
                  <c:v>Unmetered Loads 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'Customer growth'!$A$3:$A$11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</c:numCache>
            </c:numRef>
          </c:cat>
          <c:val>
            <c:numRef>
              <c:f>'Customer growth'!$I$3:$I$11</c:f>
              <c:numCache>
                <c:formatCode>#,##0</c:formatCode>
                <c:ptCount val="9"/>
                <c:pt idx="0">
                  <c:v>4656.3263144366447</c:v>
                </c:pt>
                <c:pt idx="1">
                  <c:v>5550.5901387754775</c:v>
                </c:pt>
                <c:pt idx="2">
                  <c:v>5329.2766411960092</c:v>
                </c:pt>
                <c:pt idx="3">
                  <c:v>5276.009337142822</c:v>
                </c:pt>
                <c:pt idx="4">
                  <c:v>4034.1251685026009</c:v>
                </c:pt>
                <c:pt idx="5">
                  <c:v>4262.9666454231519</c:v>
                </c:pt>
                <c:pt idx="6">
                  <c:v>4193.5683870689782</c:v>
                </c:pt>
                <c:pt idx="7">
                  <c:v>4165.6666317869422</c:v>
                </c:pt>
                <c:pt idx="8">
                  <c:v>2963.177530744445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42592"/>
        <c:axId val="161344512"/>
      </c:lineChart>
      <c:catAx>
        <c:axId val="16134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344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344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kWh</a:t>
                </a:r>
              </a:p>
            </c:rich>
          </c:tx>
          <c:layout>
            <c:manualLayout>
              <c:xMode val="edge"/>
              <c:yMode val="edge"/>
              <c:x val="3.5398230088495596E-2"/>
              <c:y val="0.457237532808395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342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150442477876104"/>
          <c:y val="0.47697437491366695"/>
          <c:w val="0.32079646017698982"/>
          <c:h val="7.23684210526297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Actual versus Forecasted Purchases Comparison 
</a:t>
            </a:r>
          </a:p>
        </c:rich>
      </c:tx>
      <c:layout>
        <c:manualLayout>
          <c:xMode val="edge"/>
          <c:yMode val="edge"/>
          <c:x val="0.16144200626959249"/>
          <c:y val="3.0303030303030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40752351097191"/>
          <c:y val="0.33737440296402743"/>
          <c:w val="0.69905956112852663"/>
          <c:h val="0.57171829963364063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Purchases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'Purchased vs Forecast'!$A$3:$A$17</c:f>
              <c:numCache>
                <c:formatCode>General</c:formatCode>
                <c:ptCount val="15"/>
                <c:pt idx="0" formatCode="0">
                  <c:v>1998</c:v>
                </c:pt>
                <c:pt idx="1">
                  <c:v>1999</c:v>
                </c:pt>
                <c:pt idx="2" formatCode="0">
                  <c:v>2000</c:v>
                </c:pt>
                <c:pt idx="3">
                  <c:v>2001</c:v>
                </c:pt>
                <c:pt idx="4" formatCode="0">
                  <c:v>2002</c:v>
                </c:pt>
                <c:pt idx="5">
                  <c:v>2003</c:v>
                </c:pt>
                <c:pt idx="6" formatCode="0">
                  <c:v>2004</c:v>
                </c:pt>
                <c:pt idx="7">
                  <c:v>2005</c:v>
                </c:pt>
                <c:pt idx="8" formatCode="0">
                  <c:v>2006</c:v>
                </c:pt>
                <c:pt idx="9">
                  <c:v>2007</c:v>
                </c:pt>
                <c:pt idx="10" formatCode="0">
                  <c:v>2008</c:v>
                </c:pt>
                <c:pt idx="11">
                  <c:v>2009</c:v>
                </c:pt>
                <c:pt idx="12" formatCode="0">
                  <c:v>2010</c:v>
                </c:pt>
                <c:pt idx="13">
                  <c:v>2011</c:v>
                </c:pt>
                <c:pt idx="14" formatCode="0">
                  <c:v>2012</c:v>
                </c:pt>
              </c:numCache>
            </c:numRef>
          </c:cat>
          <c:val>
            <c:numRef>
              <c:f>'Purchased vs Forecast'!$B$3:$B$16</c:f>
              <c:numCache>
                <c:formatCode>#,##0</c:formatCode>
                <c:ptCount val="14"/>
                <c:pt idx="0">
                  <c:v>1368.3418342</c:v>
                </c:pt>
                <c:pt idx="1">
                  <c:v>1419.8620444000001</c:v>
                </c:pt>
                <c:pt idx="2">
                  <c:v>1491.5407339999999</c:v>
                </c:pt>
                <c:pt idx="3">
                  <c:v>1489.2932699999999</c:v>
                </c:pt>
                <c:pt idx="4">
                  <c:v>1521.4980849799999</c:v>
                </c:pt>
                <c:pt idx="5">
                  <c:v>1508.14480198</c:v>
                </c:pt>
                <c:pt idx="6">
                  <c:v>1578.63892407</c:v>
                </c:pt>
                <c:pt idx="7">
                  <c:v>1641.4423352399999</c:v>
                </c:pt>
                <c:pt idx="8">
                  <c:v>1633.7881719999998</c:v>
                </c:pt>
                <c:pt idx="9">
                  <c:v>1631.6971028999999</c:v>
                </c:pt>
                <c:pt idx="10">
                  <c:v>1594.0893375000001</c:v>
                </c:pt>
                <c:pt idx="11">
                  <c:v>1504.18879509</c:v>
                </c:pt>
                <c:pt idx="12">
                  <c:v>1100.1048860000001</c:v>
                </c:pt>
              </c:numCache>
            </c:numRef>
          </c:val>
        </c:ser>
        <c:ser>
          <c:idx val="1"/>
          <c:order val="1"/>
          <c:tx>
            <c:v>Forecasted Purchases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'Purchased vs Forecast'!$A$3:$A$17</c:f>
              <c:numCache>
                <c:formatCode>General</c:formatCode>
                <c:ptCount val="15"/>
                <c:pt idx="0" formatCode="0">
                  <c:v>1998</c:v>
                </c:pt>
                <c:pt idx="1">
                  <c:v>1999</c:v>
                </c:pt>
                <c:pt idx="2" formatCode="0">
                  <c:v>2000</c:v>
                </c:pt>
                <c:pt idx="3">
                  <c:v>2001</c:v>
                </c:pt>
                <c:pt idx="4" formatCode="0">
                  <c:v>2002</c:v>
                </c:pt>
                <c:pt idx="5">
                  <c:v>2003</c:v>
                </c:pt>
                <c:pt idx="6" formatCode="0">
                  <c:v>2004</c:v>
                </c:pt>
                <c:pt idx="7">
                  <c:v>2005</c:v>
                </c:pt>
                <c:pt idx="8" formatCode="0">
                  <c:v>2006</c:v>
                </c:pt>
                <c:pt idx="9">
                  <c:v>2007</c:v>
                </c:pt>
                <c:pt idx="10" formatCode="0">
                  <c:v>2008</c:v>
                </c:pt>
                <c:pt idx="11">
                  <c:v>2009</c:v>
                </c:pt>
                <c:pt idx="12" formatCode="0">
                  <c:v>2010</c:v>
                </c:pt>
                <c:pt idx="13">
                  <c:v>2011</c:v>
                </c:pt>
                <c:pt idx="14" formatCode="0">
                  <c:v>2012</c:v>
                </c:pt>
              </c:numCache>
            </c:numRef>
          </c:cat>
          <c:val>
            <c:numRef>
              <c:f>'Purchased vs Forecast'!$C$3:$C$17</c:f>
              <c:numCache>
                <c:formatCode>#,##0</c:formatCode>
                <c:ptCount val="15"/>
                <c:pt idx="0">
                  <c:v>1337.5788840419241</c:v>
                </c:pt>
                <c:pt idx="1">
                  <c:v>1425.5002862491876</c:v>
                </c:pt>
                <c:pt idx="2">
                  <c:v>1507.9418777769606</c:v>
                </c:pt>
                <c:pt idx="3">
                  <c:v>1508.0750468492968</c:v>
                </c:pt>
                <c:pt idx="4">
                  <c:v>1545.8643592675969</c:v>
                </c:pt>
                <c:pt idx="5">
                  <c:v>1536.4324498169462</c:v>
                </c:pt>
                <c:pt idx="6">
                  <c:v>1566.4516393637198</c:v>
                </c:pt>
                <c:pt idx="7">
                  <c:v>1614.6852020407234</c:v>
                </c:pt>
                <c:pt idx="8">
                  <c:v>1596.0208353881278</c:v>
                </c:pt>
                <c:pt idx="9">
                  <c:v>1633.3489382652831</c:v>
                </c:pt>
                <c:pt idx="10">
                  <c:v>1602.6093868361436</c:v>
                </c:pt>
                <c:pt idx="11">
                  <c:v>1528.1732342898254</c:v>
                </c:pt>
                <c:pt idx="12">
                  <c:v>1604.9066111064071</c:v>
                </c:pt>
                <c:pt idx="13">
                  <c:v>1660.6081451519137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736768"/>
        <c:axId val="160738304"/>
      </c:barChart>
      <c:catAx>
        <c:axId val="1607367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738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738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6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GWh</a:t>
                </a:r>
              </a:p>
            </c:rich>
          </c:tx>
          <c:layout>
            <c:manualLayout>
              <c:xMode val="edge"/>
              <c:yMode val="edge"/>
              <c:x val="7.0532915360501588E-2"/>
              <c:y val="0.157575969670457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736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6959247648902821"/>
          <c:y val="0.1818186060075824"/>
          <c:w val="0.2884012539184953"/>
          <c:h val="9.89901110845997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44" r="0.75000000000000444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FF"/>
                </a:solidFill>
                <a:latin typeface="Arial"/>
                <a:cs typeface="Arial"/>
              </a:rPr>
              <a:t>Purchased Actual</a:t>
            </a: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 versus </a:t>
            </a:r>
            <a:r>
              <a:rPr lang="en-US" sz="1200" b="1" i="0" strike="noStrike">
                <a:solidFill>
                  <a:srgbClr val="FF00FF"/>
                </a:solidFill>
                <a:latin typeface="Arial"/>
                <a:cs typeface="Arial"/>
              </a:rPr>
              <a:t>Forecasted</a:t>
            </a:r>
          </a:p>
        </c:rich>
      </c:tx>
      <c:layout>
        <c:manualLayout>
          <c:xMode val="edge"/>
          <c:yMode val="edge"/>
          <c:x val="0.34073251942286348"/>
          <c:y val="1.9575842708695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460599334073267E-2"/>
          <c:y val="0.12111292962356793"/>
          <c:w val="0.71365149833519292"/>
          <c:h val="0.76923076923076927"/>
        </c:manualLayout>
      </c:layout>
      <c:barChart>
        <c:barDir val="col"/>
        <c:grouping val="clustered"/>
        <c:varyColors val="0"/>
        <c:ser>
          <c:idx val="0"/>
          <c:order val="0"/>
          <c:tx>
            <c:v>Purchased Actual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'Purchased Power Model'!$A$293:$A$307</c:f>
              <c:numCache>
                <c:formatCode>0</c:formatCode>
                <c:ptCount val="15"/>
                <c:pt idx="0" formatCode="General">
                  <c:v>1998</c:v>
                </c:pt>
                <c:pt idx="1">
                  <c:v>1999</c:v>
                </c:pt>
                <c:pt idx="2" formatCode="General">
                  <c:v>2000</c:v>
                </c:pt>
                <c:pt idx="3">
                  <c:v>2001</c:v>
                </c:pt>
                <c:pt idx="4" formatCode="General">
                  <c:v>2002</c:v>
                </c:pt>
                <c:pt idx="5">
                  <c:v>2003</c:v>
                </c:pt>
                <c:pt idx="6" formatCode="General">
                  <c:v>2004</c:v>
                </c:pt>
                <c:pt idx="7">
                  <c:v>2005</c:v>
                </c:pt>
                <c:pt idx="8" formatCode="General">
                  <c:v>2006</c:v>
                </c:pt>
                <c:pt idx="9">
                  <c:v>2007</c:v>
                </c:pt>
                <c:pt idx="10" formatCode="General">
                  <c:v>2008</c:v>
                </c:pt>
                <c:pt idx="11">
                  <c:v>2009</c:v>
                </c:pt>
                <c:pt idx="12" formatCode="General">
                  <c:v>2010</c:v>
                </c:pt>
                <c:pt idx="13" formatCode="General">
                  <c:v>2011</c:v>
                </c:pt>
                <c:pt idx="14" formatCode="General">
                  <c:v>2012</c:v>
                </c:pt>
              </c:numCache>
            </c:numRef>
          </c:cat>
          <c:val>
            <c:numRef>
              <c:f>'Purchased Power Model'!$I$293:$I$307</c:f>
              <c:numCache>
                <c:formatCode>#,##0</c:formatCode>
                <c:ptCount val="15"/>
                <c:pt idx="0">
                  <c:v>1368.3418342</c:v>
                </c:pt>
                <c:pt idx="1">
                  <c:v>1419.8620444000001</c:v>
                </c:pt>
                <c:pt idx="2">
                  <c:v>1491.5407339999999</c:v>
                </c:pt>
                <c:pt idx="3">
                  <c:v>1489.2932699999999</c:v>
                </c:pt>
                <c:pt idx="4">
                  <c:v>1521.4980849799999</c:v>
                </c:pt>
                <c:pt idx="5">
                  <c:v>1508.14480198</c:v>
                </c:pt>
                <c:pt idx="6">
                  <c:v>1578.63892407</c:v>
                </c:pt>
                <c:pt idx="7">
                  <c:v>1641.4423352399999</c:v>
                </c:pt>
                <c:pt idx="8">
                  <c:v>1633.7881719999998</c:v>
                </c:pt>
                <c:pt idx="9">
                  <c:v>1631.6971028999999</c:v>
                </c:pt>
                <c:pt idx="10">
                  <c:v>1594.0893375000001</c:v>
                </c:pt>
                <c:pt idx="11">
                  <c:v>1504.18879509</c:v>
                </c:pt>
                <c:pt idx="12">
                  <c:v>1100.1048860000001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v>Purchased Forecasted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'Purchased Power Model'!$A$293:$A$307</c:f>
              <c:numCache>
                <c:formatCode>0</c:formatCode>
                <c:ptCount val="15"/>
                <c:pt idx="0" formatCode="General">
                  <c:v>1998</c:v>
                </c:pt>
                <c:pt idx="1">
                  <c:v>1999</c:v>
                </c:pt>
                <c:pt idx="2" formatCode="General">
                  <c:v>2000</c:v>
                </c:pt>
                <c:pt idx="3">
                  <c:v>2001</c:v>
                </c:pt>
                <c:pt idx="4" formatCode="General">
                  <c:v>2002</c:v>
                </c:pt>
                <c:pt idx="5">
                  <c:v>2003</c:v>
                </c:pt>
                <c:pt idx="6" formatCode="General">
                  <c:v>2004</c:v>
                </c:pt>
                <c:pt idx="7">
                  <c:v>2005</c:v>
                </c:pt>
                <c:pt idx="8" formatCode="General">
                  <c:v>2006</c:v>
                </c:pt>
                <c:pt idx="9">
                  <c:v>2007</c:v>
                </c:pt>
                <c:pt idx="10" formatCode="General">
                  <c:v>2008</c:v>
                </c:pt>
                <c:pt idx="11">
                  <c:v>2009</c:v>
                </c:pt>
                <c:pt idx="12" formatCode="General">
                  <c:v>2010</c:v>
                </c:pt>
                <c:pt idx="13" formatCode="General">
                  <c:v>2011</c:v>
                </c:pt>
                <c:pt idx="14" formatCode="General">
                  <c:v>2012</c:v>
                </c:pt>
              </c:numCache>
            </c:numRef>
          </c:cat>
          <c:val>
            <c:numRef>
              <c:f>'Purchased vs Forecast'!$C$3:$C$17</c:f>
              <c:numCache>
                <c:formatCode>#,##0</c:formatCode>
                <c:ptCount val="15"/>
                <c:pt idx="0">
                  <c:v>1337.5788840419241</c:v>
                </c:pt>
                <c:pt idx="1">
                  <c:v>1425.5002862491876</c:v>
                </c:pt>
                <c:pt idx="2">
                  <c:v>1507.9418777769606</c:v>
                </c:pt>
                <c:pt idx="3">
                  <c:v>1508.0750468492968</c:v>
                </c:pt>
                <c:pt idx="4">
                  <c:v>1545.8643592675969</c:v>
                </c:pt>
                <c:pt idx="5">
                  <c:v>1536.4324498169462</c:v>
                </c:pt>
                <c:pt idx="6">
                  <c:v>1566.4516393637198</c:v>
                </c:pt>
                <c:pt idx="7">
                  <c:v>1614.6852020407234</c:v>
                </c:pt>
                <c:pt idx="8">
                  <c:v>1596.0208353881278</c:v>
                </c:pt>
                <c:pt idx="9">
                  <c:v>1633.3489382652831</c:v>
                </c:pt>
                <c:pt idx="10">
                  <c:v>1602.6093868361436</c:v>
                </c:pt>
                <c:pt idx="11">
                  <c:v>1528.1732342898254</c:v>
                </c:pt>
                <c:pt idx="12">
                  <c:v>1604.9066111064071</c:v>
                </c:pt>
                <c:pt idx="13">
                  <c:v>1660.6081451519137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777344"/>
        <c:axId val="160778880"/>
      </c:barChart>
      <c:catAx>
        <c:axId val="1607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778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778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GWh</a:t>
                </a:r>
              </a:p>
            </c:rich>
          </c:tx>
          <c:layout>
            <c:manualLayout>
              <c:xMode val="edge"/>
              <c:yMode val="edge"/>
              <c:x val="4.6614872364039765E-2"/>
              <c:y val="3.764320785597442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777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832408435072141"/>
          <c:y val="0.93617021276595769"/>
          <c:w val="0.28856825749167381"/>
          <c:h val="3.76432078559739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Consumption per customer</a:t>
            </a:r>
          </a:p>
        </c:rich>
      </c:tx>
      <c:layout>
        <c:manualLayout>
          <c:xMode val="edge"/>
          <c:yMode val="edge"/>
          <c:x val="0.26222268883056282"/>
          <c:y val="3.64238410596026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00004340287197"/>
          <c:y val="0.22185430463576158"/>
          <c:w val="0.52000112847467161"/>
          <c:h val="0.62913907284768678"/>
        </c:manualLayout>
      </c:layout>
      <c:lineChart>
        <c:grouping val="standard"/>
        <c:varyColors val="0"/>
        <c:ser>
          <c:idx val="0"/>
          <c:order val="0"/>
          <c:tx>
            <c:strRef>
              <c:f>'Customer growth'!$B$2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'Customer growth'!$A$3:$A$11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</c:numCache>
            </c:numRef>
          </c:cat>
          <c:val>
            <c:numRef>
              <c:f>'Customer growth'!$B$3:$B$11</c:f>
              <c:numCache>
                <c:formatCode>#,##0</c:formatCode>
                <c:ptCount val="9"/>
                <c:pt idx="0">
                  <c:v>7973.5080871983619</c:v>
                </c:pt>
                <c:pt idx="1">
                  <c:v>8541.4130256810549</c:v>
                </c:pt>
                <c:pt idx="2">
                  <c:v>8460.8751420362423</c:v>
                </c:pt>
                <c:pt idx="3">
                  <c:v>8771.3872049804504</c:v>
                </c:pt>
                <c:pt idx="4">
                  <c:v>8366.9023051401218</c:v>
                </c:pt>
                <c:pt idx="5">
                  <c:v>8346.166895758608</c:v>
                </c:pt>
                <c:pt idx="6">
                  <c:v>8157.7203966427969</c:v>
                </c:pt>
                <c:pt idx="7">
                  <c:v>7911.1928980071025</c:v>
                </c:pt>
                <c:pt idx="8">
                  <c:v>5656.5029220750775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36992"/>
        <c:axId val="160871936"/>
      </c:lineChart>
      <c:catAx>
        <c:axId val="16083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87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871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kWh</a:t>
                </a:r>
              </a:p>
            </c:rich>
          </c:tx>
          <c:layout>
            <c:manualLayout>
              <c:xMode val="edge"/>
              <c:yMode val="edge"/>
              <c:x val="3.5555555555555556E-2"/>
              <c:y val="0.483443708609271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836992"/>
        <c:crosses val="autoZero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444607757364145"/>
          <c:y val="0.5"/>
          <c:w val="0.2377782443861125"/>
          <c:h val="7.28476821192085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Consumption per customer</a:t>
            </a:r>
          </a:p>
        </c:rich>
      </c:tx>
      <c:layout>
        <c:manualLayout>
          <c:xMode val="edge"/>
          <c:yMode val="edge"/>
          <c:x val="0.26385832591325525"/>
          <c:y val="3.63036303630363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498918959299388"/>
          <c:y val="0.22112282488534216"/>
          <c:w val="0.38137513573909038"/>
          <c:h val="0.60066200192734265"/>
        </c:manualLayout>
      </c:layout>
      <c:lineChart>
        <c:grouping val="standard"/>
        <c:varyColors val="0"/>
        <c:ser>
          <c:idx val="0"/>
          <c:order val="0"/>
          <c:tx>
            <c:strRef>
              <c:f>'Customer growth'!$B$2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'Customer growth'!$A$3:$A$11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</c:numCache>
            </c:numRef>
          </c:cat>
          <c:val>
            <c:numRef>
              <c:f>'Customer growth'!$B$3:$B$11</c:f>
              <c:numCache>
                <c:formatCode>#,##0</c:formatCode>
                <c:ptCount val="9"/>
                <c:pt idx="0">
                  <c:v>7973.5080871983619</c:v>
                </c:pt>
                <c:pt idx="1">
                  <c:v>8541.4130256810549</c:v>
                </c:pt>
                <c:pt idx="2">
                  <c:v>8460.8751420362423</c:v>
                </c:pt>
                <c:pt idx="3">
                  <c:v>8771.3872049804504</c:v>
                </c:pt>
                <c:pt idx="4">
                  <c:v>8366.9023051401218</c:v>
                </c:pt>
                <c:pt idx="5">
                  <c:v>8346.166895758608</c:v>
                </c:pt>
                <c:pt idx="6">
                  <c:v>8157.7203966427969</c:v>
                </c:pt>
                <c:pt idx="7">
                  <c:v>7911.1928980071025</c:v>
                </c:pt>
                <c:pt idx="8">
                  <c:v>5656.5029220750775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'Customer growth'!$C$2</c:f>
              <c:strCache>
                <c:ptCount val="1"/>
                <c:pt idx="0">
                  <c:v>General Service &lt; 50 kW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'Customer growth'!$A$3:$A$11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</c:numCache>
            </c:numRef>
          </c:cat>
          <c:val>
            <c:numRef>
              <c:f>'Customer growth'!$C$3:$C$11</c:f>
              <c:numCache>
                <c:formatCode>#,##0</c:formatCode>
                <c:ptCount val="9"/>
                <c:pt idx="0">
                  <c:v>42355.472619842207</c:v>
                </c:pt>
                <c:pt idx="1">
                  <c:v>41517.716388794928</c:v>
                </c:pt>
                <c:pt idx="2">
                  <c:v>41051.925235149749</c:v>
                </c:pt>
                <c:pt idx="3">
                  <c:v>42166.300480734208</c:v>
                </c:pt>
                <c:pt idx="4">
                  <c:v>40829.564717003159</c:v>
                </c:pt>
                <c:pt idx="5">
                  <c:v>41193.587216280263</c:v>
                </c:pt>
                <c:pt idx="6">
                  <c:v>41017.705677905338</c:v>
                </c:pt>
                <c:pt idx="7">
                  <c:v>39045.84963639878</c:v>
                </c:pt>
                <c:pt idx="8">
                  <c:v>27917.782490025125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'Customer growth'!$D$2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'Customer growth'!$A$3:$A$11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</c:numCache>
            </c:numRef>
          </c:cat>
          <c:val>
            <c:numRef>
              <c:f>'Customer growth'!$D$3:$D$11</c:f>
              <c:numCache>
                <c:formatCode>#,##0</c:formatCode>
                <c:ptCount val="9"/>
                <c:pt idx="0">
                  <c:v>806662.05844174908</c:v>
                </c:pt>
                <c:pt idx="1">
                  <c:v>907246.75504837197</c:v>
                </c:pt>
                <c:pt idx="2">
                  <c:v>905160.36501241173</c:v>
                </c:pt>
                <c:pt idx="3">
                  <c:v>860078.36196101492</c:v>
                </c:pt>
                <c:pt idx="4">
                  <c:v>838801.24173728249</c:v>
                </c:pt>
                <c:pt idx="5">
                  <c:v>859721.10182146111</c:v>
                </c:pt>
                <c:pt idx="6">
                  <c:v>788482.49494716502</c:v>
                </c:pt>
                <c:pt idx="7">
                  <c:v>686130.89648948819</c:v>
                </c:pt>
                <c:pt idx="8">
                  <c:v>490583.59098998411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'Customer growth'!$E$2</c:f>
              <c:strCache>
                <c:ptCount val="1"/>
                <c:pt idx="0">
                  <c:v>General Service &gt; 1000 to 4999 kW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'Customer growth'!$A$3:$A$11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</c:numCache>
            </c:numRef>
          </c:cat>
          <c:val>
            <c:numRef>
              <c:f>'Customer growth'!$E$3:$E$11</c:f>
              <c:numCache>
                <c:formatCode>#,##0</c:formatCode>
                <c:ptCount val="9"/>
                <c:pt idx="0">
                  <c:v>11320455.085354825</c:v>
                </c:pt>
                <c:pt idx="1">
                  <c:v>10070767.441808967</c:v>
                </c:pt>
                <c:pt idx="2">
                  <c:v>9790665.3213959094</c:v>
                </c:pt>
                <c:pt idx="3">
                  <c:v>10979831.880452663</c:v>
                </c:pt>
                <c:pt idx="4">
                  <c:v>10509331.398991996</c:v>
                </c:pt>
                <c:pt idx="5">
                  <c:v>9549526.8631517328</c:v>
                </c:pt>
                <c:pt idx="6">
                  <c:v>9420250.911368873</c:v>
                </c:pt>
                <c:pt idx="7">
                  <c:v>9109828.663438879</c:v>
                </c:pt>
                <c:pt idx="8">
                  <c:v>6513527.4943587976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'Customer growth'!$F$2</c:f>
              <c:strCache>
                <c:ptCount val="1"/>
                <c:pt idx="0">
                  <c:v>Large Use &gt;5000 kW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'Customer growth'!$A$3:$A$11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</c:numCache>
            </c:numRef>
          </c:cat>
          <c:val>
            <c:numRef>
              <c:f>'Customer growth'!$F$3:$F$11</c:f>
              <c:numCache>
                <c:formatCode>#,##0</c:formatCode>
                <c:ptCount val="9"/>
                <c:pt idx="0">
                  <c:v>56990364.520034939</c:v>
                </c:pt>
                <c:pt idx="1">
                  <c:v>56087970.395669468</c:v>
                </c:pt>
                <c:pt idx="2">
                  <c:v>65321578.828994438</c:v>
                </c:pt>
                <c:pt idx="3">
                  <c:v>63362104.479840748</c:v>
                </c:pt>
                <c:pt idx="4">
                  <c:v>65160994.071851745</c:v>
                </c:pt>
                <c:pt idx="5">
                  <c:v>64603894.944474965</c:v>
                </c:pt>
                <c:pt idx="6">
                  <c:v>62100124.899327993</c:v>
                </c:pt>
                <c:pt idx="7">
                  <c:v>59295996.045700788</c:v>
                </c:pt>
                <c:pt idx="8">
                  <c:v>42396637.172676064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'Customer growth'!$G$2</c:f>
              <c:strCache>
                <c:ptCount val="1"/>
                <c:pt idx="0">
                  <c:v>Streetlights 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'Customer growth'!$A$3:$A$11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</c:numCache>
            </c:numRef>
          </c:cat>
          <c:val>
            <c:numRef>
              <c:f>'Customer growth'!$G$3:$G$11</c:f>
              <c:numCache>
                <c:formatCode>#,##0</c:formatCode>
                <c:ptCount val="9"/>
                <c:pt idx="0">
                  <c:v>846.79920005588235</c:v>
                </c:pt>
                <c:pt idx="1">
                  <c:v>748.51318223611622</c:v>
                </c:pt>
                <c:pt idx="2">
                  <c:v>742.89324973589544</c:v>
                </c:pt>
                <c:pt idx="3">
                  <c:v>720.35517140864795</c:v>
                </c:pt>
                <c:pt idx="4">
                  <c:v>715.82301221229898</c:v>
                </c:pt>
                <c:pt idx="5">
                  <c:v>697.36630504390462</c:v>
                </c:pt>
                <c:pt idx="6">
                  <c:v>724.34706282763477</c:v>
                </c:pt>
                <c:pt idx="7">
                  <c:v>724.82621073094867</c:v>
                </c:pt>
                <c:pt idx="8">
                  <c:v>517.40583223740396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'Customer growth'!$H$2</c:f>
              <c:strCache>
                <c:ptCount val="1"/>
                <c:pt idx="0">
                  <c:v>Sentinel Lights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'Customer growth'!$A$3:$A$11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</c:numCache>
            </c:numRef>
          </c:cat>
          <c:val>
            <c:numRef>
              <c:f>'Customer growth'!$H$3:$H$11</c:f>
              <c:numCache>
                <c:formatCode>#,##0</c:formatCode>
                <c:ptCount val="9"/>
                <c:pt idx="0">
                  <c:v>2610.2953525745243</c:v>
                </c:pt>
                <c:pt idx="1">
                  <c:v>4347.3856112359599</c:v>
                </c:pt>
                <c:pt idx="2">
                  <c:v>4322.0380283286095</c:v>
                </c:pt>
                <c:pt idx="3">
                  <c:v>4125.6032548387038</c:v>
                </c:pt>
                <c:pt idx="4">
                  <c:v>4156.9254474114405</c:v>
                </c:pt>
                <c:pt idx="5">
                  <c:v>4135.8792551724155</c:v>
                </c:pt>
                <c:pt idx="6">
                  <c:v>3645.3630898203537</c:v>
                </c:pt>
                <c:pt idx="7">
                  <c:v>3614.299125222552</c:v>
                </c:pt>
                <c:pt idx="8">
                  <c:v>2584.2238745341247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'Customer growth'!$I$2</c:f>
              <c:strCache>
                <c:ptCount val="1"/>
                <c:pt idx="0">
                  <c:v>Unmetered Loads 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'Customer growth'!$A$3:$A$11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</c:numCache>
            </c:numRef>
          </c:cat>
          <c:val>
            <c:numRef>
              <c:f>'Customer growth'!$I$3:$I$11</c:f>
              <c:numCache>
                <c:formatCode>#,##0</c:formatCode>
                <c:ptCount val="9"/>
                <c:pt idx="0">
                  <c:v>4656.3263144366447</c:v>
                </c:pt>
                <c:pt idx="1">
                  <c:v>5550.5901387754775</c:v>
                </c:pt>
                <c:pt idx="2">
                  <c:v>5329.2766411960092</c:v>
                </c:pt>
                <c:pt idx="3">
                  <c:v>5276.009337142822</c:v>
                </c:pt>
                <c:pt idx="4">
                  <c:v>4034.1251685026009</c:v>
                </c:pt>
                <c:pt idx="5">
                  <c:v>4262.9666454231519</c:v>
                </c:pt>
                <c:pt idx="6">
                  <c:v>4193.5683870689782</c:v>
                </c:pt>
                <c:pt idx="7">
                  <c:v>4165.6666317869422</c:v>
                </c:pt>
                <c:pt idx="8">
                  <c:v>2963.177530744445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41184"/>
        <c:axId val="160943104"/>
      </c:lineChart>
      <c:catAx>
        <c:axId val="16094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943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943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kWh</a:t>
                </a:r>
              </a:p>
            </c:rich>
          </c:tx>
          <c:layout>
            <c:manualLayout>
              <c:xMode val="edge"/>
              <c:yMode val="edge"/>
              <c:x val="3.5476718403547852E-2"/>
              <c:y val="0.468648250651836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9411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075457862668174"/>
          <c:y val="0.11331133113311331"/>
          <c:w val="0.3215079933190092"/>
          <c:h val="0.87679079718995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44" r="0.75000000000000444" t="1" header="0.5" footer="0.5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Consumption per customer</a:t>
            </a:r>
          </a:p>
        </c:rich>
      </c:tx>
      <c:layout>
        <c:manualLayout>
          <c:xMode val="edge"/>
          <c:yMode val="edge"/>
          <c:x val="0.26327433628318575"/>
          <c:y val="3.6184210526316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911504424778761"/>
          <c:y val="0.22039509083812694"/>
          <c:w val="0.44469026548672569"/>
          <c:h val="0.5822377772887819"/>
        </c:manualLayout>
      </c:layout>
      <c:lineChart>
        <c:grouping val="standard"/>
        <c:varyColors val="0"/>
        <c:ser>
          <c:idx val="1"/>
          <c:order val="0"/>
          <c:tx>
            <c:strRef>
              <c:f>'Customer growth'!$C$2</c:f>
              <c:strCache>
                <c:ptCount val="1"/>
                <c:pt idx="0">
                  <c:v>General Service &lt; 50 kW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'Customer growth'!$A$3:$A$11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</c:numCache>
            </c:numRef>
          </c:cat>
          <c:val>
            <c:numRef>
              <c:f>'Customer growth'!$C$3:$C$11</c:f>
              <c:numCache>
                <c:formatCode>#,##0</c:formatCode>
                <c:ptCount val="9"/>
                <c:pt idx="0">
                  <c:v>42355.472619842207</c:v>
                </c:pt>
                <c:pt idx="1">
                  <c:v>41517.716388794928</c:v>
                </c:pt>
                <c:pt idx="2">
                  <c:v>41051.925235149749</c:v>
                </c:pt>
                <c:pt idx="3">
                  <c:v>42166.300480734208</c:v>
                </c:pt>
                <c:pt idx="4">
                  <c:v>40829.564717003159</c:v>
                </c:pt>
                <c:pt idx="5">
                  <c:v>41193.587216280263</c:v>
                </c:pt>
                <c:pt idx="6">
                  <c:v>41017.705677905338</c:v>
                </c:pt>
                <c:pt idx="7">
                  <c:v>39045.84963639878</c:v>
                </c:pt>
                <c:pt idx="8">
                  <c:v>27917.782490025125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79584"/>
        <c:axId val="160989952"/>
      </c:lineChart>
      <c:catAx>
        <c:axId val="16097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98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98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kWh</a:t>
                </a:r>
              </a:p>
            </c:rich>
          </c:tx>
          <c:layout>
            <c:manualLayout>
              <c:xMode val="edge"/>
              <c:yMode val="edge"/>
              <c:x val="3.5398230088495596E-2"/>
              <c:y val="0.457237532808395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9795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814159292035891"/>
          <c:y val="0.45065858543998005"/>
          <c:w val="0.31415929203539195"/>
          <c:h val="0.125000345351566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Consumption per customer</a:t>
            </a:r>
          </a:p>
        </c:rich>
      </c:tx>
      <c:layout>
        <c:manualLayout>
          <c:xMode val="edge"/>
          <c:yMode val="edge"/>
          <c:x val="0.26327433628318575"/>
          <c:y val="3.6184210526316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60176991150437"/>
          <c:y val="0.22039509083812694"/>
          <c:w val="0.42920353982300885"/>
          <c:h val="0.5822377772887819"/>
        </c:manualLayout>
      </c:layout>
      <c:lineChart>
        <c:grouping val="standard"/>
        <c:varyColors val="0"/>
        <c:ser>
          <c:idx val="2"/>
          <c:order val="0"/>
          <c:tx>
            <c:strRef>
              <c:f>'Customer growth'!$D$2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'Customer growth'!$A$3:$A$11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</c:numCache>
            </c:numRef>
          </c:cat>
          <c:val>
            <c:numRef>
              <c:f>'Customer growth'!$D$3:$D$11</c:f>
              <c:numCache>
                <c:formatCode>#,##0</c:formatCode>
                <c:ptCount val="9"/>
                <c:pt idx="0">
                  <c:v>806662.05844174908</c:v>
                </c:pt>
                <c:pt idx="1">
                  <c:v>907246.75504837197</c:v>
                </c:pt>
                <c:pt idx="2">
                  <c:v>905160.36501241173</c:v>
                </c:pt>
                <c:pt idx="3">
                  <c:v>860078.36196101492</c:v>
                </c:pt>
                <c:pt idx="4">
                  <c:v>838801.24173728249</c:v>
                </c:pt>
                <c:pt idx="5">
                  <c:v>859721.10182146111</c:v>
                </c:pt>
                <c:pt idx="6">
                  <c:v>788482.49494716502</c:v>
                </c:pt>
                <c:pt idx="7">
                  <c:v>686130.89648948819</c:v>
                </c:pt>
                <c:pt idx="8">
                  <c:v>490583.59098998411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087872"/>
        <c:axId val="161089792"/>
      </c:lineChart>
      <c:catAx>
        <c:axId val="1610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08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089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kWh</a:t>
                </a:r>
              </a:p>
            </c:rich>
          </c:tx>
          <c:layout>
            <c:manualLayout>
              <c:xMode val="edge"/>
              <c:yMode val="edge"/>
              <c:x val="3.5398230088495596E-2"/>
              <c:y val="0.457237532808395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087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814159292035891"/>
          <c:y val="0.45065858543998005"/>
          <c:w val="0.31415929203539195"/>
          <c:h val="0.125000345351566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Consumption per customer</a:t>
            </a:r>
          </a:p>
        </c:rich>
      </c:tx>
      <c:layout>
        <c:manualLayout>
          <c:xMode val="edge"/>
          <c:yMode val="edge"/>
          <c:x val="0.26327433628318575"/>
          <c:y val="3.6184210526316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44247787610644"/>
          <c:y val="0.22039509083812694"/>
          <c:w val="0.38938053097345776"/>
          <c:h val="0.60197465109518999"/>
        </c:manualLayout>
      </c:layout>
      <c:lineChart>
        <c:grouping val="standard"/>
        <c:varyColors val="0"/>
        <c:ser>
          <c:idx val="3"/>
          <c:order val="0"/>
          <c:tx>
            <c:strRef>
              <c:f>'Customer growth'!$E$2</c:f>
              <c:strCache>
                <c:ptCount val="1"/>
                <c:pt idx="0">
                  <c:v>General Service &gt; 1000 to 4999 kW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'Customer growth'!$A$3:$A$11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</c:numCache>
            </c:numRef>
          </c:cat>
          <c:val>
            <c:numRef>
              <c:f>'Customer growth'!$E$3:$E$11</c:f>
              <c:numCache>
                <c:formatCode>#,##0</c:formatCode>
                <c:ptCount val="9"/>
                <c:pt idx="0">
                  <c:v>11320455.085354825</c:v>
                </c:pt>
                <c:pt idx="1">
                  <c:v>10070767.441808967</c:v>
                </c:pt>
                <c:pt idx="2">
                  <c:v>9790665.3213959094</c:v>
                </c:pt>
                <c:pt idx="3">
                  <c:v>10979831.880452663</c:v>
                </c:pt>
                <c:pt idx="4">
                  <c:v>10509331.398991996</c:v>
                </c:pt>
                <c:pt idx="5">
                  <c:v>9549526.8631517328</c:v>
                </c:pt>
                <c:pt idx="6">
                  <c:v>9420250.911368873</c:v>
                </c:pt>
                <c:pt idx="7">
                  <c:v>9109828.663438879</c:v>
                </c:pt>
                <c:pt idx="8">
                  <c:v>6513527.4943587976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85376"/>
        <c:axId val="161110656"/>
      </c:lineChart>
      <c:catAx>
        <c:axId val="16088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11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11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kWh</a:t>
                </a:r>
              </a:p>
            </c:rich>
          </c:tx>
          <c:layout>
            <c:manualLayout>
              <c:xMode val="edge"/>
              <c:yMode val="edge"/>
              <c:x val="3.5398230088495596E-2"/>
              <c:y val="0.467105953861030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8853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814159292035891"/>
          <c:y val="0.46052700649260947"/>
          <c:w val="0.31415929203539195"/>
          <c:h val="0.12500034535156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Consumption per customer</a:t>
            </a:r>
          </a:p>
        </c:rich>
      </c:tx>
      <c:layout>
        <c:manualLayout>
          <c:xMode val="edge"/>
          <c:yMode val="edge"/>
          <c:x val="0.26327433628318575"/>
          <c:y val="3.6184210526316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44247787610644"/>
          <c:y val="0.22039509083812694"/>
          <c:w val="0.39823008849557534"/>
          <c:h val="0.60197465109518999"/>
        </c:manualLayout>
      </c:layout>
      <c:lineChart>
        <c:grouping val="standard"/>
        <c:varyColors val="0"/>
        <c:ser>
          <c:idx val="4"/>
          <c:order val="0"/>
          <c:tx>
            <c:strRef>
              <c:f>'Customer growth'!$F$2</c:f>
              <c:strCache>
                <c:ptCount val="1"/>
                <c:pt idx="0">
                  <c:v>Large Use &gt;5000 kW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'Customer growth'!$A$3:$A$11</c:f>
              <c:numCache>
                <c:formatCode>General</c:formatCode>
                <c:ptCount val="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</c:numCache>
            </c:numRef>
          </c:cat>
          <c:val>
            <c:numRef>
              <c:f>'Customer growth'!$F$3:$F$11</c:f>
              <c:numCache>
                <c:formatCode>#,##0</c:formatCode>
                <c:ptCount val="9"/>
                <c:pt idx="0">
                  <c:v>56990364.520034939</c:v>
                </c:pt>
                <c:pt idx="1">
                  <c:v>56087970.395669468</c:v>
                </c:pt>
                <c:pt idx="2">
                  <c:v>65321578.828994438</c:v>
                </c:pt>
                <c:pt idx="3">
                  <c:v>63362104.479840748</c:v>
                </c:pt>
                <c:pt idx="4">
                  <c:v>65160994.071851745</c:v>
                </c:pt>
                <c:pt idx="5">
                  <c:v>64603894.944474965</c:v>
                </c:pt>
                <c:pt idx="6">
                  <c:v>62100124.899327993</c:v>
                </c:pt>
                <c:pt idx="7">
                  <c:v>59295996.045700788</c:v>
                </c:pt>
                <c:pt idx="8">
                  <c:v>42396637.172676064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59808"/>
        <c:axId val="161166080"/>
      </c:lineChart>
      <c:catAx>
        <c:axId val="1611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16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16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kWh</a:t>
                </a:r>
              </a:p>
            </c:rich>
          </c:tx>
          <c:layout>
            <c:manualLayout>
              <c:xMode val="edge"/>
              <c:yMode val="edge"/>
              <c:x val="3.5398230088495596E-2"/>
              <c:y val="0.467105953861030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1598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69911504424877"/>
          <c:y val="0.46052700649260947"/>
          <c:w val="0.30530973451326537"/>
          <c:h val="0.12500034535156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444" r="0.75000000000000444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7"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9"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0</xdr:row>
      <xdr:rowOff>200025</xdr:rowOff>
    </xdr:from>
    <xdr:to>
      <xdr:col>12</xdr:col>
      <xdr:colOff>600075</xdr:colOff>
      <xdr:row>26</xdr:row>
      <xdr:rowOff>66675</xdr:rowOff>
    </xdr:to>
    <xdr:graphicFrame macro="">
      <xdr:nvGraphicFramePr>
        <xdr:cNvPr id="113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40</xdr:row>
      <xdr:rowOff>0</xdr:rowOff>
    </xdr:from>
    <xdr:to>
      <xdr:col>7</xdr:col>
      <xdr:colOff>66675</xdr:colOff>
      <xdr:row>57</xdr:row>
      <xdr:rowOff>123825</xdr:rowOff>
    </xdr:to>
    <xdr:graphicFrame macro="">
      <xdr:nvGraphicFramePr>
        <xdr:cNvPr id="77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20</xdr:row>
      <xdr:rowOff>9525</xdr:rowOff>
    </xdr:from>
    <xdr:to>
      <xdr:col>7</xdr:col>
      <xdr:colOff>57150</xdr:colOff>
      <xdr:row>36</xdr:row>
      <xdr:rowOff>133350</xdr:rowOff>
    </xdr:to>
    <xdr:graphicFrame macro="">
      <xdr:nvGraphicFramePr>
        <xdr:cNvPr id="779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342900</xdr:colOff>
      <xdr:row>40</xdr:row>
      <xdr:rowOff>9525</xdr:rowOff>
    </xdr:from>
    <xdr:to>
      <xdr:col>14</xdr:col>
      <xdr:colOff>361950</xdr:colOff>
      <xdr:row>57</xdr:row>
      <xdr:rowOff>152400</xdr:rowOff>
    </xdr:to>
    <xdr:graphicFrame macro="">
      <xdr:nvGraphicFramePr>
        <xdr:cNvPr id="77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59</xdr:row>
      <xdr:rowOff>19050</xdr:rowOff>
    </xdr:from>
    <xdr:to>
      <xdr:col>7</xdr:col>
      <xdr:colOff>76200</xdr:colOff>
      <xdr:row>77</xdr:row>
      <xdr:rowOff>0</xdr:rowOff>
    </xdr:to>
    <xdr:graphicFrame macro="">
      <xdr:nvGraphicFramePr>
        <xdr:cNvPr id="779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400050</xdr:colOff>
      <xdr:row>59</xdr:row>
      <xdr:rowOff>9525</xdr:rowOff>
    </xdr:from>
    <xdr:to>
      <xdr:col>14</xdr:col>
      <xdr:colOff>419100</xdr:colOff>
      <xdr:row>76</xdr:row>
      <xdr:rowOff>152400</xdr:rowOff>
    </xdr:to>
    <xdr:graphicFrame macro="">
      <xdr:nvGraphicFramePr>
        <xdr:cNvPr id="779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84</xdr:row>
      <xdr:rowOff>47625</xdr:rowOff>
    </xdr:from>
    <xdr:to>
      <xdr:col>7</xdr:col>
      <xdr:colOff>85725</xdr:colOff>
      <xdr:row>102</xdr:row>
      <xdr:rowOff>28575</xdr:rowOff>
    </xdr:to>
    <xdr:graphicFrame macro="">
      <xdr:nvGraphicFramePr>
        <xdr:cNvPr id="779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419100</xdr:colOff>
      <xdr:row>84</xdr:row>
      <xdr:rowOff>28575</xdr:rowOff>
    </xdr:from>
    <xdr:to>
      <xdr:col>14</xdr:col>
      <xdr:colOff>438150</xdr:colOff>
      <xdr:row>102</xdr:row>
      <xdr:rowOff>95250</xdr:rowOff>
    </xdr:to>
    <xdr:graphicFrame macro="">
      <xdr:nvGraphicFramePr>
        <xdr:cNvPr id="7797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104</xdr:row>
      <xdr:rowOff>28575</xdr:rowOff>
    </xdr:from>
    <xdr:to>
      <xdr:col>7</xdr:col>
      <xdr:colOff>104775</xdr:colOff>
      <xdr:row>122</xdr:row>
      <xdr:rowOff>9525</xdr:rowOff>
    </xdr:to>
    <xdr:graphicFrame macro="">
      <xdr:nvGraphicFramePr>
        <xdr:cNvPr id="7798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342900</xdr:colOff>
      <xdr:row>104</xdr:row>
      <xdr:rowOff>38100</xdr:rowOff>
    </xdr:from>
    <xdr:to>
      <xdr:col>14</xdr:col>
      <xdr:colOff>361950</xdr:colOff>
      <xdr:row>122</xdr:row>
      <xdr:rowOff>19050</xdr:rowOff>
    </xdr:to>
    <xdr:graphicFrame macro="">
      <xdr:nvGraphicFramePr>
        <xdr:cNvPr id="779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2012%20Rate%20-%20Rebasing%20Process/Models/HDD%20and%20CDD%20trend/hdd%20-10%20Data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2012%20Rate%20-%20Rebasing%20Process/Models/Load%20Forecast%20inputs/2011%20COS%20Data%20Revised%20for%20CB%202010-04-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ngineering/ERPT/ENGSTAT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2012%20Rate%20-%20Rebasing%20Process/Models/Load%20Forecast%20inputs/Number%20of%20US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 Summary"/>
      <sheetName val="HDD 10 Data 98-10"/>
      <sheetName val="HDD 10 Data 90-10"/>
      <sheetName val="Montly Data"/>
      <sheetName val="Statistics from Pearson"/>
    </sheetNames>
    <sheetDataSet>
      <sheetData sheetId="0"/>
      <sheetData sheetId="1">
        <row r="5">
          <cell r="B5">
            <v>334.8</v>
          </cell>
        </row>
        <row r="6">
          <cell r="B6">
            <v>379.1</v>
          </cell>
        </row>
        <row r="7">
          <cell r="B7">
            <v>295.60000000000002</v>
          </cell>
        </row>
        <row r="8">
          <cell r="B8">
            <v>125.09999999999998</v>
          </cell>
        </row>
        <row r="9">
          <cell r="B9">
            <v>16.799999999999997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2.5999999999999996</v>
          </cell>
        </row>
        <row r="14">
          <cell r="B14">
            <v>63.199999999999989</v>
          </cell>
        </row>
        <row r="15">
          <cell r="B15">
            <v>180.2</v>
          </cell>
        </row>
        <row r="16">
          <cell r="B16">
            <v>339.4</v>
          </cell>
        </row>
        <row r="17">
          <cell r="B17">
            <v>486.50000000000006</v>
          </cell>
        </row>
        <row r="18">
          <cell r="B18">
            <v>347.8</v>
          </cell>
        </row>
        <row r="19">
          <cell r="B19">
            <v>261.60000000000002</v>
          </cell>
        </row>
        <row r="20">
          <cell r="B20">
            <v>90.100000000000009</v>
          </cell>
        </row>
        <row r="21">
          <cell r="B21">
            <v>12.500000000000002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14.799999999999997</v>
          </cell>
        </row>
        <row r="26">
          <cell r="B26">
            <v>57.4</v>
          </cell>
        </row>
        <row r="27">
          <cell r="B27">
            <v>229.60000000000002</v>
          </cell>
        </row>
        <row r="28">
          <cell r="B28">
            <v>383</v>
          </cell>
        </row>
        <row r="29">
          <cell r="B29">
            <v>439.9</v>
          </cell>
        </row>
        <row r="30">
          <cell r="B30">
            <v>403.70000000000005</v>
          </cell>
        </row>
        <row r="31">
          <cell r="B31">
            <v>344.99999999999994</v>
          </cell>
        </row>
        <row r="32">
          <cell r="B32">
            <v>143.80000000000001</v>
          </cell>
        </row>
        <row r="33">
          <cell r="B33">
            <v>22.299999999999997</v>
          </cell>
        </row>
        <row r="34">
          <cell r="B34">
            <v>3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11.3</v>
          </cell>
        </row>
        <row r="38">
          <cell r="B38">
            <v>102.7</v>
          </cell>
        </row>
        <row r="39">
          <cell r="B39">
            <v>216.79999999999995</v>
          </cell>
        </row>
        <row r="40">
          <cell r="B40">
            <v>359.1</v>
          </cell>
        </row>
        <row r="41">
          <cell r="B41">
            <v>423.09999999999997</v>
          </cell>
        </row>
        <row r="42">
          <cell r="B42">
            <v>498.79999999999995</v>
          </cell>
        </row>
        <row r="43">
          <cell r="B43">
            <v>354.09999999999997</v>
          </cell>
        </row>
        <row r="44">
          <cell r="B44">
            <v>119.50000000000003</v>
          </cell>
        </row>
        <row r="45">
          <cell r="B45">
            <v>14.299999999999999</v>
          </cell>
        </row>
        <row r="46">
          <cell r="B46">
            <v>20</v>
          </cell>
        </row>
        <row r="47">
          <cell r="B47">
            <v>10</v>
          </cell>
        </row>
        <row r="48">
          <cell r="B48">
            <v>10</v>
          </cell>
        </row>
        <row r="49">
          <cell r="B49">
            <v>17.5</v>
          </cell>
        </row>
        <row r="50">
          <cell r="B50">
            <v>92.000000000000014</v>
          </cell>
        </row>
        <row r="51">
          <cell r="B51">
            <v>210.39999999999998</v>
          </cell>
        </row>
        <row r="52">
          <cell r="B52">
            <v>381.19999999999993</v>
          </cell>
        </row>
        <row r="53">
          <cell r="B53">
            <v>693.39999999999986</v>
          </cell>
        </row>
        <row r="54">
          <cell r="B54">
            <v>513.5</v>
          </cell>
        </row>
        <row r="55">
          <cell r="B55">
            <v>333.50000000000006</v>
          </cell>
        </row>
        <row r="56">
          <cell r="B56">
            <v>106.99999999999999</v>
          </cell>
        </row>
        <row r="57">
          <cell r="B57">
            <v>23.700000000000006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40.9</v>
          </cell>
        </row>
        <row r="63">
          <cell r="B63">
            <v>149.80000000000001</v>
          </cell>
        </row>
        <row r="64">
          <cell r="B64">
            <v>314.5</v>
          </cell>
        </row>
        <row r="65">
          <cell r="B65">
            <v>405.19999999999993</v>
          </cell>
        </row>
        <row r="66">
          <cell r="B66">
            <v>482.99999999999994</v>
          </cell>
        </row>
        <row r="67">
          <cell r="B67">
            <v>253.5</v>
          </cell>
        </row>
        <row r="68">
          <cell r="B68">
            <v>178.89999999999995</v>
          </cell>
        </row>
        <row r="69">
          <cell r="B69">
            <v>4.5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>
            <v>1.2000000000000011</v>
          </cell>
        </row>
        <row r="74">
          <cell r="B74">
            <v>37.000000000000007</v>
          </cell>
        </row>
        <row r="75">
          <cell r="B75">
            <v>273.89999999999998</v>
          </cell>
        </row>
        <row r="76">
          <cell r="B76">
            <v>469.5</v>
          </cell>
        </row>
        <row r="77">
          <cell r="B77">
            <v>517.20000000000005</v>
          </cell>
        </row>
        <row r="78">
          <cell r="B78">
            <v>457.8</v>
          </cell>
        </row>
        <row r="79">
          <cell r="B79">
            <v>397.6</v>
          </cell>
        </row>
        <row r="80">
          <cell r="B80">
            <v>176</v>
          </cell>
        </row>
        <row r="81">
          <cell r="B81">
            <v>29.8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1.7000000000000011</v>
          </cell>
        </row>
        <row r="86">
          <cell r="B86">
            <v>57.599999999999994</v>
          </cell>
        </row>
        <row r="87">
          <cell r="B87">
            <v>274.8</v>
          </cell>
        </row>
        <row r="88">
          <cell r="B88">
            <v>323.60000000000002</v>
          </cell>
        </row>
        <row r="89">
          <cell r="B89">
            <v>508.59999999999991</v>
          </cell>
        </row>
        <row r="90">
          <cell r="B90">
            <v>369.00000000000006</v>
          </cell>
        </row>
        <row r="91">
          <cell r="B91">
            <v>352.00000000000006</v>
          </cell>
        </row>
        <row r="92">
          <cell r="B92">
            <v>137.30000000000001</v>
          </cell>
        </row>
        <row r="93">
          <cell r="B93">
            <v>36.399999999999991</v>
          </cell>
        </row>
        <row r="94">
          <cell r="B94">
            <v>0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>
            <v>1.5999999999999996</v>
          </cell>
        </row>
        <row r="98">
          <cell r="B98">
            <v>81.900000000000006</v>
          </cell>
        </row>
        <row r="99">
          <cell r="B99">
            <v>226.60000000000008</v>
          </cell>
        </row>
        <row r="100">
          <cell r="B100">
            <v>338.2</v>
          </cell>
        </row>
        <row r="101">
          <cell r="B101">
            <v>376.8</v>
          </cell>
        </row>
        <row r="102">
          <cell r="B102">
            <v>288.2</v>
          </cell>
        </row>
        <row r="103">
          <cell r="B103">
            <v>276.59999999999997</v>
          </cell>
        </row>
        <row r="104">
          <cell r="B104">
            <v>55.699999999999996</v>
          </cell>
        </row>
        <row r="105">
          <cell r="B105">
            <v>0</v>
          </cell>
        </row>
        <row r="106">
          <cell r="B106">
            <v>0.5</v>
          </cell>
        </row>
        <row r="107">
          <cell r="B107">
            <v>0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24.199999999999992</v>
          </cell>
        </row>
        <row r="111">
          <cell r="B111">
            <v>156.19999999999999</v>
          </cell>
        </row>
        <row r="112">
          <cell r="B112">
            <v>288.90000000000003</v>
          </cell>
        </row>
        <row r="113">
          <cell r="B113">
            <v>501.80000000000013</v>
          </cell>
        </row>
        <row r="114">
          <cell r="B114">
            <v>324.09999999999997</v>
          </cell>
        </row>
        <row r="115">
          <cell r="B115">
            <v>306.5</v>
          </cell>
        </row>
        <row r="116">
          <cell r="B116">
            <v>67</v>
          </cell>
        </row>
        <row r="117">
          <cell r="B117">
            <v>0.80000000000000071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9.9999999999999645E-2</v>
          </cell>
        </row>
        <row r="122">
          <cell r="B122">
            <v>54.2</v>
          </cell>
        </row>
        <row r="123">
          <cell r="B123">
            <v>138.09999999999997</v>
          </cell>
        </row>
        <row r="124">
          <cell r="B124">
            <v>332</v>
          </cell>
        </row>
        <row r="125">
          <cell r="B125">
            <v>490.9</v>
          </cell>
        </row>
        <row r="126">
          <cell r="B126">
            <v>380.70000000000016</v>
          </cell>
        </row>
        <row r="127">
          <cell r="B127">
            <v>177.1</v>
          </cell>
        </row>
        <row r="128">
          <cell r="B128">
            <v>111.29999999999998</v>
          </cell>
        </row>
        <row r="129">
          <cell r="B129">
            <v>3.7000000000000011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7.2000000000000011</v>
          </cell>
        </row>
        <row r="134">
          <cell r="B134">
            <v>37.899999999999991</v>
          </cell>
        </row>
        <row r="135">
          <cell r="B135">
            <v>199.6</v>
          </cell>
        </row>
        <row r="136">
          <cell r="B136">
            <v>532.29999999999995</v>
          </cell>
        </row>
        <row r="137">
          <cell r="B137">
            <v>436.9</v>
          </cell>
        </row>
        <row r="138">
          <cell r="B138">
            <v>363.6</v>
          </cell>
        </row>
        <row r="139">
          <cell r="B139">
            <v>318.60000000000002</v>
          </cell>
        </row>
        <row r="140">
          <cell r="B140">
            <v>89.9</v>
          </cell>
        </row>
        <row r="141">
          <cell r="B141">
            <v>0.30000000000000071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2.7000000000000011</v>
          </cell>
        </row>
        <row r="146">
          <cell r="B146">
            <v>54.3</v>
          </cell>
        </row>
        <row r="147">
          <cell r="B147">
            <v>99.499999999999972</v>
          </cell>
        </row>
        <row r="148">
          <cell r="B148">
            <v>261.10000000000002</v>
          </cell>
        </row>
        <row r="149">
          <cell r="B149">
            <v>324.2000000000001</v>
          </cell>
        </row>
        <row r="150">
          <cell r="B150">
            <v>316.2</v>
          </cell>
        </row>
        <row r="151">
          <cell r="B151">
            <v>297.59999999999997</v>
          </cell>
        </row>
        <row r="152">
          <cell r="B152">
            <v>129.4</v>
          </cell>
        </row>
        <row r="153">
          <cell r="B153">
            <v>49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91.800000000000011</v>
          </cell>
        </row>
        <row r="159">
          <cell r="B159">
            <v>214.2</v>
          </cell>
        </row>
        <row r="160">
          <cell r="B160">
            <v>371.40000000000003</v>
          </cell>
        </row>
        <row r="161">
          <cell r="B161">
            <v>566.49999999999989</v>
          </cell>
        </row>
        <row r="162">
          <cell r="B162">
            <v>475</v>
          </cell>
        </row>
        <row r="163">
          <cell r="B163">
            <v>334.49999999999994</v>
          </cell>
        </row>
        <row r="164">
          <cell r="B164">
            <v>160.29999999999998</v>
          </cell>
        </row>
        <row r="165">
          <cell r="B165">
            <v>5.2000000000000011</v>
          </cell>
        </row>
        <row r="166">
          <cell r="B166">
            <v>0</v>
          </cell>
        </row>
        <row r="167">
          <cell r="B167">
            <v>0</v>
          </cell>
        </row>
        <row r="168">
          <cell r="B168">
            <v>0</v>
          </cell>
        </row>
        <row r="169">
          <cell r="B169">
            <v>1.0999999999999996</v>
          </cell>
        </row>
        <row r="170">
          <cell r="B170">
            <v>70</v>
          </cell>
        </row>
        <row r="171">
          <cell r="B171">
            <v>160.6</v>
          </cell>
        </row>
        <row r="172">
          <cell r="B172">
            <v>313.5</v>
          </cell>
        </row>
        <row r="173">
          <cell r="B173">
            <v>601.09999999999991</v>
          </cell>
        </row>
        <row r="174">
          <cell r="B174">
            <v>399.69999999999993</v>
          </cell>
        </row>
        <row r="175">
          <cell r="B175">
            <v>245.00000000000003</v>
          </cell>
        </row>
        <row r="176">
          <cell r="B176">
            <v>116.39999999999999</v>
          </cell>
        </row>
        <row r="177">
          <cell r="B177">
            <v>18.899999999999999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25.700000000000003</v>
          </cell>
        </row>
        <row r="183">
          <cell r="B183">
            <v>140.1</v>
          </cell>
        </row>
        <row r="184">
          <cell r="B184">
            <v>395.40000000000003</v>
          </cell>
        </row>
        <row r="185">
          <cell r="B185">
            <v>522</v>
          </cell>
        </row>
        <row r="186">
          <cell r="B186">
            <v>392.39999999999992</v>
          </cell>
        </row>
        <row r="187">
          <cell r="B187">
            <v>361.1</v>
          </cell>
        </row>
        <row r="188">
          <cell r="B188">
            <v>83.2</v>
          </cell>
        </row>
        <row r="189">
          <cell r="B189">
            <v>28.599999999999998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41.2</v>
          </cell>
        </row>
        <row r="195">
          <cell r="B195">
            <v>161.20000000000002</v>
          </cell>
        </row>
        <row r="196">
          <cell r="B196">
            <v>417.29999999999995</v>
          </cell>
        </row>
        <row r="197">
          <cell r="B197">
            <v>303.8</v>
          </cell>
        </row>
        <row r="198">
          <cell r="B198">
            <v>380.30000000000007</v>
          </cell>
        </row>
        <row r="199">
          <cell r="B199">
            <v>268.70000000000005</v>
          </cell>
        </row>
        <row r="200">
          <cell r="B200">
            <v>77.5</v>
          </cell>
        </row>
        <row r="201">
          <cell r="B201">
            <v>9.6</v>
          </cell>
        </row>
        <row r="202">
          <cell r="B202">
            <v>0</v>
          </cell>
        </row>
        <row r="203">
          <cell r="B203">
            <v>0</v>
          </cell>
        </row>
        <row r="204">
          <cell r="B204">
            <v>0</v>
          </cell>
        </row>
        <row r="205">
          <cell r="B205">
            <v>1.5</v>
          </cell>
        </row>
        <row r="206">
          <cell r="B206">
            <v>74.900000000000006</v>
          </cell>
        </row>
        <row r="207">
          <cell r="B207">
            <v>143.29999999999998</v>
          </cell>
        </row>
        <row r="208">
          <cell r="B208">
            <v>252.49999999999997</v>
          </cell>
        </row>
        <row r="209">
          <cell r="B209">
            <v>399.09999999999997</v>
          </cell>
        </row>
        <row r="210">
          <cell r="B210">
            <v>516.1</v>
          </cell>
        </row>
        <row r="211">
          <cell r="B211">
            <v>302.89999999999992</v>
          </cell>
        </row>
        <row r="212">
          <cell r="B212">
            <v>145.80000000000004</v>
          </cell>
        </row>
        <row r="213">
          <cell r="B213">
            <v>5.9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0.30000000000000071</v>
          </cell>
        </row>
        <row r="218">
          <cell r="B218">
            <v>15.1</v>
          </cell>
        </row>
        <row r="219">
          <cell r="B219">
            <v>222.99999999999997</v>
          </cell>
        </row>
        <row r="220">
          <cell r="B220">
            <v>382.7</v>
          </cell>
        </row>
        <row r="221">
          <cell r="B221">
            <v>379.79999999999995</v>
          </cell>
        </row>
        <row r="222">
          <cell r="B222">
            <v>442.7</v>
          </cell>
        </row>
        <row r="223">
          <cell r="B223">
            <v>362.19999999999987</v>
          </cell>
        </row>
        <row r="224">
          <cell r="B224">
            <v>77.899999999999991</v>
          </cell>
        </row>
        <row r="225">
          <cell r="B225">
            <v>13.899999999999997</v>
          </cell>
        </row>
        <row r="226">
          <cell r="B226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61.9</v>
          </cell>
        </row>
        <row r="231">
          <cell r="B231">
            <v>219.39999999999998</v>
          </cell>
        </row>
        <row r="232">
          <cell r="B232">
            <v>406.6</v>
          </cell>
        </row>
        <row r="233">
          <cell r="B233">
            <v>582.20000000000005</v>
          </cell>
        </row>
        <row r="234">
          <cell r="B234">
            <v>382.40000000000003</v>
          </cell>
        </row>
        <row r="235">
          <cell r="B235">
            <v>285.89999999999998</v>
          </cell>
        </row>
        <row r="236">
          <cell r="B236">
            <v>95.90000000000002</v>
          </cell>
        </row>
        <row r="237">
          <cell r="B237">
            <v>12.600000000000001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1">
          <cell r="B241">
            <v>1.3000000000000007</v>
          </cell>
        </row>
        <row r="242">
          <cell r="B242">
            <v>60.899999999999991</v>
          </cell>
        </row>
        <row r="243">
          <cell r="B243">
            <v>124.40000000000002</v>
          </cell>
        </row>
        <row r="244">
          <cell r="B244">
            <v>383.30000000000007</v>
          </cell>
        </row>
        <row r="245">
          <cell r="B245">
            <v>472.00000000000006</v>
          </cell>
        </row>
        <row r="246">
          <cell r="B246">
            <v>374.3</v>
          </cell>
        </row>
        <row r="247">
          <cell r="B247">
            <v>177.5</v>
          </cell>
        </row>
        <row r="248">
          <cell r="B248">
            <v>30.3</v>
          </cell>
        </row>
        <row r="249">
          <cell r="B249">
            <v>18</v>
          </cell>
        </row>
        <row r="250">
          <cell r="B250">
            <v>0</v>
          </cell>
        </row>
        <row r="251">
          <cell r="B251">
            <v>0</v>
          </cell>
        </row>
        <row r="252">
          <cell r="B252">
            <v>0</v>
          </cell>
        </row>
        <row r="253">
          <cell r="B253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holesale kWh"/>
      <sheetName val="Summary"/>
      <sheetName val="Population"/>
    </sheetNames>
    <sheetDataSet>
      <sheetData sheetId="0">
        <row r="31">
          <cell r="P31">
            <v>120876076</v>
          </cell>
        </row>
        <row r="32">
          <cell r="P32">
            <v>109647813</v>
          </cell>
        </row>
        <row r="33">
          <cell r="P33">
            <v>119394242</v>
          </cell>
        </row>
        <row r="34">
          <cell r="P34">
            <v>107194792.7</v>
          </cell>
        </row>
        <row r="35">
          <cell r="P35">
            <v>110274560</v>
          </cell>
        </row>
        <row r="36">
          <cell r="P36">
            <v>113606458</v>
          </cell>
        </row>
        <row r="37">
          <cell r="P37">
            <v>113134831</v>
          </cell>
        </row>
        <row r="38">
          <cell r="P38">
            <v>117588202</v>
          </cell>
        </row>
        <row r="39">
          <cell r="P39">
            <v>110772099.19999999</v>
          </cell>
        </row>
        <row r="40">
          <cell r="P40">
            <v>112709425.5</v>
          </cell>
        </row>
        <row r="41">
          <cell r="P41">
            <v>115634975.80000001</v>
          </cell>
        </row>
        <row r="42">
          <cell r="P42">
            <v>117508359</v>
          </cell>
        </row>
        <row r="43">
          <cell r="P43">
            <v>125917994.09999999</v>
          </cell>
        </row>
        <row r="44">
          <cell r="P44">
            <v>112419043.59999999</v>
          </cell>
        </row>
        <row r="45">
          <cell r="P45">
            <v>122572431.5</v>
          </cell>
        </row>
        <row r="46">
          <cell r="P46">
            <v>109359553.89999999</v>
          </cell>
        </row>
        <row r="47">
          <cell r="P47">
            <v>111042967.59999999</v>
          </cell>
        </row>
        <row r="48">
          <cell r="P48">
            <v>120634268.8</v>
          </cell>
        </row>
        <row r="49">
          <cell r="P49">
            <v>123553938.40000001</v>
          </cell>
        </row>
        <row r="50">
          <cell r="P50">
            <v>118485726.90000001</v>
          </cell>
        </row>
        <row r="51">
          <cell r="P51">
            <v>116087485.80000001</v>
          </cell>
        </row>
        <row r="52">
          <cell r="P52">
            <v>116530754.40000001</v>
          </cell>
        </row>
        <row r="53">
          <cell r="P53">
            <v>120137006.2</v>
          </cell>
        </row>
        <row r="54">
          <cell r="P54">
            <v>123120873.19999999</v>
          </cell>
        </row>
        <row r="55">
          <cell r="P55">
            <v>132482862.40000001</v>
          </cell>
        </row>
        <row r="56">
          <cell r="P56">
            <v>124296760.3</v>
          </cell>
        </row>
        <row r="57">
          <cell r="P57">
            <v>126391412.3</v>
          </cell>
        </row>
        <row r="58">
          <cell r="P58">
            <v>115650048.69999999</v>
          </cell>
        </row>
        <row r="59">
          <cell r="P59">
            <v>120319665.40000001</v>
          </cell>
        </row>
        <row r="60">
          <cell r="P60">
            <v>122092714.09999999</v>
          </cell>
        </row>
        <row r="61">
          <cell r="P61">
            <v>118226162.8</v>
          </cell>
        </row>
        <row r="62">
          <cell r="P62">
            <v>128441395.7</v>
          </cell>
        </row>
        <row r="63">
          <cell r="P63">
            <v>121012286</v>
          </cell>
        </row>
        <row r="64">
          <cell r="P64">
            <v>123847688.59999999</v>
          </cell>
        </row>
        <row r="65">
          <cell r="P65">
            <v>127767370.8</v>
          </cell>
        </row>
        <row r="66">
          <cell r="P66">
            <v>131012366.89999999</v>
          </cell>
        </row>
        <row r="67">
          <cell r="P67">
            <v>135846054</v>
          </cell>
        </row>
        <row r="68">
          <cell r="P68">
            <v>121722006.5</v>
          </cell>
        </row>
        <row r="69">
          <cell r="P69">
            <v>131118906.30000001</v>
          </cell>
        </row>
        <row r="70">
          <cell r="P70">
            <v>116834345.90000001</v>
          </cell>
        </row>
        <row r="71">
          <cell r="P71">
            <v>119625194.69999999</v>
          </cell>
        </row>
        <row r="72">
          <cell r="P72">
            <v>124543674.2</v>
          </cell>
        </row>
        <row r="73">
          <cell r="P73">
            <v>121840584.69999999</v>
          </cell>
        </row>
        <row r="74">
          <cell r="P74">
            <v>132701946.8</v>
          </cell>
        </row>
        <row r="75">
          <cell r="P75">
            <v>117876415.09999999</v>
          </cell>
        </row>
        <row r="76">
          <cell r="P76">
            <v>123985756.7</v>
          </cell>
        </row>
        <row r="77">
          <cell r="P77">
            <v>122675408.60000001</v>
          </cell>
        </row>
        <row r="78">
          <cell r="P78">
            <v>120522976.5</v>
          </cell>
        </row>
        <row r="79">
          <cell r="P79">
            <v>132472741.09999999</v>
          </cell>
        </row>
        <row r="80">
          <cell r="P80">
            <v>120584947.5</v>
          </cell>
        </row>
        <row r="81">
          <cell r="P81">
            <v>128573487.40000001</v>
          </cell>
        </row>
        <row r="82">
          <cell r="P82">
            <v>122493739.09999999</v>
          </cell>
        </row>
        <row r="83">
          <cell r="P83">
            <v>120901842</v>
          </cell>
        </row>
        <row r="84">
          <cell r="P84">
            <v>123228452</v>
          </cell>
        </row>
        <row r="85">
          <cell r="P85">
            <v>135146133</v>
          </cell>
        </row>
        <row r="86">
          <cell r="P86">
            <v>132810002</v>
          </cell>
        </row>
        <row r="87">
          <cell r="P87">
            <v>125737406</v>
          </cell>
        </row>
        <row r="88">
          <cell r="P88">
            <v>126538624</v>
          </cell>
        </row>
        <row r="89">
          <cell r="P89">
            <v>126350234</v>
          </cell>
        </row>
        <row r="90">
          <cell r="P90">
            <v>126660476.88</v>
          </cell>
        </row>
        <row r="91">
          <cell r="P91">
            <v>138020012.10000002</v>
          </cell>
        </row>
        <row r="92">
          <cell r="P92">
            <v>125285749.66</v>
          </cell>
        </row>
        <row r="93">
          <cell r="P93">
            <v>130708314.94</v>
          </cell>
        </row>
        <row r="94">
          <cell r="P94">
            <v>120954880.59999999</v>
          </cell>
        </row>
        <row r="95">
          <cell r="P95">
            <v>119050806.80000001</v>
          </cell>
        </row>
        <row r="96">
          <cell r="P96">
            <v>121559458.34999999</v>
          </cell>
        </row>
        <row r="97">
          <cell r="P97">
            <v>127839234.3</v>
          </cell>
        </row>
        <row r="98">
          <cell r="P98">
            <v>116632060.2</v>
          </cell>
        </row>
        <row r="99">
          <cell r="P99">
            <v>122466794.75999999</v>
          </cell>
        </row>
        <row r="100">
          <cell r="P100">
            <v>127606741.56999999</v>
          </cell>
        </row>
        <row r="101">
          <cell r="P101">
            <v>127568437.48999999</v>
          </cell>
        </row>
        <row r="102">
          <cell r="P102">
            <v>130452311.21000001</v>
          </cell>
        </row>
        <row r="103">
          <cell r="P103">
            <v>142514374.66</v>
          </cell>
        </row>
        <row r="104">
          <cell r="P104">
            <v>131014897.39</v>
          </cell>
        </row>
        <row r="105">
          <cell r="P105">
            <v>137456783.87</v>
          </cell>
        </row>
        <row r="106">
          <cell r="P106">
            <v>123653699.70999999</v>
          </cell>
        </row>
        <row r="107">
          <cell r="P107">
            <v>125173524.8</v>
          </cell>
        </row>
        <row r="108">
          <cell r="P108">
            <v>127179405.58</v>
          </cell>
        </row>
        <row r="109">
          <cell r="P109">
            <v>128976195.75999999</v>
          </cell>
        </row>
        <row r="110">
          <cell r="P110">
            <v>130854609.5</v>
          </cell>
        </row>
        <row r="111">
          <cell r="P111">
            <v>131024580.69999999</v>
          </cell>
        </row>
        <row r="112">
          <cell r="P112">
            <v>130716809.59999999</v>
          </cell>
        </row>
        <row r="113">
          <cell r="P113">
            <v>133082346.2</v>
          </cell>
        </row>
        <row r="114">
          <cell r="P114">
            <v>136991696.29999998</v>
          </cell>
        </row>
        <row r="115">
          <cell r="P115">
            <v>145994606.49999997</v>
          </cell>
        </row>
        <row r="116">
          <cell r="P116">
            <v>130269322.8</v>
          </cell>
        </row>
        <row r="117">
          <cell r="P117">
            <v>140140932.90000001</v>
          </cell>
        </row>
        <row r="118">
          <cell r="P118">
            <v>123036658.3</v>
          </cell>
        </row>
        <row r="119">
          <cell r="P119">
            <v>125247527.40000001</v>
          </cell>
        </row>
        <row r="120">
          <cell r="P120">
            <v>144685267.34</v>
          </cell>
        </row>
        <row r="121">
          <cell r="P121">
            <v>141797468</v>
          </cell>
        </row>
        <row r="122">
          <cell r="P122">
            <v>145925490.29999998</v>
          </cell>
        </row>
        <row r="123">
          <cell r="P123">
            <v>133831085.89999999</v>
          </cell>
        </row>
        <row r="124">
          <cell r="P124">
            <v>134338666.50000003</v>
          </cell>
        </row>
        <row r="125">
          <cell r="P125">
            <v>136612175.59999996</v>
          </cell>
        </row>
        <row r="126">
          <cell r="P126">
            <v>139563133.70000002</v>
          </cell>
        </row>
        <row r="127">
          <cell r="P127">
            <v>143350839.79999998</v>
          </cell>
        </row>
        <row r="128">
          <cell r="P128">
            <v>132539698.40000001</v>
          </cell>
        </row>
        <row r="129">
          <cell r="P129">
            <v>142937971</v>
          </cell>
        </row>
        <row r="130">
          <cell r="P130">
            <v>125688889.8</v>
          </cell>
        </row>
        <row r="131">
          <cell r="P131">
            <v>132368028.5</v>
          </cell>
        </row>
        <row r="132">
          <cell r="P132">
            <v>137004145.30000001</v>
          </cell>
        </row>
        <row r="133">
          <cell r="P133">
            <v>143859116.19999999</v>
          </cell>
        </row>
        <row r="134">
          <cell r="P134">
            <v>143299189.5</v>
          </cell>
        </row>
        <row r="135">
          <cell r="P135">
            <v>128579498</v>
          </cell>
        </row>
        <row r="136">
          <cell r="P136">
            <v>135073907.59999999</v>
          </cell>
        </row>
        <row r="137">
          <cell r="P137">
            <v>135688463.09999999</v>
          </cell>
        </row>
        <row r="138">
          <cell r="P138">
            <v>133398424.8</v>
          </cell>
        </row>
        <row r="139">
          <cell r="P139">
            <v>144060767.09999999</v>
          </cell>
        </row>
        <row r="140">
          <cell r="P140">
            <v>135868563.80000001</v>
          </cell>
        </row>
        <row r="141">
          <cell r="P141">
            <v>142052852.69999999</v>
          </cell>
        </row>
        <row r="142">
          <cell r="P142">
            <v>128480657.59999999</v>
          </cell>
        </row>
        <row r="143">
          <cell r="P143">
            <v>131342094.00000001</v>
          </cell>
        </row>
        <row r="144">
          <cell r="P144">
            <v>138449692.59999999</v>
          </cell>
        </row>
        <row r="145">
          <cell r="P145">
            <v>134837491.90000001</v>
          </cell>
        </row>
        <row r="146">
          <cell r="P146">
            <v>141992902.79999998</v>
          </cell>
        </row>
        <row r="147">
          <cell r="P147">
            <v>130837138.09999998</v>
          </cell>
        </row>
        <row r="148">
          <cell r="P148">
            <v>134638757.59999999</v>
          </cell>
        </row>
        <row r="149">
          <cell r="P149">
            <v>135533303.70000002</v>
          </cell>
        </row>
        <row r="150">
          <cell r="P150">
            <v>133602881.00000001</v>
          </cell>
        </row>
        <row r="151">
          <cell r="P151">
            <v>144861994.29999998</v>
          </cell>
        </row>
        <row r="152">
          <cell r="P152">
            <v>137054945.90000001</v>
          </cell>
        </row>
        <row r="153">
          <cell r="P153">
            <v>138804603.89999998</v>
          </cell>
        </row>
        <row r="154">
          <cell r="P154">
            <v>127497950.8</v>
          </cell>
        </row>
        <row r="155">
          <cell r="P155">
            <v>124504897.90000001</v>
          </cell>
        </row>
        <row r="156">
          <cell r="P156">
            <v>131553396.60000001</v>
          </cell>
        </row>
        <row r="157">
          <cell r="P157">
            <v>137523955.29999998</v>
          </cell>
        </row>
        <row r="158">
          <cell r="P158">
            <v>131880826.60000001</v>
          </cell>
        </row>
        <row r="159">
          <cell r="P159">
            <v>129230670.40000001</v>
          </cell>
        </row>
        <row r="160">
          <cell r="P160">
            <v>130054392</v>
          </cell>
        </row>
        <row r="161">
          <cell r="P161">
            <v>129509181.7</v>
          </cell>
        </row>
        <row r="162">
          <cell r="P162">
            <v>131612522.10000001</v>
          </cell>
        </row>
        <row r="163">
          <cell r="P163">
            <v>138327763</v>
          </cell>
        </row>
        <row r="164">
          <cell r="P164">
            <v>122210836.89999999</v>
          </cell>
        </row>
        <row r="165">
          <cell r="P165">
            <v>129587427.30000001</v>
          </cell>
        </row>
        <row r="166">
          <cell r="P166">
            <v>117245108</v>
          </cell>
        </row>
        <row r="167">
          <cell r="P167">
            <v>111133472.19999999</v>
          </cell>
        </row>
        <row r="168">
          <cell r="P168">
            <v>116699840.8</v>
          </cell>
        </row>
        <row r="169">
          <cell r="P169">
            <v>118779479.20000002</v>
          </cell>
        </row>
        <row r="170">
          <cell r="P170">
            <v>130895152.69999997</v>
          </cell>
        </row>
        <row r="171">
          <cell r="P171">
            <v>125105608.5</v>
          </cell>
        </row>
        <row r="172">
          <cell r="P172">
            <v>130037167.19999999</v>
          </cell>
        </row>
        <row r="173">
          <cell r="P173">
            <v>128105078.99000001</v>
          </cell>
        </row>
        <row r="174">
          <cell r="P174">
            <v>136061860.29999998</v>
          </cell>
        </row>
        <row r="175">
          <cell r="P175">
            <v>142782177.40000001</v>
          </cell>
        </row>
        <row r="176">
          <cell r="P176">
            <v>131951026.90000001</v>
          </cell>
        </row>
        <row r="177">
          <cell r="P177">
            <v>138355825.00000003</v>
          </cell>
        </row>
        <row r="180">
          <cell r="P180">
            <v>136237778.40000001</v>
          </cell>
        </row>
        <row r="181">
          <cell r="P181">
            <v>145215159.89999998</v>
          </cell>
        </row>
        <row r="182">
          <cell r="P182">
            <v>147893587.70000002</v>
          </cell>
        </row>
        <row r="183">
          <cell r="P183">
            <v>133388153.49999999</v>
          </cell>
        </row>
      </sheetData>
      <sheetData sheetId="1">
        <row r="25">
          <cell r="C25">
            <v>36847</v>
          </cell>
          <cell r="E25">
            <v>38064.333333333336</v>
          </cell>
          <cell r="G25">
            <v>39400.5</v>
          </cell>
          <cell r="I25">
            <v>40692.083333333336</v>
          </cell>
          <cell r="K25">
            <v>41642.5</v>
          </cell>
          <cell r="M25">
            <v>42728.25</v>
          </cell>
          <cell r="O25">
            <v>43746.916666666672</v>
          </cell>
          <cell r="Q25">
            <v>44583.5</v>
          </cell>
        </row>
        <row r="26">
          <cell r="C26">
            <v>3212.75</v>
          </cell>
          <cell r="E26">
            <v>3248.6666666666665</v>
          </cell>
          <cell r="G26">
            <v>3323.8333333333335</v>
          </cell>
          <cell r="I26">
            <v>3421.9166666666665</v>
          </cell>
          <cell r="K26">
            <v>3468.416666666667</v>
          </cell>
          <cell r="M26">
            <v>3533.916666666667</v>
          </cell>
          <cell r="O26">
            <v>3580.8333333333335</v>
          </cell>
          <cell r="Q26">
            <v>3623.75</v>
          </cell>
        </row>
        <row r="27">
          <cell r="C27">
            <v>445.5</v>
          </cell>
          <cell r="E27">
            <v>461</v>
          </cell>
          <cell r="G27">
            <v>487.83333333333331</v>
          </cell>
          <cell r="I27">
            <v>497.66666666666669</v>
          </cell>
          <cell r="K27">
            <v>509.83333333333331</v>
          </cell>
          <cell r="M27">
            <v>520.83333333333337</v>
          </cell>
          <cell r="O27">
            <v>539.08333333333337</v>
          </cell>
          <cell r="Q27">
            <v>537.5</v>
          </cell>
        </row>
        <row r="28">
          <cell r="C28">
            <v>35.416666666666664</v>
          </cell>
          <cell r="E28">
            <v>36.833333333333336</v>
          </cell>
          <cell r="G28">
            <v>38</v>
          </cell>
          <cell r="I28">
            <v>38.666666666666664</v>
          </cell>
          <cell r="K28">
            <v>40</v>
          </cell>
          <cell r="M28">
            <v>40.833333333333336</v>
          </cell>
          <cell r="O28">
            <v>40.916666666666664</v>
          </cell>
          <cell r="Q28">
            <v>41</v>
          </cell>
        </row>
        <row r="31">
          <cell r="C31">
            <v>33.545454545454547</v>
          </cell>
          <cell r="E31">
            <v>29.666666666666668</v>
          </cell>
          <cell r="G31">
            <v>29.416666666666668</v>
          </cell>
          <cell r="I31">
            <v>31</v>
          </cell>
          <cell r="K31">
            <v>30.583333333333332</v>
          </cell>
          <cell r="M31">
            <v>29</v>
          </cell>
          <cell r="O31">
            <v>27.833333333333332</v>
          </cell>
          <cell r="Q31">
            <v>28.083333333333332</v>
          </cell>
        </row>
      </sheetData>
      <sheetData sheetId="2">
        <row r="1">
          <cell r="C1">
            <v>95206.250000000015</v>
          </cell>
          <cell r="F1">
            <v>105588.44999999975</v>
          </cell>
          <cell r="I1">
            <v>112288.04999999974</v>
          </cell>
          <cell r="L1">
            <v>121538.21666666653</v>
          </cell>
        </row>
        <row r="2">
          <cell r="C2">
            <v>95329.200000000012</v>
          </cell>
          <cell r="F2">
            <v>105815.59999999974</v>
          </cell>
          <cell r="I2">
            <v>112379.59999999974</v>
          </cell>
          <cell r="L2">
            <v>121885.3333333332</v>
          </cell>
        </row>
        <row r="3">
          <cell r="C3">
            <v>95452.150000000009</v>
          </cell>
          <cell r="F3">
            <v>106042.74999999974</v>
          </cell>
          <cell r="I3">
            <v>112471.14999999975</v>
          </cell>
          <cell r="L3">
            <v>122232.44999999987</v>
          </cell>
        </row>
        <row r="4">
          <cell r="C4">
            <v>95575.1</v>
          </cell>
          <cell r="F4">
            <v>106269.89999999973</v>
          </cell>
          <cell r="I4">
            <v>112562.69999999975</v>
          </cell>
          <cell r="L4">
            <v>122579.56666666653</v>
          </cell>
        </row>
        <row r="5">
          <cell r="C5">
            <v>95698.05</v>
          </cell>
          <cell r="F5">
            <v>106497.04999999973</v>
          </cell>
          <cell r="I5">
            <v>112654.24999999975</v>
          </cell>
          <cell r="L5">
            <v>122926.6833333332</v>
          </cell>
        </row>
        <row r="6">
          <cell r="C6">
            <v>95821</v>
          </cell>
          <cell r="F6">
            <v>106724.19999999972</v>
          </cell>
          <cell r="I6">
            <v>112745.79999999976</v>
          </cell>
          <cell r="L6">
            <v>123273.79999999987</v>
          </cell>
        </row>
        <row r="7">
          <cell r="C7">
            <v>96048.15</v>
          </cell>
          <cell r="F7">
            <v>106951.34999999971</v>
          </cell>
          <cell r="I7">
            <v>112837.34999999976</v>
          </cell>
          <cell r="L7">
            <v>123620.91666666654</v>
          </cell>
        </row>
        <row r="8">
          <cell r="C8">
            <v>96275.299999999988</v>
          </cell>
          <cell r="F8">
            <v>107178.49999999971</v>
          </cell>
          <cell r="I8">
            <v>112928.89999999976</v>
          </cell>
          <cell r="L8">
            <v>123968.03333333321</v>
          </cell>
        </row>
        <row r="9">
          <cell r="C9">
            <v>96502.449999999983</v>
          </cell>
          <cell r="F9">
            <v>107405.6499999997</v>
          </cell>
          <cell r="I9">
            <v>113020.44999999976</v>
          </cell>
          <cell r="L9">
            <v>124315.14999999988</v>
          </cell>
        </row>
        <row r="10">
          <cell r="C10">
            <v>96729.599999999977</v>
          </cell>
          <cell r="F10">
            <v>107632.7999999997</v>
          </cell>
          <cell r="I10">
            <v>113111.99999999977</v>
          </cell>
          <cell r="L10">
            <v>124662.26666666655</v>
          </cell>
        </row>
        <row r="11">
          <cell r="C11">
            <v>96956.749999999971</v>
          </cell>
          <cell r="F11">
            <v>107859.94999999969</v>
          </cell>
          <cell r="I11">
            <v>113203.54999999977</v>
          </cell>
          <cell r="L11">
            <v>125009.38333333321</v>
          </cell>
        </row>
        <row r="12">
          <cell r="C12">
            <v>97183.899999999965</v>
          </cell>
          <cell r="F12">
            <v>108087.09999999969</v>
          </cell>
          <cell r="I12">
            <v>113295.09999999977</v>
          </cell>
          <cell r="L12">
            <v>125356.49999999988</v>
          </cell>
        </row>
        <row r="13">
          <cell r="C13">
            <v>97411.049999999959</v>
          </cell>
          <cell r="F13">
            <v>108314.24999999968</v>
          </cell>
          <cell r="I13">
            <v>113386.64999999978</v>
          </cell>
          <cell r="L13">
            <v>125703.61666666655</v>
          </cell>
        </row>
        <row r="14">
          <cell r="C14">
            <v>97638.199999999953</v>
          </cell>
          <cell r="F14">
            <v>108541.39999999967</v>
          </cell>
          <cell r="I14">
            <v>113478.19999999978</v>
          </cell>
          <cell r="L14">
            <v>126050.73333333322</v>
          </cell>
        </row>
        <row r="15">
          <cell r="C15">
            <v>97865.349999999948</v>
          </cell>
          <cell r="F15">
            <v>108768.54999999967</v>
          </cell>
          <cell r="I15">
            <v>113569.74999999978</v>
          </cell>
          <cell r="L15">
            <v>126397.84999999989</v>
          </cell>
        </row>
        <row r="16">
          <cell r="C16">
            <v>98092.499999999942</v>
          </cell>
          <cell r="F16">
            <v>108995.69999999966</v>
          </cell>
          <cell r="I16">
            <v>113661.29999999978</v>
          </cell>
          <cell r="L16">
            <v>126744.96666666656</v>
          </cell>
        </row>
        <row r="17">
          <cell r="C17">
            <v>98319.649999999936</v>
          </cell>
          <cell r="F17">
            <v>109222.84999999966</v>
          </cell>
          <cell r="I17">
            <v>113752.84999999979</v>
          </cell>
          <cell r="L17">
            <v>127092.08333333323</v>
          </cell>
        </row>
        <row r="18">
          <cell r="C18">
            <v>98546.79999999993</v>
          </cell>
          <cell r="F18">
            <v>109449.99999999965</v>
          </cell>
          <cell r="I18">
            <v>113844.39999999979</v>
          </cell>
          <cell r="L18">
            <v>127439.1999999999</v>
          </cell>
        </row>
        <row r="19">
          <cell r="C19">
            <v>98773.949999999924</v>
          </cell>
          <cell r="F19">
            <v>109541.54999999965</v>
          </cell>
          <cell r="I19">
            <v>113935.94999999979</v>
          </cell>
          <cell r="L19">
            <v>127786.31666666656</v>
          </cell>
        </row>
        <row r="20">
          <cell r="C20">
            <v>99001.099999999919</v>
          </cell>
          <cell r="F20">
            <v>109633.09999999966</v>
          </cell>
          <cell r="I20">
            <v>114027.4999999998</v>
          </cell>
          <cell r="L20">
            <v>128133.43333333323</v>
          </cell>
        </row>
        <row r="21">
          <cell r="C21">
            <v>99228.249999999913</v>
          </cell>
          <cell r="F21">
            <v>109724.64999999966</v>
          </cell>
          <cell r="I21">
            <v>114119.0499999998</v>
          </cell>
          <cell r="L21">
            <v>128480.5499999999</v>
          </cell>
        </row>
        <row r="22">
          <cell r="C22">
            <v>99455.399999999907</v>
          </cell>
          <cell r="F22">
            <v>109816.19999999966</v>
          </cell>
          <cell r="I22">
            <v>114210.5999999998</v>
          </cell>
          <cell r="L22">
            <v>128827.66666666657</v>
          </cell>
        </row>
        <row r="23">
          <cell r="C23">
            <v>99682.549999999901</v>
          </cell>
          <cell r="F23">
            <v>109907.74999999967</v>
          </cell>
          <cell r="I23">
            <v>114302.14999999981</v>
          </cell>
          <cell r="L23">
            <v>129174.78333333324</v>
          </cell>
        </row>
        <row r="24">
          <cell r="C24">
            <v>99909.699999999895</v>
          </cell>
          <cell r="F24">
            <v>109999.29999999967</v>
          </cell>
          <cell r="I24">
            <v>114393.69999999981</v>
          </cell>
          <cell r="L24">
            <v>129521.89999999991</v>
          </cell>
        </row>
        <row r="25">
          <cell r="C25">
            <v>100136.84999999989</v>
          </cell>
          <cell r="F25">
            <v>110090.84999999967</v>
          </cell>
          <cell r="I25">
            <v>114485.24999999981</v>
          </cell>
          <cell r="L25">
            <v>129869.01666666658</v>
          </cell>
        </row>
        <row r="26">
          <cell r="C26">
            <v>100363.99999999988</v>
          </cell>
          <cell r="F26">
            <v>110182.39999999967</v>
          </cell>
          <cell r="I26">
            <v>114576.79999999981</v>
          </cell>
          <cell r="L26">
            <v>130216.13333333324</v>
          </cell>
        </row>
        <row r="27">
          <cell r="C27">
            <v>100591.14999999988</v>
          </cell>
          <cell r="F27">
            <v>110273.94999999968</v>
          </cell>
          <cell r="I27">
            <v>114668.34999999982</v>
          </cell>
          <cell r="L27">
            <v>130563.24999999991</v>
          </cell>
        </row>
        <row r="28">
          <cell r="C28">
            <v>100818.29999999987</v>
          </cell>
          <cell r="F28">
            <v>110365.49999999968</v>
          </cell>
          <cell r="I28">
            <v>114759.89999999982</v>
          </cell>
          <cell r="L28">
            <v>130910.36666666658</v>
          </cell>
        </row>
        <row r="29">
          <cell r="C29">
            <v>101045.44999999987</v>
          </cell>
          <cell r="F29">
            <v>110457.04999999968</v>
          </cell>
          <cell r="I29">
            <v>114851.44999999982</v>
          </cell>
          <cell r="L29">
            <v>131257.48333333325</v>
          </cell>
        </row>
        <row r="30">
          <cell r="C30">
            <v>101272.59999999986</v>
          </cell>
          <cell r="F30">
            <v>110548.59999999969</v>
          </cell>
          <cell r="I30">
            <v>114942.99999999983</v>
          </cell>
          <cell r="L30">
            <v>131604.59999999992</v>
          </cell>
        </row>
        <row r="31">
          <cell r="C31">
            <v>101499.74999999985</v>
          </cell>
          <cell r="F31">
            <v>110640.14999999969</v>
          </cell>
          <cell r="I31">
            <v>115290.11666666649</v>
          </cell>
          <cell r="L31">
            <v>131951.71666666659</v>
          </cell>
        </row>
        <row r="32">
          <cell r="C32">
            <v>101726.89999999985</v>
          </cell>
          <cell r="F32">
            <v>110731.69999999969</v>
          </cell>
          <cell r="I32">
            <v>115637.23333333316</v>
          </cell>
          <cell r="L32">
            <v>132298.83333333326</v>
          </cell>
        </row>
        <row r="33">
          <cell r="C33">
            <v>101954.04999999984</v>
          </cell>
          <cell r="F33">
            <v>110823.24999999969</v>
          </cell>
          <cell r="I33">
            <v>115984.34999999983</v>
          </cell>
          <cell r="L33">
            <v>132645.94999999992</v>
          </cell>
        </row>
        <row r="34">
          <cell r="C34">
            <v>102181.19999999984</v>
          </cell>
          <cell r="F34">
            <v>110914.7999999997</v>
          </cell>
          <cell r="I34">
            <v>116331.4666666665</v>
          </cell>
          <cell r="L34">
            <v>132993.06666666659</v>
          </cell>
        </row>
        <row r="35">
          <cell r="C35">
            <v>102408.34999999983</v>
          </cell>
          <cell r="F35">
            <v>111006.3499999997</v>
          </cell>
          <cell r="I35">
            <v>116678.58333333317</v>
          </cell>
          <cell r="L35">
            <v>133340.18333333326</v>
          </cell>
        </row>
        <row r="36">
          <cell r="C36">
            <v>102635.49999999983</v>
          </cell>
          <cell r="F36">
            <v>111097.8999999997</v>
          </cell>
          <cell r="I36">
            <v>117025.69999999984</v>
          </cell>
          <cell r="L36">
            <v>133687.29999999993</v>
          </cell>
        </row>
        <row r="37">
          <cell r="C37">
            <v>102862.64999999982</v>
          </cell>
          <cell r="F37">
            <v>111189.44999999971</v>
          </cell>
          <cell r="I37">
            <v>117372.81666666651</v>
          </cell>
          <cell r="L37">
            <v>134034.4166666666</v>
          </cell>
        </row>
        <row r="38">
          <cell r="C38">
            <v>103089.79999999981</v>
          </cell>
          <cell r="F38">
            <v>111280.99999999971</v>
          </cell>
          <cell r="I38">
            <v>117719.93333333317</v>
          </cell>
          <cell r="L38">
            <v>134381.53333333327</v>
          </cell>
        </row>
        <row r="39">
          <cell r="C39">
            <v>103316.94999999981</v>
          </cell>
          <cell r="F39">
            <v>111372.54999999971</v>
          </cell>
          <cell r="I39">
            <v>118067.04999999984</v>
          </cell>
          <cell r="L39">
            <v>134728.64999999994</v>
          </cell>
        </row>
        <row r="40">
          <cell r="C40">
            <v>103544.0999999998</v>
          </cell>
          <cell r="F40">
            <v>111464.09999999971</v>
          </cell>
          <cell r="I40">
            <v>118414.16666666651</v>
          </cell>
          <cell r="L40">
            <v>135075.7666666666</v>
          </cell>
        </row>
        <row r="41">
          <cell r="C41">
            <v>103771.2499999998</v>
          </cell>
          <cell r="F41">
            <v>111555.64999999972</v>
          </cell>
          <cell r="I41">
            <v>118761.28333333318</v>
          </cell>
          <cell r="L41">
            <v>135422.88333333327</v>
          </cell>
        </row>
        <row r="42">
          <cell r="C42">
            <v>103998.39999999979</v>
          </cell>
          <cell r="F42">
            <v>111647.19999999972</v>
          </cell>
          <cell r="I42">
            <v>119108.39999999985</v>
          </cell>
          <cell r="L42">
            <v>135769.99999999994</v>
          </cell>
        </row>
        <row r="43">
          <cell r="C43">
            <v>104225.54999999978</v>
          </cell>
          <cell r="F43">
            <v>111738.74999999972</v>
          </cell>
          <cell r="I43">
            <v>119455.51666666652</v>
          </cell>
          <cell r="L43">
            <v>135885.99999999994</v>
          </cell>
        </row>
        <row r="44">
          <cell r="C44">
            <v>104452.69999999978</v>
          </cell>
          <cell r="F44">
            <v>111830.29999999973</v>
          </cell>
          <cell r="I44">
            <v>119802.63333333319</v>
          </cell>
          <cell r="L44">
            <v>136001.99999999994</v>
          </cell>
        </row>
        <row r="45">
          <cell r="C45">
            <v>104679.84999999977</v>
          </cell>
          <cell r="F45">
            <v>111921.84999999973</v>
          </cell>
          <cell r="I45">
            <v>120149.74999999985</v>
          </cell>
          <cell r="L45">
            <v>136117.99999999994</v>
          </cell>
        </row>
        <row r="46">
          <cell r="C46">
            <v>104906.99999999977</v>
          </cell>
          <cell r="F46">
            <v>112013.39999999973</v>
          </cell>
          <cell r="I46">
            <v>120496.86666666652</v>
          </cell>
          <cell r="L46">
            <v>136233.99999999994</v>
          </cell>
        </row>
        <row r="47">
          <cell r="C47">
            <v>105134.14999999976</v>
          </cell>
          <cell r="F47">
            <v>112104.94999999974</v>
          </cell>
          <cell r="I47">
            <v>120843.98333333319</v>
          </cell>
          <cell r="L47">
            <v>136349.99999999994</v>
          </cell>
        </row>
        <row r="48">
          <cell r="C48">
            <v>105361.29999999976</v>
          </cell>
          <cell r="F48">
            <v>112196.49999999974</v>
          </cell>
          <cell r="I48">
            <v>121191.09999999986</v>
          </cell>
          <cell r="L48">
            <v>136465.99999999994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HESI"/>
      <sheetName val="WEDCO"/>
      <sheetName val="GHESI-WEDCO"/>
      <sheetName val="REPORT A GHESI"/>
      <sheetName val="REPORT B GHESI"/>
      <sheetName val="REPORT A Rockwood"/>
      <sheetName val="REPORT B Rockwood"/>
      <sheetName val="Report B GHESI &amp; ROCKWOOD"/>
    </sheetNames>
    <sheetDataSet>
      <sheetData sheetId="0"/>
      <sheetData sheetId="1"/>
      <sheetData sheetId="2">
        <row r="333">
          <cell r="H333">
            <v>124831860.30000001</v>
          </cell>
        </row>
        <row r="334">
          <cell r="H334">
            <v>132837470.40000001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onthly by Customer"/>
      <sheetName val="Sheet3"/>
    </sheetNames>
    <sheetDataSet>
      <sheetData sheetId="0">
        <row r="16">
          <cell r="C16">
            <v>568</v>
          </cell>
        </row>
        <row r="31">
          <cell r="C31">
            <v>588</v>
          </cell>
        </row>
        <row r="46">
          <cell r="C46">
            <v>602</v>
          </cell>
        </row>
        <row r="61">
          <cell r="C61">
            <v>595</v>
          </cell>
        </row>
        <row r="76">
          <cell r="C76">
            <v>581</v>
          </cell>
        </row>
        <row r="91">
          <cell r="C91">
            <v>579</v>
          </cell>
        </row>
        <row r="106">
          <cell r="C106">
            <v>580</v>
          </cell>
        </row>
        <row r="121">
          <cell r="C121">
            <v>582</v>
          </cell>
        </row>
        <row r="136">
          <cell r="C136">
            <v>585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A117"/>
  <sheetViews>
    <sheetView zoomScale="70" zoomScaleNormal="70" workbookViewId="0">
      <pane xSplit="1" topLeftCell="B1" activePane="topRight" state="frozen"/>
      <selection pane="topRight" activeCell="G63" sqref="G63"/>
    </sheetView>
  </sheetViews>
  <sheetFormatPr defaultRowHeight="12.75" x14ac:dyDescent="0.2"/>
  <cols>
    <col min="1" max="1" width="32.7109375" customWidth="1"/>
    <col min="2" max="2" width="13.85546875" style="1" customWidth="1"/>
    <col min="3" max="3" width="13.140625" style="1" customWidth="1"/>
    <col min="4" max="4" width="13" style="1" customWidth="1"/>
    <col min="5" max="5" width="12.5703125" style="1" customWidth="1"/>
    <col min="6" max="6" width="13.85546875" style="1" bestFit="1" customWidth="1"/>
    <col min="7" max="7" width="13.7109375" style="1" customWidth="1"/>
    <col min="8" max="8" width="13.5703125" style="1" bestFit="1" customWidth="1"/>
    <col min="9" max="11" width="13.85546875" style="1" bestFit="1" customWidth="1"/>
    <col min="12" max="12" width="2.140625" customWidth="1"/>
    <col min="13" max="13" width="0.5703125" customWidth="1"/>
    <col min="14" max="14" width="15.5703125" customWidth="1"/>
    <col min="15" max="15" width="13" style="1" customWidth="1"/>
    <col min="16" max="16" width="13.42578125" customWidth="1"/>
    <col min="17" max="17" width="11.85546875" customWidth="1"/>
    <col min="18" max="18" width="13.28515625" customWidth="1"/>
    <col min="19" max="19" width="11.28515625" customWidth="1"/>
    <col min="21" max="21" width="15.7109375" customWidth="1"/>
    <col min="22" max="22" width="12.85546875" customWidth="1"/>
  </cols>
  <sheetData>
    <row r="1" spans="1:19" ht="26.25" x14ac:dyDescent="0.25">
      <c r="A1" s="34" t="s">
        <v>68</v>
      </c>
      <c r="H1" s="77">
        <f ca="1">TODAY()</f>
        <v>40508</v>
      </c>
      <c r="I1" s="80"/>
      <c r="K1" s="230" t="s">
        <v>105</v>
      </c>
    </row>
    <row r="2" spans="1:19" ht="16.5" thickBot="1" x14ac:dyDescent="0.3">
      <c r="K2" s="231">
        <f>SUM(K12,K16,K20,K25,K30)</f>
        <v>49933.108485089819</v>
      </c>
    </row>
    <row r="3" spans="1:19" ht="25.5" x14ac:dyDescent="0.2">
      <c r="B3" s="36" t="s">
        <v>98</v>
      </c>
      <c r="C3" s="36" t="s">
        <v>51</v>
      </c>
      <c r="D3" s="36" t="s">
        <v>52</v>
      </c>
      <c r="E3" s="36" t="s">
        <v>53</v>
      </c>
      <c r="F3" s="36" t="s">
        <v>54</v>
      </c>
      <c r="G3" s="36" t="s">
        <v>97</v>
      </c>
      <c r="H3" s="36">
        <v>2008</v>
      </c>
      <c r="I3" s="36">
        <v>2009</v>
      </c>
      <c r="J3" s="36">
        <v>2010</v>
      </c>
      <c r="K3" s="36" t="s">
        <v>92</v>
      </c>
      <c r="L3" s="36"/>
    </row>
    <row r="4" spans="1:19" x14ac:dyDescent="0.2">
      <c r="A4" s="13" t="s">
        <v>58</v>
      </c>
      <c r="B4" s="23">
        <f>'Purchased Power Model'!B297</f>
        <v>1521498084.98</v>
      </c>
      <c r="C4" s="23">
        <f>'Purchased Power Model'!$B298</f>
        <v>1508144801.98</v>
      </c>
      <c r="D4" s="6">
        <f>'Purchased Power Model'!B299</f>
        <v>1578638924.0699999</v>
      </c>
      <c r="E4" s="23">
        <f>'Purchased Power Model'!B300</f>
        <v>1641442335.24</v>
      </c>
      <c r="F4" s="23">
        <f>'Purchased Power Model'!B301</f>
        <v>1633788171.9999998</v>
      </c>
      <c r="G4" s="23">
        <f>'Purchased Power Model'!B302</f>
        <v>1631697102.8999999</v>
      </c>
      <c r="H4" s="23">
        <f>'Purchased Power Model'!B303</f>
        <v>1594089337.5</v>
      </c>
      <c r="I4" s="23">
        <f>'Purchased Power Model'!B304</f>
        <v>1504188795.0899999</v>
      </c>
      <c r="J4" s="23">
        <f>'Purchased Power Model'!B305</f>
        <v>1100104886</v>
      </c>
      <c r="K4" s="23">
        <v>0</v>
      </c>
      <c r="L4" s="23"/>
      <c r="O4" s="139"/>
      <c r="P4" s="140"/>
      <c r="Q4" s="140"/>
      <c r="R4" s="140"/>
    </row>
    <row r="5" spans="1:19" x14ac:dyDescent="0.2">
      <c r="A5" s="13" t="s">
        <v>59</v>
      </c>
      <c r="B5" s="23">
        <f>'Purchased Power Model'!K297</f>
        <v>1545864359.267597</v>
      </c>
      <c r="C5" s="23">
        <f>'Purchased Power Model'!K298</f>
        <v>1536432449.8169463</v>
      </c>
      <c r="D5" s="23">
        <f>'Purchased Power Model'!K299</f>
        <v>1566451639.3637197</v>
      </c>
      <c r="E5" s="23">
        <f>'Purchased Power Model'!K300</f>
        <v>1614685202.0407233</v>
      </c>
      <c r="F5" s="23">
        <f>'Purchased Power Model'!K301</f>
        <v>1596020835.3881278</v>
      </c>
      <c r="G5" s="23">
        <f>'Purchased Power Model'!K302</f>
        <v>1633348938.2652831</v>
      </c>
      <c r="H5" s="23">
        <f>'Purchased Power Model'!K303</f>
        <v>1602609386.8361435</v>
      </c>
      <c r="I5" s="23">
        <f>'Purchased Power Model'!K304</f>
        <v>1528173234.2898254</v>
      </c>
      <c r="J5" s="23">
        <f>'Purchased Power Model'!K305</f>
        <v>1604906611.1064072</v>
      </c>
      <c r="K5" s="23">
        <f>'Purchased Power Model'!K306</f>
        <v>1660608145.1519136</v>
      </c>
      <c r="L5" s="23"/>
      <c r="N5" s="78"/>
      <c r="O5" s="78"/>
      <c r="P5" s="78"/>
      <c r="Q5" s="136"/>
      <c r="R5" s="137"/>
      <c r="S5" s="78"/>
    </row>
    <row r="6" spans="1:19" x14ac:dyDescent="0.2">
      <c r="A6" s="13" t="s">
        <v>8</v>
      </c>
      <c r="B6" s="35">
        <f t="shared" ref="B6:J6" si="0">(B5-B4)/B4</f>
        <v>1.6014659846198383E-2</v>
      </c>
      <c r="C6" s="35">
        <f t="shared" si="0"/>
        <v>1.8756586104867523E-2</v>
      </c>
      <c r="D6" s="35">
        <f t="shared" si="0"/>
        <v>-7.720121758343153E-3</v>
      </c>
      <c r="E6" s="35">
        <f t="shared" si="0"/>
        <v>-1.6300988846717206E-2</v>
      </c>
      <c r="F6" s="35">
        <f t="shared" si="0"/>
        <v>-2.3116421858801389E-2</v>
      </c>
      <c r="G6" s="35">
        <f t="shared" si="0"/>
        <v>1.0123419122013879E-3</v>
      </c>
      <c r="H6" s="35">
        <f t="shared" si="0"/>
        <v>5.344775311969298E-3</v>
      </c>
      <c r="I6" s="35">
        <f t="shared" si="0"/>
        <v>1.594509896504745E-2</v>
      </c>
      <c r="J6" s="35">
        <f t="shared" si="0"/>
        <v>0.45886690581102207</v>
      </c>
      <c r="K6" s="35"/>
      <c r="N6" s="141"/>
      <c r="O6" s="139"/>
      <c r="P6" s="140"/>
      <c r="Q6" s="142"/>
      <c r="R6" s="143"/>
      <c r="S6" s="48"/>
    </row>
    <row r="7" spans="1:19" x14ac:dyDescent="0.2">
      <c r="A7" s="13"/>
      <c r="B7" s="32"/>
      <c r="C7" s="32"/>
      <c r="D7" s="32"/>
      <c r="E7" s="32"/>
      <c r="F7" s="32"/>
      <c r="G7" s="32"/>
      <c r="H7" s="32"/>
      <c r="I7" s="32"/>
      <c r="J7" s="32"/>
      <c r="K7" s="32"/>
      <c r="N7" s="144"/>
      <c r="O7" s="145"/>
      <c r="P7" s="145"/>
      <c r="Q7" s="142"/>
      <c r="R7" s="140"/>
      <c r="S7" s="48"/>
    </row>
    <row r="8" spans="1:19" x14ac:dyDescent="0.2">
      <c r="A8" s="13" t="s">
        <v>61</v>
      </c>
      <c r="B8" s="23">
        <f>'Rate Class Energy Model'!G12</f>
        <v>1429964026.4390182</v>
      </c>
      <c r="C8" s="23">
        <f>'Rate Class Energy Model'!G13</f>
        <v>1485066532.433605</v>
      </c>
      <c r="D8" s="23">
        <f>'Rate Class Energy Model'!G14</f>
        <v>1556406606.3514192</v>
      </c>
      <c r="E8" s="23">
        <f>'Rate Class Energy Model'!G15</f>
        <v>1619044518.0224638</v>
      </c>
      <c r="F8" s="23">
        <f>'Rate Class Energy Model'!G16</f>
        <v>1609929222.885083</v>
      </c>
      <c r="G8" s="23">
        <f>'Rate Class Energy Model'!G17</f>
        <v>1609674692.7480927</v>
      </c>
      <c r="H8" s="23">
        <f>'Rate Class Energy Model'!G18</f>
        <v>1574447831.9159546</v>
      </c>
      <c r="I8" s="23">
        <f>'Rate Class Energy Model'!G19</f>
        <v>1485530567.0518968</v>
      </c>
      <c r="J8" s="23">
        <f>'Rate Class Energy Model'!G20</f>
        <v>1062154355.4421062</v>
      </c>
      <c r="K8" s="23">
        <f>'Rate Class Energy Model'!G21</f>
        <v>1596124706.9895363</v>
      </c>
      <c r="L8" s="23"/>
      <c r="N8" s="144"/>
      <c r="O8" s="145"/>
      <c r="P8" s="145"/>
      <c r="Q8" s="142"/>
      <c r="R8" s="140"/>
      <c r="S8" s="48"/>
    </row>
    <row r="9" spans="1:19" ht="13.5" thickBot="1" x14ac:dyDescent="0.25">
      <c r="A9" s="84"/>
      <c r="B9" s="32"/>
      <c r="C9" s="23"/>
      <c r="D9" s="23"/>
      <c r="E9" s="23"/>
      <c r="F9" s="23"/>
      <c r="G9" s="23"/>
      <c r="H9" s="23"/>
      <c r="I9" s="23"/>
      <c r="J9" s="23"/>
      <c r="K9" s="48"/>
      <c r="L9" s="48"/>
      <c r="N9" s="140"/>
      <c r="O9" s="146"/>
      <c r="P9" s="142"/>
      <c r="Q9" s="142"/>
      <c r="R9" s="140"/>
    </row>
    <row r="10" spans="1:19" ht="15.75" x14ac:dyDescent="0.25">
      <c r="A10" s="34" t="s">
        <v>60</v>
      </c>
      <c r="N10" s="78"/>
      <c r="O10" s="147"/>
      <c r="P10" s="147"/>
      <c r="Q10" s="147"/>
      <c r="R10" s="140"/>
    </row>
    <row r="11" spans="1:19" x14ac:dyDescent="0.2">
      <c r="A11" s="33" t="str">
        <f>'Rate Class Energy Model'!H2</f>
        <v xml:space="preserve">Residential </v>
      </c>
      <c r="N11" s="269"/>
      <c r="O11" s="269"/>
      <c r="P11" s="269"/>
      <c r="Q11" s="269"/>
      <c r="R11" s="140"/>
    </row>
    <row r="12" spans="1:19" x14ac:dyDescent="0.2">
      <c r="A12" t="s">
        <v>48</v>
      </c>
      <c r="B12" s="6">
        <f>'Rate Class Customer Model'!B5</f>
        <v>36847</v>
      </c>
      <c r="C12" s="6">
        <f>'Rate Class Customer Model'!B6</f>
        <v>38064.333333333336</v>
      </c>
      <c r="D12" s="6">
        <f>'Rate Class Customer Model'!B7</f>
        <v>39400.5</v>
      </c>
      <c r="E12" s="6">
        <f>'Rate Class Customer Model'!B8</f>
        <v>40692.083333333336</v>
      </c>
      <c r="F12" s="6">
        <f>'Rate Class Customer Model'!B9</f>
        <v>41642.5</v>
      </c>
      <c r="G12" s="6">
        <f>'Rate Class Customer Model'!B10</f>
        <v>42728.25</v>
      </c>
      <c r="H12" s="6">
        <f>'Rate Class Customer Model'!B11</f>
        <v>43746.916666666672</v>
      </c>
      <c r="I12" s="6">
        <f>'Rate Class Customer Model'!B12</f>
        <v>44583.5</v>
      </c>
      <c r="J12" s="6">
        <f>'Rate Class Customer Model'!B13</f>
        <v>44583.5</v>
      </c>
      <c r="K12" s="6">
        <f>'Rate Class Customer Model'!B14</f>
        <v>45658.397280858473</v>
      </c>
      <c r="L12" s="6"/>
      <c r="N12" s="140"/>
      <c r="O12" s="139"/>
      <c r="P12" s="140"/>
      <c r="Q12" s="141"/>
      <c r="R12" s="140"/>
    </row>
    <row r="13" spans="1:19" x14ac:dyDescent="0.2">
      <c r="A13" t="s">
        <v>49</v>
      </c>
      <c r="B13" s="6">
        <f>'Rate Class Energy Model'!H12</f>
        <v>293799852.48899806</v>
      </c>
      <c r="C13" s="6">
        <f>'Rate Class Energy Model'!H13</f>
        <v>325123192.54719889</v>
      </c>
      <c r="D13" s="6">
        <f>'Rate Class Energy Model'!H14</f>
        <v>333362711.03379893</v>
      </c>
      <c r="E13" s="6">
        <f>'Rate Class Energy Model'!H15</f>
        <v>356926019.09399825</v>
      </c>
      <c r="F13" s="6">
        <f>'Rate Class Energy Model'!H16</f>
        <v>348418729.24179751</v>
      </c>
      <c r="G13" s="6">
        <f>'Rate Class Energy Model'!H17</f>
        <v>356617105.66369778</v>
      </c>
      <c r="H13" s="6">
        <f>'Rate Class Energy Model'!H18</f>
        <v>356875114.38189942</v>
      </c>
      <c r="I13" s="6">
        <f>'Rate Class Energy Model'!H19</f>
        <v>352708668.56829965</v>
      </c>
      <c r="J13" s="6">
        <f>'Rate Class Energy Model'!H20</f>
        <v>252186698.02633423</v>
      </c>
      <c r="K13" s="6">
        <f>'Rate Class Energy Model'!H61</f>
        <v>415279852.25739372</v>
      </c>
      <c r="L13" s="6"/>
      <c r="N13" s="140"/>
      <c r="O13" s="139"/>
      <c r="P13" s="140"/>
      <c r="Q13" s="140"/>
      <c r="R13" s="140"/>
    </row>
    <row r="14" spans="1:19" x14ac:dyDescent="0.2">
      <c r="N14" s="272"/>
      <c r="O14" s="272"/>
      <c r="P14" s="272"/>
      <c r="Q14" s="272"/>
      <c r="R14" s="272"/>
      <c r="S14" s="113"/>
    </row>
    <row r="15" spans="1:19" x14ac:dyDescent="0.2">
      <c r="A15" s="33" t="str">
        <f>'Rate Class Energy Model'!I2</f>
        <v>General Service &lt; 50 kW</v>
      </c>
      <c r="N15" s="140"/>
      <c r="O15" s="149"/>
      <c r="P15" s="149"/>
      <c r="Q15" s="136"/>
      <c r="R15" s="136"/>
    </row>
    <row r="16" spans="1:19" x14ac:dyDescent="0.2">
      <c r="A16" t="s">
        <v>48</v>
      </c>
      <c r="B16" s="6">
        <f>'Rate Class Customer Model'!C5</f>
        <v>3212.75</v>
      </c>
      <c r="C16" s="6">
        <f>'Rate Class Customer Model'!C6</f>
        <v>3248.6666666666665</v>
      </c>
      <c r="D16" s="6">
        <f>'Rate Class Customer Model'!C7</f>
        <v>3323.8333333333335</v>
      </c>
      <c r="E16" s="6">
        <f>'Rate Class Customer Model'!C8</f>
        <v>3421.9166666666665</v>
      </c>
      <c r="F16" s="6">
        <f>'Rate Class Customer Model'!C9</f>
        <v>3468.416666666667</v>
      </c>
      <c r="G16" s="6">
        <f>'Rate Class Customer Model'!C10</f>
        <v>3533.916666666667</v>
      </c>
      <c r="H16" s="6">
        <f>'Rate Class Customer Model'!C11</f>
        <v>3580.8333333333335</v>
      </c>
      <c r="I16" s="6">
        <f>'Rate Class Customer Model'!C12</f>
        <v>3623.75</v>
      </c>
      <c r="J16" s="6">
        <f>'Rate Class Customer Model'!C13</f>
        <v>3623.75</v>
      </c>
      <c r="K16" s="6">
        <f>'Rate Class Customer Model'!C14</f>
        <v>3678.6916824129726</v>
      </c>
      <c r="L16" s="6"/>
      <c r="N16" s="141"/>
      <c r="O16" s="150"/>
      <c r="P16" s="151"/>
      <c r="Q16" s="151"/>
      <c r="R16" s="151"/>
      <c r="S16" s="127"/>
    </row>
    <row r="17" spans="1:19" x14ac:dyDescent="0.2">
      <c r="A17" t="s">
        <v>49</v>
      </c>
      <c r="B17" s="6">
        <f>'Rate Class Energy Model'!I12</f>
        <v>136077544.65939805</v>
      </c>
      <c r="C17" s="6">
        <f>'Rate Class Energy Model'!I13</f>
        <v>134877221.30839846</v>
      </c>
      <c r="D17" s="6">
        <f>'Rate Class Energy Model'!I14</f>
        <v>136449757.49409857</v>
      </c>
      <c r="E17" s="6">
        <f>'Rate Class Energy Model'!I15</f>
        <v>144289566.38669905</v>
      </c>
      <c r="F17" s="6">
        <f>'Rate Class Energy Model'!I16</f>
        <v>141613942.75719905</v>
      </c>
      <c r="G17" s="6">
        <f>'Rate Class Energy Model'!I17</f>
        <v>145574704.42339978</v>
      </c>
      <c r="H17" s="6">
        <f>'Rate Class Energy Model'!I18</f>
        <v>146877567.74829936</v>
      </c>
      <c r="I17" s="6">
        <f>'Rate Class Energy Model'!I19</f>
        <v>141492397.61990008</v>
      </c>
      <c r="J17" s="6">
        <f>'Rate Class Energy Model'!I20</f>
        <v>101167064.29822855</v>
      </c>
      <c r="K17" s="6">
        <f>'Rate Class Energy Model'!I61</f>
        <v>163627235.83475944</v>
      </c>
      <c r="L17" s="6"/>
      <c r="N17" s="140"/>
      <c r="O17" s="150"/>
      <c r="P17" s="151"/>
      <c r="Q17" s="140"/>
      <c r="R17" s="151"/>
    </row>
    <row r="18" spans="1:19" x14ac:dyDescent="0.2">
      <c r="L18" s="6"/>
      <c r="N18" s="140"/>
      <c r="O18" s="150"/>
      <c r="P18" s="151"/>
      <c r="Q18" s="140"/>
      <c r="R18" s="151"/>
      <c r="S18" s="48"/>
    </row>
    <row r="19" spans="1:19" x14ac:dyDescent="0.2">
      <c r="A19" s="92" t="str">
        <f>'Rate Class Energy Model'!J2</f>
        <v>General Service &gt; 50 to 999 kW</v>
      </c>
      <c r="L19" s="6"/>
      <c r="N19" s="140"/>
      <c r="O19" s="150"/>
      <c r="P19" s="140"/>
      <c r="Q19" s="140"/>
      <c r="R19" s="140"/>
    </row>
    <row r="20" spans="1:19" x14ac:dyDescent="0.2">
      <c r="A20" t="s">
        <v>48</v>
      </c>
      <c r="B20" s="6">
        <f>'Rate Class Customer Model'!D5</f>
        <v>445.5</v>
      </c>
      <c r="C20" s="6">
        <f>'Rate Class Customer Model'!D6</f>
        <v>461</v>
      </c>
      <c r="D20" s="6">
        <f>'Rate Class Customer Model'!D7</f>
        <v>487.83333333333331</v>
      </c>
      <c r="E20" s="6">
        <f>'Rate Class Customer Model'!D8</f>
        <v>497.66666666666669</v>
      </c>
      <c r="F20" s="6">
        <f>'Rate Class Customer Model'!D9</f>
        <v>509.83333333333331</v>
      </c>
      <c r="G20" s="6">
        <f>'Rate Class Customer Model'!D10</f>
        <v>520.83333333333337</v>
      </c>
      <c r="H20" s="6">
        <f>'Rate Class Customer Model'!D11</f>
        <v>539.08333333333337</v>
      </c>
      <c r="I20" s="6">
        <f>'Rate Class Customer Model'!D12</f>
        <v>537.5</v>
      </c>
      <c r="J20" s="6">
        <f>'Rate Class Customer Model'!D13</f>
        <v>537.5</v>
      </c>
      <c r="K20" s="6">
        <f>'Rate Class Customer Model'!D14</f>
        <v>550.26236906109159</v>
      </c>
      <c r="L20" s="6"/>
      <c r="N20" s="148"/>
      <c r="O20" s="152"/>
      <c r="P20" s="148"/>
      <c r="Q20" s="148"/>
      <c r="R20" s="148"/>
    </row>
    <row r="21" spans="1:19" x14ac:dyDescent="0.2">
      <c r="A21" t="s">
        <v>49</v>
      </c>
      <c r="B21" s="6">
        <f>'Rate Class Energy Model'!J12</f>
        <v>359367947.03579921</v>
      </c>
      <c r="C21" s="6">
        <f>'Rate Class Energy Model'!J13</f>
        <v>418240754.07729948</v>
      </c>
      <c r="D21" s="6">
        <f>'Rate Class Energy Model'!J14</f>
        <v>441567398.06522149</v>
      </c>
      <c r="E21" s="6">
        <f>'Rate Class Energy Model'!J15</f>
        <v>428032331.4692651</v>
      </c>
      <c r="F21" s="6">
        <f>'Rate Class Energy Model'!J16</f>
        <v>427648833.07905781</v>
      </c>
      <c r="G21" s="6">
        <f>'Rate Class Energy Model'!J17</f>
        <v>447771407.19867772</v>
      </c>
      <c r="H21" s="6">
        <f>'Rate Class Energy Model'!J18</f>
        <v>425057771.65110093</v>
      </c>
      <c r="I21" s="6">
        <f>'Rate Class Energy Model'!J19</f>
        <v>368795356.86309993</v>
      </c>
      <c r="J21" s="6">
        <f>'Rate Class Energy Model'!J20</f>
        <v>263688680.15711644</v>
      </c>
      <c r="K21" s="6">
        <f>'Rate Class Energy Model'!J61</f>
        <v>411591250.28186703</v>
      </c>
      <c r="L21" s="6"/>
      <c r="N21" s="140"/>
      <c r="O21" s="78"/>
      <c r="P21" s="78"/>
      <c r="Q21" s="149"/>
      <c r="R21" s="149"/>
    </row>
    <row r="22" spans="1:19" x14ac:dyDescent="0.2">
      <c r="A22" t="s">
        <v>50</v>
      </c>
      <c r="B22" s="6">
        <f>'Rate Class Load Model'!B3</f>
        <v>948602.66430000076</v>
      </c>
      <c r="C22" s="6">
        <f>'Rate Class Load Model'!B4</f>
        <v>1100317.7629999998</v>
      </c>
      <c r="D22" s="6">
        <f>'Rate Class Load Model'!B5</f>
        <v>1152315.3665000005</v>
      </c>
      <c r="E22" s="6">
        <f>'Rate Class Load Model'!B6</f>
        <v>1130150.1184999989</v>
      </c>
      <c r="F22" s="6">
        <f>'Rate Class Load Model'!B7</f>
        <v>1098433.2123999987</v>
      </c>
      <c r="G22" s="6">
        <f>'Rate Class Load Model'!B8</f>
        <v>1146097.7437000005</v>
      </c>
      <c r="H22" s="6">
        <f>'Rate Class Load Model'!B9</f>
        <v>1096290.6696000022</v>
      </c>
      <c r="I22" s="6">
        <f>'Rate Class Load Model'!B10</f>
        <v>1000754.316</v>
      </c>
      <c r="J22" s="6">
        <f>'Rate Class Load Model'!B11</f>
        <v>715539.33594000002</v>
      </c>
      <c r="K22" s="6">
        <f>'Rate Class Load Model'!B12</f>
        <v>1081790.5789162391</v>
      </c>
      <c r="L22" s="6"/>
      <c r="N22" s="141"/>
      <c r="O22" s="139"/>
      <c r="P22" s="141"/>
      <c r="Q22" s="140"/>
      <c r="R22" s="151"/>
    </row>
    <row r="23" spans="1:19" x14ac:dyDescent="0.2">
      <c r="N23" s="140"/>
      <c r="O23" s="153"/>
      <c r="P23" s="141"/>
      <c r="Q23" s="151"/>
      <c r="R23" s="151"/>
    </row>
    <row r="24" spans="1:19" x14ac:dyDescent="0.2">
      <c r="A24" s="92" t="str">
        <f>'Rate Class Energy Model'!K2</f>
        <v>General Service &gt; 1000 to 4999 kW</v>
      </c>
      <c r="L24" s="6"/>
      <c r="N24" s="140"/>
      <c r="O24" s="153"/>
      <c r="P24" s="141"/>
      <c r="Q24" s="151"/>
      <c r="R24" s="151"/>
    </row>
    <row r="25" spans="1:19" x14ac:dyDescent="0.2">
      <c r="A25" t="s">
        <v>48</v>
      </c>
      <c r="B25" s="6">
        <f>'Rate Class Customer Model'!E5</f>
        <v>35.416666666666664</v>
      </c>
      <c r="C25" s="6">
        <f>'Rate Class Customer Model'!E6</f>
        <v>36.833333333333336</v>
      </c>
      <c r="D25" s="6">
        <f>'Rate Class Customer Model'!E7</f>
        <v>38</v>
      </c>
      <c r="E25" s="6">
        <f>'Rate Class Customer Model'!E8</f>
        <v>38.666666666666664</v>
      </c>
      <c r="F25" s="6">
        <f>'Rate Class Customer Model'!E9</f>
        <v>40</v>
      </c>
      <c r="G25" s="6">
        <f>'Rate Class Customer Model'!E10</f>
        <v>40.833333333333336</v>
      </c>
      <c r="H25" s="6">
        <f>'Rate Class Customer Model'!E11</f>
        <v>40.916666666666664</v>
      </c>
      <c r="I25" s="6">
        <f>'Rate Class Customer Model'!E12</f>
        <v>41</v>
      </c>
      <c r="J25" s="6">
        <f>'Rate Class Customer Model'!E13</f>
        <v>41</v>
      </c>
      <c r="K25" s="6">
        <f>'Rate Class Customer Model'!E14</f>
        <v>41.757152757278526</v>
      </c>
      <c r="L25" s="6"/>
      <c r="N25" s="140"/>
      <c r="O25" s="153"/>
      <c r="P25" s="141"/>
      <c r="Q25" s="140"/>
      <c r="R25" s="140"/>
    </row>
    <row r="26" spans="1:19" x14ac:dyDescent="0.2">
      <c r="A26" t="s">
        <v>49</v>
      </c>
      <c r="B26" s="6">
        <f>'Rate Class Energy Model'!K12</f>
        <v>400932784.27298337</v>
      </c>
      <c r="C26" s="6">
        <f>'Rate Class Energy Model'!K13</f>
        <v>370939934.10663033</v>
      </c>
      <c r="D26" s="6">
        <f>'Rate Class Energy Model'!K14</f>
        <v>372045282.21304452</v>
      </c>
      <c r="E26" s="6">
        <f>'Rate Class Energy Model'!K15</f>
        <v>424553499.37750292</v>
      </c>
      <c r="F26" s="6">
        <f>'Rate Class Energy Model'!K16</f>
        <v>420373255.95967984</v>
      </c>
      <c r="G26" s="6">
        <f>'Rate Class Energy Model'!K17</f>
        <v>389939013.57869577</v>
      </c>
      <c r="H26" s="6">
        <f>'Rate Class Energy Model'!K18</f>
        <v>385445266.45684302</v>
      </c>
      <c r="I26" s="6">
        <f>'Rate Class Energy Model'!K19</f>
        <v>373502975.20099401</v>
      </c>
      <c r="J26" s="6">
        <f>'Rate Class Energy Model'!K20</f>
        <v>267054627.2687107</v>
      </c>
      <c r="K26" s="6">
        <f>'Rate Class Energy Model'!K61</f>
        <v>365660807.66153854</v>
      </c>
      <c r="L26" s="6"/>
      <c r="N26" s="140"/>
      <c r="O26" s="139"/>
      <c r="P26" s="140"/>
      <c r="Q26" s="140"/>
      <c r="R26" s="140"/>
    </row>
    <row r="27" spans="1:19" x14ac:dyDescent="0.2">
      <c r="A27" t="s">
        <v>50</v>
      </c>
      <c r="B27" s="6">
        <f>'Rate Class Load Model'!C3</f>
        <v>793258.45819999964</v>
      </c>
      <c r="C27" s="6">
        <f>'Rate Class Load Model'!C4</f>
        <v>809727.15460000187</v>
      </c>
      <c r="D27" s="6">
        <f>'Rate Class Load Model'!C5</f>
        <v>799327.66439999896</v>
      </c>
      <c r="E27" s="6">
        <f>'Rate Class Load Model'!C6</f>
        <v>896362.63029999833</v>
      </c>
      <c r="F27" s="6">
        <f>'Rate Class Load Model'!C7</f>
        <v>893594.83669999754</v>
      </c>
      <c r="G27" s="6">
        <f>'Rate Class Load Model'!C8</f>
        <v>839674.43239999993</v>
      </c>
      <c r="H27" s="6">
        <f>'Rate Class Load Model'!C9</f>
        <v>869193.21660000109</v>
      </c>
      <c r="I27" s="6">
        <f>'Rate Class Load Model'!C10</f>
        <v>893555.00979999977</v>
      </c>
      <c r="J27" s="6">
        <f>'Rate Class Load Model'!C11</f>
        <v>638891.83200699976</v>
      </c>
      <c r="K27" s="6">
        <f>'Rate Class Load Model'!C12</f>
        <v>802017.83254549874</v>
      </c>
      <c r="L27" s="6"/>
      <c r="N27" s="140"/>
      <c r="O27" s="139"/>
      <c r="P27" s="140"/>
      <c r="Q27" s="140"/>
      <c r="R27" s="140"/>
    </row>
    <row r="28" spans="1:19" ht="15.75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N28" s="138"/>
      <c r="O28" s="139"/>
      <c r="P28" s="140"/>
      <c r="Q28" s="140"/>
      <c r="R28" s="140"/>
    </row>
    <row r="29" spans="1:19" x14ac:dyDescent="0.2">
      <c r="A29" s="92" t="str">
        <f>'Rate Class Energy Model'!L2</f>
        <v>Large Use &gt;5000 kW</v>
      </c>
      <c r="L29" s="6"/>
      <c r="N29" s="78"/>
      <c r="O29" s="78"/>
      <c r="P29" s="78"/>
      <c r="Q29" s="136"/>
      <c r="R29" s="137"/>
    </row>
    <row r="30" spans="1:19" x14ac:dyDescent="0.2">
      <c r="A30" t="s">
        <v>48</v>
      </c>
      <c r="B30" s="6">
        <f>'Rate Class Customer Model'!F5</f>
        <v>4</v>
      </c>
      <c r="C30" s="6">
        <f>'Rate Class Customer Model'!F6</f>
        <v>4</v>
      </c>
      <c r="D30" s="6">
        <f>'Rate Class Customer Model'!F7</f>
        <v>4</v>
      </c>
      <c r="E30" s="6">
        <f>'Rate Class Customer Model'!F8</f>
        <v>4</v>
      </c>
      <c r="F30" s="6">
        <f>'Rate Class Customer Model'!F9</f>
        <v>4</v>
      </c>
      <c r="G30" s="6">
        <f>'Rate Class Customer Model'!F10</f>
        <v>4</v>
      </c>
      <c r="H30" s="6">
        <f>'Rate Class Customer Model'!F11</f>
        <v>4</v>
      </c>
      <c r="I30" s="6">
        <f>'Rate Class Customer Model'!F12</f>
        <v>4</v>
      </c>
      <c r="J30" s="6">
        <f>'Rate Class Customer Model'!F13</f>
        <v>4</v>
      </c>
      <c r="K30" s="6">
        <f>'Rate Class Customer Model'!F14</f>
        <v>4</v>
      </c>
      <c r="L30" s="6"/>
      <c r="N30" s="141"/>
      <c r="O30" s="139"/>
      <c r="P30" s="140"/>
      <c r="Q30" s="142"/>
      <c r="R30" s="143"/>
    </row>
    <row r="31" spans="1:19" x14ac:dyDescent="0.2">
      <c r="A31" t="s">
        <v>49</v>
      </c>
      <c r="B31" s="6">
        <f>'Rate Class Energy Model'!L12</f>
        <v>227961458.08013976</v>
      </c>
      <c r="C31" s="6">
        <f>'Rate Class Energy Model'!L13</f>
        <v>224351881.58267787</v>
      </c>
      <c r="D31" s="6">
        <f>'Rate Class Energy Model'!L14</f>
        <v>261286315.31597775</v>
      </c>
      <c r="E31" s="6">
        <f>'Rate Class Energy Model'!L15</f>
        <v>253448417.91936299</v>
      </c>
      <c r="F31" s="6">
        <f>'Rate Class Energy Model'!L16</f>
        <v>260643976.28740698</v>
      </c>
      <c r="G31" s="6">
        <f>'Rate Class Energy Model'!L17</f>
        <v>258415579.77789986</v>
      </c>
      <c r="H31" s="6">
        <f>'Rate Class Energy Model'!L18</f>
        <v>248400499.59731197</v>
      </c>
      <c r="I31" s="6">
        <f>+'Rate Class Energy Model'!L19</f>
        <v>237183984.18280315</v>
      </c>
      <c r="J31" s="6">
        <f>+'Rate Class Energy Model'!L20</f>
        <v>169586548.69070426</v>
      </c>
      <c r="K31" s="6">
        <f>+'Rate Class Energy Model'!L61</f>
        <v>228573883.44155523</v>
      </c>
      <c r="L31" s="6"/>
      <c r="N31" s="144"/>
      <c r="O31" s="145"/>
      <c r="P31" s="145"/>
      <c r="Q31" s="142"/>
      <c r="R31" s="140"/>
    </row>
    <row r="32" spans="1:19" x14ac:dyDescent="0.2">
      <c r="A32" t="s">
        <v>50</v>
      </c>
      <c r="B32" s="6">
        <f>'Rate Class Load Model'!D3</f>
        <v>370270.70199999982</v>
      </c>
      <c r="C32" s="6">
        <f>'Rate Class Load Model'!D4</f>
        <v>402533.99649999954</v>
      </c>
      <c r="D32" s="6">
        <f>'Rate Class Load Model'!D5</f>
        <v>467895.27969999879</v>
      </c>
      <c r="E32" s="6">
        <f>'Rate Class Load Model'!D6</f>
        <v>463386.09369999979</v>
      </c>
      <c r="F32" s="6">
        <f>'Rate Class Load Model'!D7</f>
        <v>474726.49750000075</v>
      </c>
      <c r="G32" s="6">
        <f>'Rate Class Load Model'!D8</f>
        <v>469789.69319999934</v>
      </c>
      <c r="H32" s="6">
        <f>'Rate Class Load Model'!D9</f>
        <v>450554.89610000036</v>
      </c>
      <c r="I32" s="6">
        <f>'Rate Class Load Model'!D10</f>
        <v>439420.60050000006</v>
      </c>
      <c r="J32" s="6">
        <f>'Rate Class Load Model'!D11</f>
        <v>314185.72935750004</v>
      </c>
      <c r="K32" s="6">
        <f>'Rate Class Load Model'!D12</f>
        <v>411331.41664470354</v>
      </c>
      <c r="L32" s="6"/>
      <c r="N32" s="144"/>
      <c r="O32" s="145"/>
      <c r="P32" s="145"/>
      <c r="Q32" s="142"/>
      <c r="R32" s="140"/>
    </row>
    <row r="33" spans="1:19" x14ac:dyDescent="0.2">
      <c r="N33" s="140"/>
      <c r="O33" s="146"/>
      <c r="P33" s="142"/>
      <c r="Q33" s="142"/>
      <c r="R33" s="140"/>
    </row>
    <row r="34" spans="1:19" x14ac:dyDescent="0.2">
      <c r="A34" s="33" t="str">
        <f>'Rate Class Energy Model'!M2</f>
        <v xml:space="preserve">Streetlights </v>
      </c>
      <c r="N34" s="78"/>
      <c r="O34" s="147"/>
      <c r="P34" s="147"/>
      <c r="Q34" s="147"/>
      <c r="R34" s="140"/>
    </row>
    <row r="35" spans="1:19" x14ac:dyDescent="0.2">
      <c r="A35" t="s">
        <v>48</v>
      </c>
      <c r="B35" s="6">
        <f>'Rate Class Customer Model'!G5</f>
        <v>10737</v>
      </c>
      <c r="C35" s="6">
        <f>'Rate Class Customer Model'!G6</f>
        <v>10876</v>
      </c>
      <c r="D35" s="6">
        <f>'Rate Class Customer Model'!G7</f>
        <v>11253</v>
      </c>
      <c r="E35" s="6">
        <f>'Rate Class Customer Model'!G8</f>
        <v>11838</v>
      </c>
      <c r="F35" s="6">
        <f>'Rate Class Customer Model'!G9</f>
        <v>12237</v>
      </c>
      <c r="G35" s="6">
        <f>'Rate Class Customer Model'!G10</f>
        <v>12574</v>
      </c>
      <c r="H35" s="6">
        <f>'Rate Class Customer Model'!G11</f>
        <v>12781</v>
      </c>
      <c r="I35" s="6">
        <f>'Rate Class Customer Model'!G12</f>
        <v>12860</v>
      </c>
      <c r="J35" s="6">
        <f>'Rate Class Customer Model'!G13</f>
        <v>12881</v>
      </c>
      <c r="K35" s="6">
        <f>'Rate Class Customer Model'!G14</f>
        <v>13177.496472212018</v>
      </c>
      <c r="L35" s="6"/>
      <c r="N35" s="269"/>
      <c r="O35" s="269"/>
      <c r="P35" s="269"/>
      <c r="Q35" s="269"/>
      <c r="R35" s="140"/>
    </row>
    <row r="36" spans="1:19" x14ac:dyDescent="0.2">
      <c r="A36" t="s">
        <v>49</v>
      </c>
      <c r="B36" s="6">
        <f>'Rate Class Energy Model'!M12</f>
        <v>9092083.0110000093</v>
      </c>
      <c r="C36" s="6">
        <f>'Rate Class Energy Model'!M13</f>
        <v>8140829.3700000001</v>
      </c>
      <c r="D36" s="6">
        <f>'Rate Class Energy Model'!M14</f>
        <v>8359777.7392780315</v>
      </c>
      <c r="E36" s="6">
        <f>'Rate Class Energy Model'!M15</f>
        <v>8527564.5191355739</v>
      </c>
      <c r="F36" s="6">
        <f>'Rate Class Energy Model'!M16</f>
        <v>8759526.2004419025</v>
      </c>
      <c r="G36" s="6">
        <f>'Rate Class Energy Model'!M17</f>
        <v>8768683.9196220562</v>
      </c>
      <c r="H36" s="6">
        <f>'Rate Class Energy Model'!M18</f>
        <v>9257879.8100000005</v>
      </c>
      <c r="I36" s="6">
        <f>'Rate Class Energy Model'!M19</f>
        <v>9321265.0700000003</v>
      </c>
      <c r="J36" s="6">
        <f>'Rate Class Energy Model'!M20</f>
        <v>6664704.5250500003</v>
      </c>
      <c r="K36" s="6">
        <f>'Rate Class Energy Model'!M61</f>
        <v>8980968.1943711117</v>
      </c>
      <c r="L36" s="6"/>
      <c r="N36" s="140"/>
      <c r="O36" s="139"/>
      <c r="P36" s="140"/>
      <c r="Q36" s="140"/>
      <c r="R36" s="140"/>
    </row>
    <row r="37" spans="1:19" x14ac:dyDescent="0.2">
      <c r="A37" t="s">
        <v>50</v>
      </c>
      <c r="B37" s="6">
        <f>'Rate Class Load Model'!E3</f>
        <v>22445.929999999993</v>
      </c>
      <c r="C37" s="6">
        <f>'Rate Class Load Model'!E4</f>
        <v>22768.45</v>
      </c>
      <c r="D37" s="6">
        <f>'Rate Class Load Model'!E5</f>
        <v>23321.570000000003</v>
      </c>
      <c r="E37" s="6">
        <f>'Rate Class Load Model'!E6</f>
        <v>23860.239999999994</v>
      </c>
      <c r="F37" s="6">
        <f>'Rate Class Load Model'!E7</f>
        <v>24506.899999999998</v>
      </c>
      <c r="G37" s="6">
        <f>'Rate Class Load Model'!E8</f>
        <v>25377.259999999995</v>
      </c>
      <c r="H37" s="6">
        <f>'Rate Class Load Model'!E9</f>
        <v>25810.41</v>
      </c>
      <c r="I37" s="6">
        <f>'Rate Class Load Model'!E10</f>
        <v>26051.770000000004</v>
      </c>
      <c r="J37" s="6">
        <f>'Rate Class Load Model'!E11</f>
        <v>18627.015550000004</v>
      </c>
      <c r="K37" s="6">
        <f>'Rate Class Load Model'!E12</f>
        <v>24870.1122593363</v>
      </c>
      <c r="L37" s="6"/>
      <c r="N37" s="140"/>
      <c r="O37" s="139"/>
      <c r="P37" s="140"/>
      <c r="Q37" s="140"/>
      <c r="R37" s="140"/>
    </row>
    <row r="38" spans="1:19" x14ac:dyDescent="0.2">
      <c r="L38" s="6"/>
      <c r="N38" s="148"/>
      <c r="O38" s="152"/>
      <c r="P38" s="148"/>
      <c r="Q38" s="148"/>
      <c r="R38" s="148"/>
      <c r="S38" s="91"/>
    </row>
    <row r="39" spans="1:19" x14ac:dyDescent="0.2">
      <c r="A39" s="33" t="str">
        <f>'Rate Class Energy Model'!N2</f>
        <v>Sentinel Lights</v>
      </c>
      <c r="N39" s="140"/>
      <c r="O39" s="149"/>
      <c r="P39" s="149"/>
      <c r="Q39" s="154"/>
      <c r="R39" s="154"/>
    </row>
    <row r="40" spans="1:19" x14ac:dyDescent="0.2">
      <c r="A40" t="s">
        <v>55</v>
      </c>
      <c r="B40" s="6">
        <f>'Rate Class Customer Model'!H5</f>
        <v>33.545454545454547</v>
      </c>
      <c r="C40" s="6">
        <f>'Rate Class Customer Model'!H6</f>
        <v>29.666666666666668</v>
      </c>
      <c r="D40" s="6">
        <f>'Rate Class Customer Model'!H7</f>
        <v>29.416666666666668</v>
      </c>
      <c r="E40" s="6">
        <f>'Rate Class Customer Model'!H8</f>
        <v>31</v>
      </c>
      <c r="F40" s="6">
        <f>'Rate Class Customer Model'!H9</f>
        <v>30.583333333333332</v>
      </c>
      <c r="G40" s="6">
        <f>'Rate Class Customer Model'!H10</f>
        <v>29</v>
      </c>
      <c r="H40" s="6">
        <f>'Rate Class Customer Model'!H11</f>
        <v>27.833333333333332</v>
      </c>
      <c r="I40" s="6">
        <f>'Rate Class Customer Model'!H12</f>
        <v>28.083333333333332</v>
      </c>
      <c r="J40" s="6">
        <f>'Rate Class Customer Model'!H13</f>
        <v>28.083333333333332</v>
      </c>
      <c r="K40" s="6">
        <f>'Rate Class Customer Model'!H14</f>
        <v>27.466323225128274</v>
      </c>
      <c r="L40" s="6"/>
      <c r="N40" s="141"/>
      <c r="O40" s="150"/>
      <c r="P40" s="151"/>
      <c r="Q40" s="151"/>
      <c r="R40" s="151"/>
      <c r="S40" s="127"/>
    </row>
    <row r="41" spans="1:19" x14ac:dyDescent="0.2">
      <c r="A41" t="s">
        <v>49</v>
      </c>
      <c r="B41" s="6">
        <f>'Rate Class Energy Model'!N12</f>
        <v>87563.544099999956</v>
      </c>
      <c r="C41" s="6">
        <f>'Rate Class Energy Model'!N13</f>
        <v>128972.43980000015</v>
      </c>
      <c r="D41" s="6">
        <f>'Rate Class Energy Model'!N14</f>
        <v>127139.95199999993</v>
      </c>
      <c r="E41" s="6">
        <f>'Rate Class Energy Model'!N15</f>
        <v>127893.70089999981</v>
      </c>
      <c r="F41" s="6">
        <f>'Rate Class Energy Model'!N16</f>
        <v>127132.6365999999</v>
      </c>
      <c r="G41" s="6">
        <f>'Rate Class Energy Model'!N17</f>
        <v>119940.49840000004</v>
      </c>
      <c r="H41" s="6">
        <f>'Rate Class Energy Model'!N18</f>
        <v>101462.60599999984</v>
      </c>
      <c r="I41" s="6">
        <f>'Rate Class Energy Model'!N19</f>
        <v>101501.5671</v>
      </c>
      <c r="J41" s="6">
        <f>'Rate Class Energy Model'!N20</f>
        <v>72573.6204765</v>
      </c>
      <c r="K41" s="6">
        <f>'Rate Class Energy Model'!N61</f>
        <v>99147.023262361021</v>
      </c>
      <c r="L41" s="6"/>
      <c r="N41" s="140"/>
      <c r="O41" s="150"/>
      <c r="P41" s="151"/>
      <c r="Q41" s="140"/>
      <c r="R41" s="151"/>
    </row>
    <row r="42" spans="1:19" x14ac:dyDescent="0.2">
      <c r="A42" t="s">
        <v>50</v>
      </c>
      <c r="B42" s="6">
        <f>'Rate Class Load Model'!F3</f>
        <v>275.5741000000001</v>
      </c>
      <c r="C42" s="6">
        <f>'Rate Class Load Model'!F4</f>
        <v>359.47550000000007</v>
      </c>
      <c r="D42" s="6">
        <f>'Rate Class Load Model'!F5</f>
        <v>439.47959999999944</v>
      </c>
      <c r="E42" s="6">
        <f>'Rate Class Load Model'!F6</f>
        <v>355.2281000000001</v>
      </c>
      <c r="F42" s="6">
        <f>'Rate Class Load Model'!F7</f>
        <v>345.69029999999992</v>
      </c>
      <c r="G42" s="6">
        <f>'Rate Class Load Model'!F8</f>
        <v>325.67619999999988</v>
      </c>
      <c r="H42" s="6">
        <f>'Rate Class Load Model'!F9</f>
        <v>280.50209999999998</v>
      </c>
      <c r="I42" s="6">
        <f>'Rate Class Load Model'!F10</f>
        <v>274.84120000000001</v>
      </c>
      <c r="J42" s="6">
        <f>'Rate Class Load Model'!F11</f>
        <v>196.511458</v>
      </c>
      <c r="K42" s="6">
        <f>'Rate Class Load Model'!F12</f>
        <v>284.03512104279747</v>
      </c>
      <c r="L42" s="6"/>
      <c r="N42" s="140"/>
      <c r="O42" s="150"/>
      <c r="P42" s="151"/>
      <c r="Q42" s="140"/>
      <c r="R42" s="151"/>
    </row>
    <row r="43" spans="1:19" x14ac:dyDescent="0.2">
      <c r="N43" s="140"/>
      <c r="O43" s="150"/>
      <c r="P43" s="151"/>
      <c r="Q43" s="140"/>
      <c r="R43" s="140"/>
    </row>
    <row r="44" spans="1:19" x14ac:dyDescent="0.2">
      <c r="A44" s="33" t="str">
        <f>'Rate Class Energy Model'!O2</f>
        <v xml:space="preserve">Unmetered Loads </v>
      </c>
      <c r="N44" s="148"/>
      <c r="O44" s="152"/>
      <c r="P44" s="148"/>
      <c r="Q44" s="140"/>
      <c r="R44" s="140"/>
    </row>
    <row r="45" spans="1:19" x14ac:dyDescent="0.2">
      <c r="A45" t="s">
        <v>55</v>
      </c>
      <c r="B45" s="6">
        <f>'Rate Class Customer Model'!I5</f>
        <v>568</v>
      </c>
      <c r="C45" s="6">
        <f>'Rate Class Customer Model'!I6</f>
        <v>588</v>
      </c>
      <c r="D45" s="6">
        <f>'Rate Class Customer Model'!I7</f>
        <v>602</v>
      </c>
      <c r="E45" s="6">
        <f>'Rate Class Customer Model'!I8</f>
        <v>595</v>
      </c>
      <c r="F45" s="6">
        <f>'Rate Class Customer Model'!I9</f>
        <v>581</v>
      </c>
      <c r="G45" s="6">
        <f>'Rate Class Customer Model'!I10</f>
        <v>579</v>
      </c>
      <c r="H45" s="6">
        <f>'Rate Class Customer Model'!I11</f>
        <v>580</v>
      </c>
      <c r="I45" s="6">
        <f>'Rate Class Customer Model'!I12</f>
        <v>582</v>
      </c>
      <c r="J45" s="6">
        <f>'Rate Class Customer Model'!I13</f>
        <v>585</v>
      </c>
      <c r="K45" s="6">
        <f>'Rate Class Customer Model'!I14</f>
        <v>587.16046720730958</v>
      </c>
      <c r="L45" s="6"/>
      <c r="M45" s="6"/>
      <c r="N45" s="140"/>
      <c r="O45" s="78"/>
      <c r="P45" s="78"/>
      <c r="Q45" s="140"/>
      <c r="R45" s="140"/>
    </row>
    <row r="46" spans="1:19" x14ac:dyDescent="0.2">
      <c r="A46" t="s">
        <v>49</v>
      </c>
      <c r="B46" s="6">
        <f>'Rate Class Energy Model'!O12</f>
        <v>2644793.3466000143</v>
      </c>
      <c r="C46" s="6">
        <f>'Rate Class Energy Model'!O13</f>
        <v>3263747.001599981</v>
      </c>
      <c r="D46" s="6">
        <f>'Rate Class Energy Model'!O14</f>
        <v>3208224.5379999974</v>
      </c>
      <c r="E46" s="6">
        <f>'Rate Class Energy Model'!O15</f>
        <v>3139225.5555999791</v>
      </c>
      <c r="F46" s="6">
        <f>'Rate Class Energy Model'!O16</f>
        <v>2343826.7229000111</v>
      </c>
      <c r="G46" s="6">
        <f>'Rate Class Energy Model'!O17</f>
        <v>2468257.6877000048</v>
      </c>
      <c r="H46" s="6">
        <f>'Rate Class Energy Model'!O18</f>
        <v>2432269.6645000074</v>
      </c>
      <c r="I46" s="6">
        <f>'Rate Class Energy Model'!O19</f>
        <v>2424417.9797000005</v>
      </c>
      <c r="J46" s="6">
        <f>'Rate Class Energy Model'!O20</f>
        <v>1733458.8554855003</v>
      </c>
      <c r="K46" s="6">
        <f>'Rate Class Energy Model'!O61</f>
        <v>2311562.2947887261</v>
      </c>
      <c r="L46" s="6"/>
      <c r="N46" s="141"/>
      <c r="O46" s="139"/>
      <c r="P46" s="141"/>
      <c r="Q46" s="148"/>
      <c r="R46" s="148"/>
    </row>
    <row r="47" spans="1:19" x14ac:dyDescent="0.2">
      <c r="N47" s="140"/>
      <c r="O47" s="153"/>
      <c r="P47" s="141"/>
      <c r="Q47" s="149"/>
      <c r="R47" s="149"/>
    </row>
    <row r="48" spans="1:19" x14ac:dyDescent="0.2">
      <c r="A48" s="33" t="s">
        <v>9</v>
      </c>
      <c r="N48" s="140"/>
      <c r="O48" s="153"/>
      <c r="P48" s="141"/>
      <c r="Q48" s="140"/>
      <c r="R48" s="151"/>
    </row>
    <row r="49" spans="1:18" x14ac:dyDescent="0.2">
      <c r="A49" t="s">
        <v>57</v>
      </c>
      <c r="B49" s="6">
        <f>B12+B16+B20+B25+B35+B30+B40+B45</f>
        <v>51883.21212121212</v>
      </c>
      <c r="C49" s="6">
        <f t="shared" ref="C49:K49" si="1">C12+C16+C20+C25+C35+C30+C40+C45</f>
        <v>53308.5</v>
      </c>
      <c r="D49" s="6">
        <f t="shared" si="1"/>
        <v>55138.583333333336</v>
      </c>
      <c r="E49" s="6">
        <f t="shared" si="1"/>
        <v>57118.333333333328</v>
      </c>
      <c r="F49" s="6">
        <f t="shared" si="1"/>
        <v>58513.333333333336</v>
      </c>
      <c r="G49" s="6">
        <f t="shared" si="1"/>
        <v>60009.833333333336</v>
      </c>
      <c r="H49" s="6">
        <f t="shared" si="1"/>
        <v>61300.583333333343</v>
      </c>
      <c r="I49" s="6">
        <f t="shared" si="1"/>
        <v>62259.833333333336</v>
      </c>
      <c r="J49" s="6">
        <f t="shared" si="1"/>
        <v>62283.833333333336</v>
      </c>
      <c r="K49" s="6">
        <f t="shared" si="1"/>
        <v>63725.231747734273</v>
      </c>
      <c r="L49" s="6"/>
      <c r="N49" s="140"/>
      <c r="O49" s="153"/>
      <c r="P49" s="141"/>
      <c r="Q49" s="151"/>
      <c r="R49" s="151"/>
    </row>
    <row r="50" spans="1:18" x14ac:dyDescent="0.2">
      <c r="A50" t="s">
        <v>49</v>
      </c>
      <c r="B50" s="6">
        <f>B13+B17+B21+B26+B31+B36+B41+B46</f>
        <v>1429964026.4390182</v>
      </c>
      <c r="C50" s="6">
        <f>C13+C17+C21+C26+C31+C36+C41+C46</f>
        <v>1485066532.433605</v>
      </c>
      <c r="D50" s="6">
        <f>D13+D17+D21+D26+D31+D36+D41+D46</f>
        <v>1556406606.3514192</v>
      </c>
      <c r="E50" s="6">
        <f t="shared" ref="E50:K50" si="2">E13+E17+E21+E26+E31+E36+E41+E46</f>
        <v>1619044518.0224638</v>
      </c>
      <c r="F50" s="6">
        <f t="shared" si="2"/>
        <v>1609929222.885083</v>
      </c>
      <c r="G50" s="6">
        <f t="shared" si="2"/>
        <v>1609674692.7480927</v>
      </c>
      <c r="H50" s="6">
        <f t="shared" si="2"/>
        <v>1574447831.9159546</v>
      </c>
      <c r="I50" s="6">
        <f t="shared" si="2"/>
        <v>1485530567.0518968</v>
      </c>
      <c r="J50" s="6">
        <f t="shared" si="2"/>
        <v>1062154355.4421062</v>
      </c>
      <c r="K50" s="6">
        <f t="shared" si="2"/>
        <v>1596124706.9895363</v>
      </c>
      <c r="L50" s="6"/>
      <c r="N50" s="43"/>
      <c r="O50" s="115"/>
      <c r="P50" s="81"/>
      <c r="Q50" s="82"/>
      <c r="R50" s="82"/>
    </row>
    <row r="51" spans="1:18" x14ac:dyDescent="0.2">
      <c r="A51" t="s">
        <v>56</v>
      </c>
      <c r="B51" s="6">
        <f>B22+B27+B32+B37+B42</f>
        <v>2134853.3286000001</v>
      </c>
      <c r="C51" s="6">
        <f>C22+C27+C32+C37+C42</f>
        <v>2335706.8396000015</v>
      </c>
      <c r="D51" s="6">
        <f t="shared" ref="D51:K51" si="3">D22+D27+D32+D37+D42</f>
        <v>2443299.3601999981</v>
      </c>
      <c r="E51" s="6">
        <f t="shared" si="3"/>
        <v>2514114.3105999972</v>
      </c>
      <c r="F51" s="6">
        <f t="shared" si="3"/>
        <v>2491607.136899997</v>
      </c>
      <c r="G51" s="6">
        <f t="shared" si="3"/>
        <v>2481264.8054999993</v>
      </c>
      <c r="H51" s="6">
        <f t="shared" si="3"/>
        <v>2442129.6944000041</v>
      </c>
      <c r="I51" s="6">
        <f t="shared" si="3"/>
        <v>2360056.5375000001</v>
      </c>
      <c r="J51" s="6">
        <f t="shared" si="3"/>
        <v>1687440.4243124998</v>
      </c>
      <c r="K51" s="6">
        <f t="shared" si="3"/>
        <v>2320293.9754868206</v>
      </c>
      <c r="L51" s="6"/>
      <c r="N51" s="43"/>
      <c r="O51" s="115"/>
      <c r="P51" s="81"/>
    </row>
    <row r="52" spans="1:18" x14ac:dyDescent="0.2">
      <c r="B52" s="6"/>
      <c r="C52" s="6"/>
      <c r="D52" s="6"/>
      <c r="E52" s="6"/>
      <c r="F52" s="6"/>
      <c r="G52" s="6"/>
      <c r="H52" s="6"/>
      <c r="J52" s="6"/>
      <c r="K52" s="6"/>
    </row>
    <row r="53" spans="1:18" x14ac:dyDescent="0.2">
      <c r="B53" s="6">
        <f>'Rate Class Customer Model'!J5</f>
        <v>51883.21212121212</v>
      </c>
      <c r="C53" s="6">
        <f>'Rate Class Customer Model'!J6</f>
        <v>53308.5</v>
      </c>
      <c r="D53" s="6">
        <f>'Rate Class Customer Model'!J7</f>
        <v>55138.583333333336</v>
      </c>
      <c r="E53" s="6">
        <f>'Rate Class Customer Model'!J8</f>
        <v>57118.333333333328</v>
      </c>
      <c r="F53" s="6">
        <f>'Rate Class Customer Model'!J9</f>
        <v>58513.333333333336</v>
      </c>
      <c r="G53" s="6">
        <f>'Rate Class Customer Model'!J10</f>
        <v>60009.833333333336</v>
      </c>
      <c r="H53" s="6">
        <f>'Rate Class Customer Model'!J11</f>
        <v>61300.583333333343</v>
      </c>
      <c r="I53" s="6">
        <f>'Rate Class Customer Model'!J12</f>
        <v>62259.833333333336</v>
      </c>
      <c r="J53" s="6">
        <f>'Rate Class Customer Model'!J13</f>
        <v>62283.833333333336</v>
      </c>
      <c r="K53" s="6">
        <f>'Rate Class Customer Model'!J14</f>
        <v>63725.231747734273</v>
      </c>
      <c r="L53" s="6"/>
    </row>
    <row r="54" spans="1:18" x14ac:dyDescent="0.2">
      <c r="B54" s="6">
        <f>'Rate Class Energy Model'!G12</f>
        <v>1429964026.4390182</v>
      </c>
      <c r="C54" s="6">
        <f>'Rate Class Energy Model'!G13</f>
        <v>1485066532.433605</v>
      </c>
      <c r="D54" s="6">
        <f>'Rate Class Energy Model'!G14</f>
        <v>1556406606.3514192</v>
      </c>
      <c r="E54" s="6">
        <f>'Rate Class Energy Model'!G15</f>
        <v>1619044518.0224638</v>
      </c>
      <c r="F54" s="6">
        <f>'Rate Class Energy Model'!G16</f>
        <v>1609929222.885083</v>
      </c>
      <c r="G54" s="6">
        <f>'Rate Class Energy Model'!G17</f>
        <v>1609674692.7480927</v>
      </c>
      <c r="H54" s="6">
        <f>'Rate Class Energy Model'!G18</f>
        <v>1574447831.9159546</v>
      </c>
      <c r="I54" s="6">
        <f>'Rate Class Energy Model'!G19</f>
        <v>1485530567.0518968</v>
      </c>
      <c r="J54" s="6">
        <f>'Rate Class Energy Model'!G20</f>
        <v>1062154355.4421062</v>
      </c>
      <c r="K54" s="6">
        <f>'Rate Class Energy Model'!G21</f>
        <v>1596124706.9895363</v>
      </c>
      <c r="L54" s="6"/>
      <c r="N54" s="48"/>
    </row>
    <row r="55" spans="1:18" x14ac:dyDescent="0.2">
      <c r="B55" s="6">
        <f>'Rate Class Load Model'!G3</f>
        <v>2134853.3286000001</v>
      </c>
      <c r="C55" s="6">
        <f>'Rate Class Load Model'!G4</f>
        <v>2335706.8396000015</v>
      </c>
      <c r="D55" s="6">
        <f>'Rate Class Load Model'!G5</f>
        <v>2443299.3601999981</v>
      </c>
      <c r="E55" s="6">
        <f>'Rate Class Load Model'!G6</f>
        <v>2514114.3105999972</v>
      </c>
      <c r="F55" s="6">
        <f>'Rate Class Load Model'!G7</f>
        <v>2491607.136899997</v>
      </c>
      <c r="G55" s="6">
        <f>'Rate Class Load Model'!G8</f>
        <v>2481264.8054999993</v>
      </c>
      <c r="H55" s="6">
        <f>'Rate Class Load Model'!G9</f>
        <v>2442129.6944000041</v>
      </c>
      <c r="I55" s="6">
        <f>'Rate Class Load Model'!G10</f>
        <v>2360056.5375000001</v>
      </c>
      <c r="J55" s="6">
        <f>'Rate Class Load Model'!G11</f>
        <v>1687440.4243124998</v>
      </c>
      <c r="K55" s="6">
        <f>'Rate Class Load Model'!G12</f>
        <v>2320293.9754868206</v>
      </c>
      <c r="L55" s="6"/>
    </row>
    <row r="57" spans="1:18" x14ac:dyDescent="0.2">
      <c r="B57" s="6">
        <f>B49-B53</f>
        <v>0</v>
      </c>
      <c r="C57" s="6">
        <f t="shared" ref="C57:K57" si="4">C49-C53</f>
        <v>0</v>
      </c>
      <c r="D57" s="6">
        <f t="shared" si="4"/>
        <v>0</v>
      </c>
      <c r="E57" s="6">
        <f t="shared" si="4"/>
        <v>0</v>
      </c>
      <c r="F57" s="6">
        <f t="shared" si="4"/>
        <v>0</v>
      </c>
      <c r="G57" s="6">
        <f t="shared" si="4"/>
        <v>0</v>
      </c>
      <c r="H57" s="6">
        <f t="shared" si="4"/>
        <v>0</v>
      </c>
      <c r="I57" s="6">
        <f t="shared" si="4"/>
        <v>0</v>
      </c>
      <c r="J57" s="6">
        <f t="shared" si="4"/>
        <v>0</v>
      </c>
      <c r="K57" s="6">
        <f t="shared" si="4"/>
        <v>0</v>
      </c>
      <c r="L57" s="6"/>
    </row>
    <row r="58" spans="1:18" x14ac:dyDescent="0.2">
      <c r="B58" s="6">
        <f t="shared" ref="B58:K59" si="5">B50-B54</f>
        <v>0</v>
      </c>
      <c r="C58" s="6">
        <f t="shared" si="5"/>
        <v>0</v>
      </c>
      <c r="D58" s="6">
        <f t="shared" si="5"/>
        <v>0</v>
      </c>
      <c r="E58" s="6">
        <f t="shared" si="5"/>
        <v>0</v>
      </c>
      <c r="F58" s="6">
        <f t="shared" si="5"/>
        <v>0</v>
      </c>
      <c r="G58" s="6">
        <f t="shared" si="5"/>
        <v>0</v>
      </c>
      <c r="H58" s="6">
        <f t="shared" si="5"/>
        <v>0</v>
      </c>
      <c r="I58" s="6">
        <f t="shared" si="5"/>
        <v>0</v>
      </c>
      <c r="J58" s="6">
        <f t="shared" si="5"/>
        <v>0</v>
      </c>
      <c r="K58" s="6">
        <f t="shared" si="5"/>
        <v>0</v>
      </c>
      <c r="L58" s="6"/>
    </row>
    <row r="59" spans="1:18" x14ac:dyDescent="0.2">
      <c r="B59" s="6">
        <f t="shared" si="5"/>
        <v>0</v>
      </c>
      <c r="C59" s="6">
        <f t="shared" si="5"/>
        <v>0</v>
      </c>
      <c r="D59" s="6">
        <f t="shared" si="5"/>
        <v>0</v>
      </c>
      <c r="E59" s="6">
        <f t="shared" si="5"/>
        <v>0</v>
      </c>
      <c r="F59" s="6">
        <f t="shared" si="5"/>
        <v>0</v>
      </c>
      <c r="G59" s="6">
        <f t="shared" si="5"/>
        <v>0</v>
      </c>
      <c r="H59" s="6">
        <f t="shared" si="5"/>
        <v>0</v>
      </c>
      <c r="I59" s="6">
        <f t="shared" si="5"/>
        <v>0</v>
      </c>
      <c r="J59" s="6">
        <f t="shared" si="5"/>
        <v>0</v>
      </c>
      <c r="K59" s="6">
        <f t="shared" si="5"/>
        <v>0</v>
      </c>
      <c r="L59" s="6"/>
    </row>
    <row r="60" spans="1:18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8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8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8" x14ac:dyDescent="0.2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6" spans="6:27" ht="25.5" x14ac:dyDescent="0.2">
      <c r="F66" s="117"/>
      <c r="G66" s="220" t="s">
        <v>93</v>
      </c>
      <c r="H66" s="85">
        <v>2008</v>
      </c>
      <c r="I66" s="85">
        <f>I3</f>
        <v>2009</v>
      </c>
      <c r="J66" s="85">
        <f>J3</f>
        <v>2010</v>
      </c>
      <c r="K66" s="85" t="str">
        <f>K3</f>
        <v>2011 Weather Normal</v>
      </c>
      <c r="L66" s="85"/>
    </row>
    <row r="67" spans="6:27" ht="25.5" x14ac:dyDescent="0.2">
      <c r="F67" s="117" t="str">
        <f>A4</f>
        <v>Actual kWh Purchases</v>
      </c>
      <c r="G67" s="86"/>
      <c r="H67" s="17">
        <f>+H4</f>
        <v>1594089337.5</v>
      </c>
      <c r="I67" s="17">
        <f t="shared" ref="I67:J69" si="6">I4</f>
        <v>1504188795.0899999</v>
      </c>
      <c r="J67" s="17">
        <f t="shared" si="6"/>
        <v>1100104886</v>
      </c>
      <c r="K67" s="17"/>
      <c r="L67" s="17"/>
    </row>
    <row r="68" spans="6:27" ht="25.5" x14ac:dyDescent="0.2">
      <c r="F68" s="117" t="str">
        <f>A5</f>
        <v>Predicted kWh Purchases</v>
      </c>
      <c r="G68" s="86"/>
      <c r="H68" s="17">
        <f>+H5</f>
        <v>1602609386.8361435</v>
      </c>
      <c r="I68" s="17">
        <f t="shared" si="6"/>
        <v>1528173234.2898254</v>
      </c>
      <c r="J68" s="17">
        <f t="shared" si="6"/>
        <v>1604906611.1064072</v>
      </c>
      <c r="K68" s="17">
        <f>K5</f>
        <v>1660608145.1519136</v>
      </c>
      <c r="L68" s="17"/>
    </row>
    <row r="69" spans="6:27" x14ac:dyDescent="0.2">
      <c r="F69" s="117" t="str">
        <f>A6</f>
        <v>% Difference</v>
      </c>
      <c r="G69" s="86"/>
      <c r="H69" s="93">
        <f>H6</f>
        <v>5.344775311969298E-3</v>
      </c>
      <c r="I69" s="93">
        <f t="shared" si="6"/>
        <v>1.594509896504745E-2</v>
      </c>
      <c r="J69" s="93">
        <f t="shared" si="6"/>
        <v>0.45886690581102207</v>
      </c>
      <c r="K69" s="93">
        <f>K6</f>
        <v>0</v>
      </c>
      <c r="L69" s="93"/>
    </row>
    <row r="70" spans="6:27" ht="36" customHeight="1" x14ac:dyDescent="0.25">
      <c r="F70" s="117"/>
      <c r="G70" s="86"/>
      <c r="H70" s="17"/>
      <c r="I70" s="17"/>
      <c r="J70" s="17"/>
      <c r="K70" s="17"/>
      <c r="L70" s="17"/>
      <c r="N70" s="273" t="s">
        <v>94</v>
      </c>
      <c r="O70" s="273"/>
      <c r="P70" s="273"/>
      <c r="Q70" s="273"/>
      <c r="R70" s="273"/>
      <c r="S70" s="273"/>
      <c r="U70" s="262"/>
      <c r="V70" s="263"/>
      <c r="W70" s="263"/>
      <c r="X70" s="263"/>
      <c r="Y70" s="263"/>
      <c r="Z70" s="263"/>
      <c r="AA70" s="263"/>
    </row>
    <row r="71" spans="6:27" ht="51" x14ac:dyDescent="0.2">
      <c r="F71" s="117" t="str">
        <f>A8</f>
        <v>Billed kWh</v>
      </c>
      <c r="G71" s="86"/>
      <c r="H71" s="17">
        <f>H8</f>
        <v>1574447831.9159546</v>
      </c>
      <c r="I71" s="17">
        <f>I8</f>
        <v>1485530567.0518968</v>
      </c>
      <c r="J71" s="17">
        <f>J8</f>
        <v>1062154355.4421062</v>
      </c>
      <c r="K71" s="17">
        <f>K8</f>
        <v>1596124706.9895363</v>
      </c>
      <c r="L71" s="17"/>
      <c r="N71" s="85"/>
      <c r="O71" s="114" t="str">
        <f>G66</f>
        <v>2008 Board  Approved</v>
      </c>
      <c r="P71" s="221" t="s">
        <v>110</v>
      </c>
      <c r="Q71" s="221" t="s">
        <v>111</v>
      </c>
      <c r="R71" s="221" t="s">
        <v>112</v>
      </c>
      <c r="S71" s="221" t="s">
        <v>113</v>
      </c>
      <c r="U71" s="155"/>
      <c r="V71" s="156"/>
      <c r="W71" s="155"/>
      <c r="X71" s="155"/>
      <c r="Y71" s="155"/>
      <c r="Z71" s="155"/>
      <c r="AA71" s="155"/>
    </row>
    <row r="72" spans="6:27" x14ac:dyDescent="0.2">
      <c r="F72" s="121" t="str">
        <f>A10</f>
        <v>By Class</v>
      </c>
      <c r="G72" s="86"/>
      <c r="H72" s="17"/>
      <c r="I72" s="17"/>
      <c r="J72" s="17"/>
      <c r="K72" s="17"/>
      <c r="L72" s="17"/>
      <c r="N72" s="121" t="str">
        <f>F72</f>
        <v>By Class</v>
      </c>
      <c r="O72" s="116"/>
      <c r="P72" s="42"/>
      <c r="Q72" s="42"/>
      <c r="R72" s="42"/>
      <c r="S72" s="42"/>
      <c r="U72" s="159"/>
      <c r="V72" s="158"/>
      <c r="W72" s="140"/>
      <c r="X72" s="140"/>
      <c r="Y72" s="140"/>
      <c r="Z72" s="140"/>
      <c r="AA72" s="140"/>
    </row>
    <row r="73" spans="6:27" x14ac:dyDescent="0.2">
      <c r="F73" s="119" t="str">
        <f>A11</f>
        <v xml:space="preserve">Residential </v>
      </c>
      <c r="G73" s="126"/>
      <c r="H73" s="94"/>
      <c r="I73" s="94"/>
      <c r="J73" s="94"/>
      <c r="K73" s="94"/>
      <c r="L73" s="94"/>
      <c r="N73" s="119" t="str">
        <f>F73</f>
        <v xml:space="preserve">Residential </v>
      </c>
      <c r="O73" s="120"/>
      <c r="P73" s="122"/>
      <c r="Q73" s="122"/>
      <c r="R73" s="122"/>
      <c r="S73" s="122"/>
      <c r="U73" s="157"/>
      <c r="V73" s="158"/>
      <c r="W73" s="140"/>
      <c r="X73" s="140"/>
      <c r="Y73" s="140"/>
      <c r="Z73" s="140"/>
      <c r="AA73" s="140"/>
    </row>
    <row r="74" spans="6:27" x14ac:dyDescent="0.2">
      <c r="F74" s="117" t="str">
        <f>A12</f>
        <v xml:space="preserve">  Customers</v>
      </c>
      <c r="G74" s="86">
        <v>44220</v>
      </c>
      <c r="H74" s="17">
        <f t="shared" ref="H74:K75" si="7">H12</f>
        <v>43746.916666666672</v>
      </c>
      <c r="I74" s="17">
        <f t="shared" si="7"/>
        <v>44583.5</v>
      </c>
      <c r="J74" s="17">
        <f t="shared" si="7"/>
        <v>44583.5</v>
      </c>
      <c r="K74" s="17">
        <f t="shared" si="7"/>
        <v>45658.397280858473</v>
      </c>
      <c r="L74" s="17"/>
      <c r="N74" s="117" t="str">
        <f>F74</f>
        <v xml:space="preserve">  Customers</v>
      </c>
      <c r="O74" s="116">
        <f>G74</f>
        <v>44220</v>
      </c>
      <c r="P74" s="79">
        <f>H74/G74-1</f>
        <v>-1.0698401929745138E-2</v>
      </c>
      <c r="Q74" s="79">
        <f>I74/G74-1</f>
        <v>8.2202623247400464E-3</v>
      </c>
      <c r="R74" s="79">
        <f>J74/G74-1</f>
        <v>8.2202623247400464E-3</v>
      </c>
      <c r="S74" s="79">
        <f>K74/G74-1</f>
        <v>3.2528206260933334E-2</v>
      </c>
      <c r="U74" s="157"/>
      <c r="V74" s="158"/>
      <c r="W74" s="141"/>
      <c r="X74" s="141"/>
      <c r="Y74" s="141"/>
      <c r="Z74" s="141"/>
      <c r="AA74" s="141"/>
    </row>
    <row r="75" spans="6:27" x14ac:dyDescent="0.2">
      <c r="F75" s="117" t="str">
        <f>A13</f>
        <v xml:space="preserve">  kWh</v>
      </c>
      <c r="G75" s="86">
        <v>357871626</v>
      </c>
      <c r="H75" s="17">
        <f t="shared" si="7"/>
        <v>356875114.38189942</v>
      </c>
      <c r="I75" s="17">
        <f t="shared" si="7"/>
        <v>352708668.56829965</v>
      </c>
      <c r="J75" s="17">
        <f t="shared" si="7"/>
        <v>252186698.02633423</v>
      </c>
      <c r="K75" s="17">
        <f t="shared" si="7"/>
        <v>415279852.25739372</v>
      </c>
      <c r="L75" s="17"/>
      <c r="N75" s="117" t="str">
        <f>F75</f>
        <v xml:space="preserve">  kWh</v>
      </c>
      <c r="O75" s="116">
        <f>G75</f>
        <v>357871626</v>
      </c>
      <c r="P75" s="79">
        <f>H75/G75-1</f>
        <v>-2.7845505083451405E-3</v>
      </c>
      <c r="Q75" s="79">
        <f>I75/G75-1</f>
        <v>-1.4426842075768165E-2</v>
      </c>
      <c r="R75" s="79">
        <f>J75/G75-1</f>
        <v>-0.29531519208417423</v>
      </c>
      <c r="S75" s="79">
        <f>K75/G75-1</f>
        <v>0.16041569682138968</v>
      </c>
      <c r="U75" s="157"/>
      <c r="V75" s="158"/>
      <c r="W75" s="141"/>
      <c r="X75" s="141"/>
      <c r="Y75" s="141"/>
      <c r="Z75" s="141"/>
      <c r="AA75" s="141"/>
    </row>
    <row r="76" spans="6:27" x14ac:dyDescent="0.2">
      <c r="F76" s="117"/>
      <c r="G76" s="86"/>
      <c r="H76" s="17"/>
      <c r="I76" s="17"/>
      <c r="J76" s="17"/>
      <c r="K76" s="17"/>
      <c r="L76" s="17"/>
      <c r="N76" s="117"/>
      <c r="O76" s="116"/>
      <c r="P76" s="79"/>
      <c r="Q76" s="79"/>
      <c r="R76" s="79"/>
      <c r="S76" s="79"/>
      <c r="U76" s="157"/>
      <c r="V76" s="158"/>
      <c r="W76" s="141"/>
      <c r="X76" s="141"/>
      <c r="Y76" s="141"/>
      <c r="Z76" s="141"/>
      <c r="AA76" s="141"/>
    </row>
    <row r="77" spans="6:27" ht="12.75" customHeight="1" x14ac:dyDescent="0.2">
      <c r="F77" s="264" t="str">
        <f>A15</f>
        <v>General Service &lt; 50 kW</v>
      </c>
      <c r="G77" s="265"/>
      <c r="H77" s="266"/>
      <c r="I77" s="94"/>
      <c r="J77" s="94"/>
      <c r="K77" s="94"/>
      <c r="L77" s="94"/>
      <c r="N77" s="228" t="str">
        <f>F77</f>
        <v>General Service &lt; 50 kW</v>
      </c>
      <c r="O77" s="229"/>
      <c r="P77" s="123"/>
      <c r="Q77" s="123"/>
      <c r="R77" s="123"/>
      <c r="S77" s="123"/>
      <c r="U77" s="257"/>
      <c r="V77" s="258"/>
      <c r="W77" s="141"/>
      <c r="X77" s="141"/>
      <c r="Y77" s="141"/>
      <c r="Z77" s="141"/>
      <c r="AA77" s="141"/>
    </row>
    <row r="78" spans="6:27" x14ac:dyDescent="0.2">
      <c r="F78" s="117" t="str">
        <f>A16</f>
        <v xml:space="preserve">  Customers</v>
      </c>
      <c r="G78" s="86">
        <v>3612</v>
      </c>
      <c r="H78" s="17">
        <f t="shared" ref="H78:K79" si="8">H16</f>
        <v>3580.8333333333335</v>
      </c>
      <c r="I78" s="17">
        <f t="shared" si="8"/>
        <v>3623.75</v>
      </c>
      <c r="J78" s="17">
        <f t="shared" si="8"/>
        <v>3623.75</v>
      </c>
      <c r="K78" s="17">
        <f t="shared" si="8"/>
        <v>3678.6916824129726</v>
      </c>
      <c r="L78" s="17"/>
      <c r="N78" s="117" t="str">
        <f>F78</f>
        <v xml:space="preserve">  Customers</v>
      </c>
      <c r="O78" s="116">
        <f>G78</f>
        <v>3612</v>
      </c>
      <c r="P78" s="79">
        <f t="shared" ref="P78:P79" si="9">H78/G78-1</f>
        <v>-8.6286452565521587E-3</v>
      </c>
      <c r="Q78" s="79">
        <f>I78/G78-1</f>
        <v>3.2530454042081214E-3</v>
      </c>
      <c r="R78" s="79">
        <f>J78/G78-1</f>
        <v>3.2530454042081214E-3</v>
      </c>
      <c r="S78" s="79">
        <f>K78/G78-1</f>
        <v>1.8463920933823985E-2</v>
      </c>
      <c r="U78" s="157"/>
      <c r="V78" s="158"/>
      <c r="W78" s="141"/>
      <c r="X78" s="141"/>
      <c r="Y78" s="141"/>
      <c r="Z78" s="141"/>
      <c r="AA78" s="141"/>
    </row>
    <row r="79" spans="6:27" x14ac:dyDescent="0.2">
      <c r="F79" s="117" t="str">
        <f>A17</f>
        <v xml:space="preserve">  kWh</v>
      </c>
      <c r="G79" s="86">
        <v>146156347</v>
      </c>
      <c r="H79" s="17">
        <f t="shared" si="8"/>
        <v>146877567.74829936</v>
      </c>
      <c r="I79" s="17">
        <f t="shared" si="8"/>
        <v>141492397.61990008</v>
      </c>
      <c r="J79" s="17">
        <f t="shared" si="8"/>
        <v>101167064.29822855</v>
      </c>
      <c r="K79" s="17">
        <f t="shared" si="8"/>
        <v>163627235.83475944</v>
      </c>
      <c r="L79" s="17"/>
      <c r="N79" s="117" t="str">
        <f>F79</f>
        <v xml:space="preserve">  kWh</v>
      </c>
      <c r="O79" s="124">
        <f>G79</f>
        <v>146156347</v>
      </c>
      <c r="P79" s="79">
        <f t="shared" si="9"/>
        <v>4.9345838419139199E-3</v>
      </c>
      <c r="Q79" s="79">
        <f>I79/G79-1</f>
        <v>-3.1910686575246205E-2</v>
      </c>
      <c r="R79" s="79">
        <f>J79/G79-1</f>
        <v>-0.30781614090130105</v>
      </c>
      <c r="S79" s="79">
        <f>K79/G79-1</f>
        <v>0.11953561506815324</v>
      </c>
      <c r="U79" s="157"/>
      <c r="V79" s="158"/>
      <c r="W79" s="141"/>
      <c r="X79" s="141"/>
      <c r="Y79" s="141"/>
      <c r="Z79" s="141"/>
      <c r="AA79" s="141"/>
    </row>
    <row r="80" spans="6:27" x14ac:dyDescent="0.2">
      <c r="F80" s="117"/>
      <c r="G80" s="86"/>
      <c r="H80" s="17"/>
      <c r="I80" s="17"/>
      <c r="J80" s="17"/>
      <c r="K80" s="17"/>
      <c r="L80" s="17"/>
      <c r="N80" s="117"/>
      <c r="O80" s="124"/>
      <c r="P80" s="125"/>
      <c r="Q80" s="125"/>
      <c r="R80" s="125"/>
      <c r="S80" s="125"/>
      <c r="U80" s="157"/>
      <c r="V80" s="158"/>
      <c r="W80" s="141"/>
      <c r="X80" s="141"/>
      <c r="Y80" s="141"/>
      <c r="Z80" s="141"/>
      <c r="AA80" s="141"/>
    </row>
    <row r="81" spans="6:27" ht="12.75" customHeight="1" x14ac:dyDescent="0.2">
      <c r="F81" s="264" t="str">
        <f>A19</f>
        <v>General Service &gt; 50 to 999 kW</v>
      </c>
      <c r="G81" s="265"/>
      <c r="H81" s="266"/>
      <c r="I81" s="94"/>
      <c r="J81" s="94"/>
      <c r="K81" s="94"/>
      <c r="L81" s="94"/>
      <c r="N81" s="270" t="str">
        <f>F81</f>
        <v>General Service &gt; 50 to 999 kW</v>
      </c>
      <c r="O81" s="271"/>
      <c r="P81" s="123"/>
      <c r="Q81" s="123"/>
      <c r="R81" s="123"/>
      <c r="S81" s="123"/>
      <c r="U81" s="257"/>
      <c r="V81" s="258"/>
      <c r="W81" s="141"/>
      <c r="X81" s="141"/>
      <c r="Y81" s="141"/>
      <c r="Z81" s="141"/>
      <c r="AA81" s="141"/>
    </row>
    <row r="82" spans="6:27" x14ac:dyDescent="0.2">
      <c r="F82" s="117" t="str">
        <f>A20</f>
        <v xml:space="preserve">  Customers</v>
      </c>
      <c r="G82" s="86">
        <v>515</v>
      </c>
      <c r="H82" s="17">
        <f t="shared" ref="H82:K84" si="10">H20</f>
        <v>539.08333333333337</v>
      </c>
      <c r="I82" s="17">
        <f t="shared" si="10"/>
        <v>537.5</v>
      </c>
      <c r="J82" s="17">
        <f t="shared" si="10"/>
        <v>537.5</v>
      </c>
      <c r="K82" s="17">
        <f t="shared" si="10"/>
        <v>550.26236906109159</v>
      </c>
      <c r="L82" s="17"/>
      <c r="N82" s="117" t="str">
        <f>F82</f>
        <v xml:space="preserve">  Customers</v>
      </c>
      <c r="O82" s="116">
        <f>G82</f>
        <v>515</v>
      </c>
      <c r="P82" s="79">
        <f t="shared" ref="P82:P84" si="11">H82/G82-1</f>
        <v>4.6763754045307415E-2</v>
      </c>
      <c r="Q82" s="79">
        <f>I82/G82-1</f>
        <v>4.3689320388349495E-2</v>
      </c>
      <c r="R82" s="79">
        <f>J82/G82-1</f>
        <v>4.3689320388349495E-2</v>
      </c>
      <c r="S82" s="79">
        <f>K82/G82-1</f>
        <v>6.847061953610023E-2</v>
      </c>
      <c r="U82" s="157"/>
      <c r="V82" s="158"/>
      <c r="W82" s="141"/>
      <c r="X82" s="141"/>
      <c r="Y82" s="141"/>
      <c r="Z82" s="141"/>
      <c r="AA82" s="141"/>
    </row>
    <row r="83" spans="6:27" x14ac:dyDescent="0.2">
      <c r="F83" s="117" t="str">
        <f>A21</f>
        <v xml:space="preserve">  kWh</v>
      </c>
      <c r="G83" s="86">
        <v>443687218</v>
      </c>
      <c r="H83" s="17">
        <f t="shared" si="10"/>
        <v>425057771.65110093</v>
      </c>
      <c r="I83" s="17">
        <f t="shared" si="10"/>
        <v>368795356.86309993</v>
      </c>
      <c r="J83" s="17">
        <f t="shared" si="10"/>
        <v>263688680.15711644</v>
      </c>
      <c r="K83" s="17">
        <f t="shared" si="10"/>
        <v>411591250.28186703</v>
      </c>
      <c r="L83" s="17"/>
      <c r="N83" s="117" t="str">
        <f>F83</f>
        <v xml:space="preserve">  kWh</v>
      </c>
      <c r="O83" s="116">
        <f>G83</f>
        <v>443687218</v>
      </c>
      <c r="P83" s="79">
        <f t="shared" si="11"/>
        <v>-4.1987791383476525E-2</v>
      </c>
      <c r="Q83" s="79">
        <f>I83/G83-1</f>
        <v>-0.16879427240317768</v>
      </c>
      <c r="R83" s="79">
        <f>J83/G83-1</f>
        <v>-0.40568790476827199</v>
      </c>
      <c r="S83" s="79">
        <f>K83/G83-1</f>
        <v>-7.2339175924001853E-2</v>
      </c>
      <c r="U83" s="157"/>
      <c r="V83" s="158"/>
      <c r="W83" s="141"/>
      <c r="X83" s="141"/>
      <c r="Y83" s="141"/>
      <c r="Z83" s="141"/>
      <c r="AA83" s="141"/>
    </row>
    <row r="84" spans="6:27" x14ac:dyDescent="0.2">
      <c r="F84" s="117" t="str">
        <f>A22</f>
        <v xml:space="preserve">  kW</v>
      </c>
      <c r="G84" s="86">
        <v>1023682</v>
      </c>
      <c r="H84" s="17">
        <f t="shared" si="10"/>
        <v>1096290.6696000022</v>
      </c>
      <c r="I84" s="17">
        <f t="shared" si="10"/>
        <v>1000754.316</v>
      </c>
      <c r="J84" s="17">
        <f t="shared" si="10"/>
        <v>715539.33594000002</v>
      </c>
      <c r="K84" s="17">
        <f t="shared" si="10"/>
        <v>1081790.5789162391</v>
      </c>
      <c r="L84" s="17"/>
      <c r="N84" s="117" t="str">
        <f>F84</f>
        <v xml:space="preserve">  kW</v>
      </c>
      <c r="O84" s="116">
        <f>G84</f>
        <v>1023682</v>
      </c>
      <c r="P84" s="79">
        <f t="shared" si="11"/>
        <v>7.0928930664017065E-2</v>
      </c>
      <c r="Q84" s="79">
        <f>I84/G84-1</f>
        <v>-2.2397271809018848E-2</v>
      </c>
      <c r="R84" s="79">
        <f>J84/G84-1</f>
        <v>-0.30101404934344844</v>
      </c>
      <c r="S84" s="79">
        <f>K84/G84-1</f>
        <v>5.6764287069850816E-2</v>
      </c>
      <c r="U84" s="157"/>
      <c r="V84" s="158"/>
      <c r="W84" s="141"/>
      <c r="X84" s="141"/>
      <c r="Y84" s="141"/>
      <c r="Z84" s="141"/>
      <c r="AA84" s="141"/>
    </row>
    <row r="85" spans="6:27" x14ac:dyDescent="0.2">
      <c r="F85" s="117"/>
      <c r="G85" s="86"/>
      <c r="H85" s="17"/>
      <c r="I85" s="17"/>
      <c r="J85" s="17"/>
      <c r="K85" s="17"/>
      <c r="L85" s="17"/>
      <c r="N85" s="117"/>
      <c r="O85" s="116"/>
      <c r="P85" s="79"/>
      <c r="Q85" s="79"/>
      <c r="R85" s="79"/>
      <c r="S85" s="79"/>
      <c r="U85" s="157"/>
      <c r="V85" s="158"/>
      <c r="W85" s="141"/>
      <c r="X85" s="141"/>
      <c r="Y85" s="141"/>
      <c r="Z85" s="141"/>
      <c r="AA85" s="141"/>
    </row>
    <row r="86" spans="6:27" ht="12.75" customHeight="1" x14ac:dyDescent="0.2">
      <c r="F86" s="259" t="s">
        <v>109</v>
      </c>
      <c r="G86" s="260"/>
      <c r="H86" s="261"/>
      <c r="I86" s="94"/>
      <c r="J86" s="94"/>
      <c r="K86" s="94"/>
      <c r="L86" s="94"/>
      <c r="N86" s="270" t="str">
        <f>F86</f>
        <v>General Service 1000 to 4999 kW</v>
      </c>
      <c r="O86" s="271"/>
      <c r="P86" s="123"/>
      <c r="Q86" s="123"/>
      <c r="R86" s="123"/>
      <c r="S86" s="123"/>
      <c r="U86" s="257"/>
      <c r="V86" s="268"/>
      <c r="W86" s="141"/>
      <c r="X86" s="141"/>
      <c r="Y86" s="141"/>
      <c r="Z86" s="141"/>
      <c r="AA86" s="141"/>
    </row>
    <row r="87" spans="6:27" x14ac:dyDescent="0.2">
      <c r="F87" s="117" t="str">
        <f>A25</f>
        <v xml:space="preserve">  Customers</v>
      </c>
      <c r="G87" s="86">
        <v>37</v>
      </c>
      <c r="H87" s="17">
        <f t="shared" ref="H87:K89" si="12">H25</f>
        <v>40.916666666666664</v>
      </c>
      <c r="I87" s="17">
        <f t="shared" si="12"/>
        <v>41</v>
      </c>
      <c r="J87" s="17">
        <f t="shared" si="12"/>
        <v>41</v>
      </c>
      <c r="K87" s="17">
        <f t="shared" si="12"/>
        <v>41.757152757278526</v>
      </c>
      <c r="L87" s="17"/>
      <c r="N87" s="117" t="str">
        <f>F87</f>
        <v xml:space="preserve">  Customers</v>
      </c>
      <c r="O87" s="116">
        <f>G87</f>
        <v>37</v>
      </c>
      <c r="P87" s="79">
        <f t="shared" ref="P87:P89" si="13">H87/G87-1</f>
        <v>0.10585585585585577</v>
      </c>
      <c r="Q87" s="79">
        <f>I87/G87-1</f>
        <v>0.10810810810810811</v>
      </c>
      <c r="R87" s="79">
        <f>J87/G87-1</f>
        <v>0.10810810810810811</v>
      </c>
      <c r="S87" s="79">
        <f>K87/G87-1</f>
        <v>0.12857169614266284</v>
      </c>
      <c r="U87" s="157"/>
      <c r="V87" s="158"/>
      <c r="W87" s="141"/>
      <c r="X87" s="141"/>
      <c r="Y87" s="141"/>
      <c r="Z87" s="141"/>
      <c r="AA87" s="141"/>
    </row>
    <row r="88" spans="6:27" x14ac:dyDescent="0.2">
      <c r="F88" s="117" t="str">
        <f>A26</f>
        <v xml:space="preserve">  kWh</v>
      </c>
      <c r="G88" s="86">
        <v>402368663</v>
      </c>
      <c r="H88" s="17">
        <f t="shared" si="12"/>
        <v>385445266.45684302</v>
      </c>
      <c r="I88" s="17">
        <f t="shared" si="12"/>
        <v>373502975.20099401</v>
      </c>
      <c r="J88" s="17">
        <f t="shared" si="12"/>
        <v>267054627.2687107</v>
      </c>
      <c r="K88" s="17">
        <f t="shared" si="12"/>
        <v>365660807.66153854</v>
      </c>
      <c r="L88" s="17"/>
      <c r="N88" s="117" t="str">
        <f>F88</f>
        <v xml:space="preserve">  kWh</v>
      </c>
      <c r="O88" s="116">
        <f>G88</f>
        <v>402368663</v>
      </c>
      <c r="P88" s="79">
        <f t="shared" si="13"/>
        <v>-4.2059429819854E-2</v>
      </c>
      <c r="Q88" s="79">
        <f>I88/G88-1</f>
        <v>-7.1739403321788964E-2</v>
      </c>
      <c r="R88" s="79">
        <f>J88/G88-1</f>
        <v>-0.33629367337507921</v>
      </c>
      <c r="S88" s="79">
        <f>K88/G88-1</f>
        <v>-9.1229409031939102E-2</v>
      </c>
      <c r="U88" s="157"/>
      <c r="V88" s="158"/>
      <c r="W88" s="141"/>
      <c r="X88" s="141"/>
      <c r="Y88" s="141"/>
      <c r="Z88" s="141"/>
      <c r="AA88" s="141"/>
    </row>
    <row r="89" spans="6:27" x14ac:dyDescent="0.2">
      <c r="F89" s="117" t="str">
        <f>A27</f>
        <v xml:space="preserve">  kW</v>
      </c>
      <c r="G89" s="86">
        <v>864467</v>
      </c>
      <c r="H89" s="17">
        <f t="shared" si="12"/>
        <v>869193.21660000109</v>
      </c>
      <c r="I89" s="17">
        <f t="shared" si="12"/>
        <v>893555.00979999977</v>
      </c>
      <c r="J89" s="17">
        <f t="shared" si="12"/>
        <v>638891.83200699976</v>
      </c>
      <c r="K89" s="17">
        <f t="shared" si="12"/>
        <v>802017.83254549874</v>
      </c>
      <c r="L89" s="17"/>
      <c r="N89" s="117" t="str">
        <f>F89</f>
        <v xml:space="preserve">  kW</v>
      </c>
      <c r="O89" s="116">
        <f>G89</f>
        <v>864467</v>
      </c>
      <c r="P89" s="79">
        <f t="shared" si="13"/>
        <v>5.4672030279943051E-3</v>
      </c>
      <c r="Q89" s="79">
        <f>I89/G89-1</f>
        <v>3.3648490688481747E-2</v>
      </c>
      <c r="R89" s="79">
        <f>J89/G89-1</f>
        <v>-0.2609413291577356</v>
      </c>
      <c r="S89" s="79">
        <f>K89/G89-1</f>
        <v>-7.2240082564749453E-2</v>
      </c>
      <c r="U89" s="157"/>
      <c r="V89" s="158"/>
      <c r="W89" s="141"/>
      <c r="X89" s="141"/>
      <c r="Y89" s="141"/>
      <c r="Z89" s="141"/>
      <c r="AA89" s="141"/>
    </row>
    <row r="90" spans="6:27" x14ac:dyDescent="0.2">
      <c r="F90" s="117"/>
      <c r="G90" s="86"/>
      <c r="H90" s="17"/>
      <c r="I90" s="17"/>
      <c r="J90" s="17"/>
      <c r="K90" s="17"/>
      <c r="L90" s="17"/>
      <c r="N90" s="117"/>
      <c r="O90" s="116"/>
      <c r="P90" s="79"/>
      <c r="Q90" s="79"/>
      <c r="R90" s="79"/>
      <c r="S90" s="79"/>
      <c r="U90" s="157"/>
      <c r="V90" s="158"/>
      <c r="W90" s="141"/>
      <c r="X90" s="141"/>
      <c r="Y90" s="141"/>
      <c r="Z90" s="141"/>
      <c r="AA90" s="141"/>
    </row>
    <row r="91" spans="6:27" ht="12.75" customHeight="1" x14ac:dyDescent="0.2">
      <c r="F91" s="264" t="str">
        <f>A29</f>
        <v>Large Use &gt;5000 kW</v>
      </c>
      <c r="G91" s="265"/>
      <c r="H91" s="267"/>
      <c r="I91" s="266"/>
      <c r="J91" s="94"/>
      <c r="K91" s="94"/>
      <c r="L91" s="94"/>
      <c r="N91" s="228" t="str">
        <f>F91</f>
        <v>Large Use &gt;5000 kW</v>
      </c>
      <c r="O91" s="118"/>
      <c r="P91" s="123"/>
      <c r="Q91" s="123"/>
      <c r="R91" s="123"/>
      <c r="S91" s="123"/>
      <c r="U91" s="257"/>
      <c r="V91" s="268"/>
      <c r="W91" s="141"/>
      <c r="X91" s="141"/>
      <c r="Y91" s="141"/>
      <c r="Z91" s="141"/>
      <c r="AA91" s="141"/>
    </row>
    <row r="92" spans="6:27" x14ac:dyDescent="0.2">
      <c r="F92" s="117" t="str">
        <f>A30</f>
        <v xml:space="preserve">  Customers</v>
      </c>
      <c r="G92" s="86">
        <v>4</v>
      </c>
      <c r="H92" s="17">
        <f>H30</f>
        <v>4</v>
      </c>
      <c r="I92" s="17">
        <f>I30</f>
        <v>4</v>
      </c>
      <c r="J92" s="17">
        <f>J30</f>
        <v>4</v>
      </c>
      <c r="K92" s="17">
        <f>K30</f>
        <v>4</v>
      </c>
      <c r="L92" s="17"/>
      <c r="N92" s="117" t="str">
        <f>F92</f>
        <v xml:space="preserve">  Customers</v>
      </c>
      <c r="O92" s="116">
        <f>G92</f>
        <v>4</v>
      </c>
      <c r="P92" s="79">
        <f t="shared" ref="P92:P94" si="14">H92/G92-1</f>
        <v>0</v>
      </c>
      <c r="Q92" s="79">
        <f>I92/G92-1</f>
        <v>0</v>
      </c>
      <c r="R92" s="79">
        <f>J92/G92-1</f>
        <v>0</v>
      </c>
      <c r="S92" s="79">
        <f>K92/G92-1</f>
        <v>0</v>
      </c>
      <c r="U92" s="157"/>
      <c r="V92" s="158"/>
      <c r="W92" s="141"/>
      <c r="X92" s="141"/>
      <c r="Y92" s="141"/>
      <c r="Z92" s="141"/>
      <c r="AA92" s="141"/>
    </row>
    <row r="93" spans="6:27" x14ac:dyDescent="0.2">
      <c r="F93" s="117" t="str">
        <f>A31</f>
        <v xml:space="preserve">  kWh</v>
      </c>
      <c r="G93" s="86">
        <v>260157189</v>
      </c>
      <c r="H93" s="17">
        <f>+H31</f>
        <v>248400499.59731197</v>
      </c>
      <c r="I93" s="17">
        <f>+I31</f>
        <v>237183984.18280315</v>
      </c>
      <c r="J93" s="17">
        <f>+J31</f>
        <v>169586548.69070426</v>
      </c>
      <c r="K93" s="17">
        <f>+K31</f>
        <v>228573883.44155523</v>
      </c>
      <c r="L93" s="17"/>
      <c r="N93" s="117" t="str">
        <f>F93</f>
        <v xml:space="preserve">  kWh</v>
      </c>
      <c r="O93" s="116">
        <f>G93</f>
        <v>260157189</v>
      </c>
      <c r="P93" s="79">
        <f t="shared" si="14"/>
        <v>-4.5190715074523768E-2</v>
      </c>
      <c r="Q93" s="79"/>
      <c r="R93" s="79"/>
      <c r="S93" s="79"/>
      <c r="U93" s="157"/>
      <c r="V93" s="158"/>
      <c r="W93" s="141"/>
      <c r="X93" s="141"/>
      <c r="Y93" s="141"/>
      <c r="Z93" s="141"/>
      <c r="AA93" s="141"/>
    </row>
    <row r="94" spans="6:27" x14ac:dyDescent="0.2">
      <c r="F94" s="117" t="str">
        <f>A32</f>
        <v xml:space="preserve">  kW</v>
      </c>
      <c r="G94" s="86">
        <v>471742</v>
      </c>
      <c r="H94" s="17">
        <f>H32</f>
        <v>450554.89610000036</v>
      </c>
      <c r="I94" s="17">
        <f>I32</f>
        <v>439420.60050000006</v>
      </c>
      <c r="J94" s="17">
        <f>J32</f>
        <v>314185.72935750004</v>
      </c>
      <c r="K94" s="17">
        <f>K32</f>
        <v>411331.41664470354</v>
      </c>
      <c r="L94" s="17"/>
      <c r="N94" s="117" t="str">
        <f>F94</f>
        <v xml:space="preserve">  kW</v>
      </c>
      <c r="O94" s="116">
        <f>G94</f>
        <v>471742</v>
      </c>
      <c r="P94" s="79">
        <f t="shared" si="14"/>
        <v>-4.4912481610710153E-2</v>
      </c>
      <c r="Q94" s="79">
        <f>I94/G94-1</f>
        <v>-6.8514992305115818E-2</v>
      </c>
      <c r="R94" s="79">
        <f>J94/G94-1</f>
        <v>-0.33398821949815782</v>
      </c>
      <c r="S94" s="79">
        <f>K94/G94-1</f>
        <v>-0.1280585221483278</v>
      </c>
      <c r="U94" s="157"/>
      <c r="V94" s="158"/>
      <c r="W94" s="141"/>
      <c r="X94" s="141"/>
      <c r="Y94" s="141"/>
      <c r="Z94" s="141"/>
      <c r="AA94" s="141"/>
    </row>
    <row r="95" spans="6:27" x14ac:dyDescent="0.2">
      <c r="F95" s="117"/>
      <c r="G95" s="86"/>
      <c r="H95" s="17"/>
      <c r="I95" s="17"/>
      <c r="J95" s="17"/>
      <c r="K95" s="17"/>
      <c r="L95" s="17"/>
      <c r="N95" s="117"/>
      <c r="O95" s="116"/>
      <c r="P95" s="79"/>
      <c r="Q95" s="79"/>
      <c r="R95" s="79"/>
      <c r="S95" s="79"/>
      <c r="U95" s="157"/>
      <c r="V95" s="158"/>
      <c r="W95" s="141"/>
      <c r="X95" s="141"/>
      <c r="Y95" s="141"/>
      <c r="Z95" s="141"/>
      <c r="AA95" s="141"/>
    </row>
    <row r="96" spans="6:27" x14ac:dyDescent="0.2">
      <c r="F96" s="119" t="str">
        <f>A34</f>
        <v xml:space="preserve">Streetlights </v>
      </c>
      <c r="G96" s="126"/>
      <c r="H96" s="94"/>
      <c r="I96" s="94"/>
      <c r="J96" s="94"/>
      <c r="K96" s="94"/>
      <c r="L96" s="94"/>
      <c r="N96" s="119" t="str">
        <f>F96</f>
        <v xml:space="preserve">Streetlights </v>
      </c>
      <c r="O96" s="120"/>
      <c r="P96" s="123"/>
      <c r="Q96" s="123"/>
      <c r="R96" s="123"/>
      <c r="S96" s="123"/>
      <c r="U96" s="157"/>
      <c r="V96" s="158"/>
      <c r="W96" s="141"/>
      <c r="X96" s="141"/>
      <c r="Y96" s="141"/>
      <c r="Z96" s="141"/>
      <c r="AA96" s="141"/>
    </row>
    <row r="97" spans="6:27" x14ac:dyDescent="0.2">
      <c r="F97" s="117" t="s">
        <v>89</v>
      </c>
      <c r="G97" s="86">
        <v>13670</v>
      </c>
      <c r="H97" s="17">
        <f t="shared" ref="H97:K99" si="15">H35</f>
        <v>12781</v>
      </c>
      <c r="I97" s="17">
        <f t="shared" si="15"/>
        <v>12860</v>
      </c>
      <c r="J97" s="17">
        <f t="shared" si="15"/>
        <v>12881</v>
      </c>
      <c r="K97" s="17">
        <f t="shared" si="15"/>
        <v>13177.496472212018</v>
      </c>
      <c r="L97" s="17"/>
      <c r="N97" s="117" t="s">
        <v>89</v>
      </c>
      <c r="O97" s="116">
        <f>G97</f>
        <v>13670</v>
      </c>
      <c r="P97" s="79">
        <f t="shared" ref="P97:P99" si="16">H97/G97-1</f>
        <v>-6.5032918800292605E-2</v>
      </c>
      <c r="Q97" s="79">
        <f>I97/G97-1</f>
        <v>-5.9253840526700796E-2</v>
      </c>
      <c r="R97" s="79">
        <f>J97/G97-1</f>
        <v>-5.7717629846378959E-2</v>
      </c>
      <c r="S97" s="79">
        <f>K97/G97-1</f>
        <v>-3.6028056165909428E-2</v>
      </c>
      <c r="U97" s="157"/>
      <c r="V97" s="158"/>
      <c r="W97" s="141"/>
      <c r="X97" s="141"/>
      <c r="Y97" s="141"/>
      <c r="Z97" s="141"/>
      <c r="AA97" s="141"/>
    </row>
    <row r="98" spans="6:27" x14ac:dyDescent="0.2">
      <c r="F98" s="117" t="str">
        <f>A36</f>
        <v xml:space="preserve">  kWh</v>
      </c>
      <c r="G98" s="86">
        <v>9180192</v>
      </c>
      <c r="H98" s="17">
        <f t="shared" si="15"/>
        <v>9257879.8100000005</v>
      </c>
      <c r="I98" s="17">
        <f t="shared" si="15"/>
        <v>9321265.0700000003</v>
      </c>
      <c r="J98" s="17">
        <f t="shared" si="15"/>
        <v>6664704.5250500003</v>
      </c>
      <c r="K98" s="17">
        <f t="shared" si="15"/>
        <v>8980968.1943711117</v>
      </c>
      <c r="L98" s="17"/>
      <c r="N98" s="117" t="str">
        <f>F98</f>
        <v xml:space="preserve">  kWh</v>
      </c>
      <c r="O98" s="116">
        <f>G98</f>
        <v>9180192</v>
      </c>
      <c r="P98" s="79">
        <f t="shared" si="16"/>
        <v>8.4625474064159434E-3</v>
      </c>
      <c r="Q98" s="79">
        <f>I98/G98-1</f>
        <v>1.5367115415451105E-2</v>
      </c>
      <c r="R98" s="79">
        <f>J98/G98-1</f>
        <v>-0.27401251247795255</v>
      </c>
      <c r="S98" s="79">
        <f>K98/G98-1</f>
        <v>-2.1701485723706893E-2</v>
      </c>
      <c r="U98" s="157"/>
      <c r="V98" s="158"/>
      <c r="W98" s="141"/>
      <c r="X98" s="141"/>
      <c r="Y98" s="141"/>
      <c r="Z98" s="141"/>
      <c r="AA98" s="141"/>
    </row>
    <row r="99" spans="6:27" x14ac:dyDescent="0.2">
      <c r="F99" s="117" t="str">
        <f>A37</f>
        <v xml:space="preserve">  kW</v>
      </c>
      <c r="G99" s="86">
        <v>25194</v>
      </c>
      <c r="H99" s="17">
        <f t="shared" si="15"/>
        <v>25810.41</v>
      </c>
      <c r="I99" s="17">
        <f t="shared" si="15"/>
        <v>26051.770000000004</v>
      </c>
      <c r="J99" s="17">
        <f t="shared" si="15"/>
        <v>18627.015550000004</v>
      </c>
      <c r="K99" s="17">
        <f t="shared" si="15"/>
        <v>24870.1122593363</v>
      </c>
      <c r="L99" s="17"/>
      <c r="N99" s="117" t="str">
        <f>F99</f>
        <v xml:space="preserve">  kW</v>
      </c>
      <c r="O99" s="116">
        <f>G99</f>
        <v>25194</v>
      </c>
      <c r="P99" s="79">
        <f t="shared" si="16"/>
        <v>2.4466539652298058E-2</v>
      </c>
      <c r="Q99" s="79">
        <f>I99/G99-1</f>
        <v>3.404659839644375E-2</v>
      </c>
      <c r="R99" s="79">
        <f>J99/G99-1</f>
        <v>-0.2606566821465427</v>
      </c>
      <c r="S99" s="79">
        <f>K99/G99-1</f>
        <v>-1.2855749014197837E-2</v>
      </c>
      <c r="U99" s="157"/>
      <c r="V99" s="158"/>
      <c r="W99" s="141"/>
      <c r="X99" s="141"/>
      <c r="Y99" s="141"/>
      <c r="Z99" s="141"/>
      <c r="AA99" s="141"/>
    </row>
    <row r="100" spans="6:27" x14ac:dyDescent="0.2">
      <c r="F100" s="117"/>
      <c r="G100" s="86"/>
      <c r="H100" s="17"/>
      <c r="I100" s="17"/>
      <c r="J100" s="17"/>
      <c r="K100" s="17"/>
      <c r="L100" s="17"/>
      <c r="N100" s="117"/>
      <c r="O100" s="116"/>
      <c r="P100" s="79"/>
      <c r="Q100" s="79"/>
      <c r="R100" s="79"/>
      <c r="S100" s="79"/>
      <c r="U100" s="157"/>
      <c r="V100" s="158"/>
      <c r="W100" s="141"/>
      <c r="X100" s="141"/>
      <c r="Y100" s="141"/>
      <c r="Z100" s="141"/>
      <c r="AA100" s="141"/>
    </row>
    <row r="101" spans="6:27" x14ac:dyDescent="0.2">
      <c r="F101" s="264" t="str">
        <f>A39</f>
        <v>Sentinel Lights</v>
      </c>
      <c r="G101" s="265"/>
      <c r="H101" s="266"/>
      <c r="I101" s="94"/>
      <c r="J101" s="94"/>
      <c r="K101" s="94"/>
      <c r="L101" s="94"/>
      <c r="N101" s="228" t="str">
        <f>F101</f>
        <v>Sentinel Lights</v>
      </c>
      <c r="O101" s="118"/>
      <c r="P101" s="123"/>
      <c r="Q101" s="123"/>
      <c r="R101" s="123"/>
      <c r="S101" s="123"/>
      <c r="U101" s="157"/>
      <c r="V101" s="150"/>
      <c r="W101" s="141"/>
      <c r="X101" s="141"/>
      <c r="Y101" s="141"/>
      <c r="Z101" s="141"/>
      <c r="AA101" s="141"/>
    </row>
    <row r="102" spans="6:27" x14ac:dyDescent="0.2">
      <c r="F102" s="117" t="str">
        <f>A40</f>
        <v xml:space="preserve">  Connections</v>
      </c>
      <c r="G102" s="86">
        <v>30</v>
      </c>
      <c r="H102" s="17">
        <f t="shared" ref="H102:K104" si="17">H40</f>
        <v>27.833333333333332</v>
      </c>
      <c r="I102" s="17">
        <f t="shared" si="17"/>
        <v>28.083333333333332</v>
      </c>
      <c r="J102" s="17">
        <f t="shared" si="17"/>
        <v>28.083333333333332</v>
      </c>
      <c r="K102" s="17">
        <f t="shared" si="17"/>
        <v>27.466323225128274</v>
      </c>
      <c r="L102" s="17"/>
      <c r="N102" s="117" t="str">
        <f>F102</f>
        <v xml:space="preserve">  Connections</v>
      </c>
      <c r="O102" s="116">
        <f>G102</f>
        <v>30</v>
      </c>
      <c r="P102" s="79">
        <f t="shared" ref="P102:P104" si="18">H102/G102-1</f>
        <v>-7.2222222222222299E-2</v>
      </c>
      <c r="Q102" s="79">
        <f>I102/G102-1</f>
        <v>-6.3888888888888884E-2</v>
      </c>
      <c r="R102" s="79">
        <f>J102/G102-1</f>
        <v>-6.3888888888888884E-2</v>
      </c>
      <c r="S102" s="79">
        <f>K102/G102-1</f>
        <v>-8.4455892495724161E-2</v>
      </c>
      <c r="U102" s="157"/>
      <c r="V102" s="158"/>
      <c r="W102" s="141"/>
      <c r="X102" s="141"/>
      <c r="Y102" s="141"/>
      <c r="Z102" s="141"/>
      <c r="AA102" s="141"/>
    </row>
    <row r="103" spans="6:27" x14ac:dyDescent="0.2">
      <c r="F103" s="117" t="str">
        <f>A41</f>
        <v xml:space="preserve">  kWh</v>
      </c>
      <c r="G103" s="86">
        <v>128416</v>
      </c>
      <c r="H103" s="17">
        <f t="shared" si="17"/>
        <v>101462.60599999984</v>
      </c>
      <c r="I103" s="17">
        <f t="shared" si="17"/>
        <v>101501.5671</v>
      </c>
      <c r="J103" s="17">
        <f t="shared" si="17"/>
        <v>72573.6204765</v>
      </c>
      <c r="K103" s="17">
        <f t="shared" si="17"/>
        <v>99147.023262361021</v>
      </c>
      <c r="L103" s="17"/>
      <c r="N103" s="117" t="str">
        <f>F103</f>
        <v xml:space="preserve">  kWh</v>
      </c>
      <c r="O103" s="116">
        <f>G103</f>
        <v>128416</v>
      </c>
      <c r="P103" s="79">
        <f t="shared" si="18"/>
        <v>-0.20989124408173565</v>
      </c>
      <c r="Q103" s="79">
        <f>I103/G103-1</f>
        <v>-0.20958784653002738</v>
      </c>
      <c r="R103" s="79">
        <f>J103/G103-1</f>
        <v>-0.43485531026896962</v>
      </c>
      <c r="S103" s="79">
        <f>K103/G103-1</f>
        <v>-0.2279231305883922</v>
      </c>
      <c r="U103" s="157"/>
      <c r="V103" s="158"/>
      <c r="W103" s="141"/>
      <c r="X103" s="141"/>
      <c r="Y103" s="141"/>
      <c r="Z103" s="141"/>
      <c r="AA103" s="141"/>
    </row>
    <row r="104" spans="6:27" x14ac:dyDescent="0.2">
      <c r="F104" s="117" t="str">
        <f>A42</f>
        <v xml:space="preserve">  kW</v>
      </c>
      <c r="G104" s="86">
        <v>352</v>
      </c>
      <c r="H104" s="17">
        <f t="shared" si="17"/>
        <v>280.50209999999998</v>
      </c>
      <c r="I104" s="17">
        <f t="shared" si="17"/>
        <v>274.84120000000001</v>
      </c>
      <c r="J104" s="17">
        <f t="shared" si="17"/>
        <v>196.511458</v>
      </c>
      <c r="K104" s="17">
        <f t="shared" si="17"/>
        <v>284.03512104279747</v>
      </c>
      <c r="L104" s="17"/>
      <c r="N104" s="117" t="str">
        <f>F104</f>
        <v xml:space="preserve">  kW</v>
      </c>
      <c r="O104" s="116">
        <f>G104</f>
        <v>352</v>
      </c>
      <c r="P104" s="79">
        <f t="shared" si="18"/>
        <v>-0.20311903409090915</v>
      </c>
      <c r="Q104" s="79">
        <f>I104/G104-1</f>
        <v>-0.21920113636363636</v>
      </c>
      <c r="R104" s="79">
        <f>J104/G104-1</f>
        <v>-0.44172881249999996</v>
      </c>
      <c r="S104" s="79">
        <f>K104/G104-1</f>
        <v>-0.19308204249205263</v>
      </c>
      <c r="U104" s="157"/>
      <c r="V104" s="158"/>
      <c r="W104" s="141"/>
      <c r="X104" s="141"/>
      <c r="Y104" s="141"/>
      <c r="Z104" s="141"/>
      <c r="AA104" s="141"/>
    </row>
    <row r="105" spans="6:27" x14ac:dyDescent="0.2">
      <c r="F105" s="117"/>
      <c r="G105" s="86"/>
      <c r="H105" s="17"/>
      <c r="I105" s="17"/>
      <c r="J105" s="17"/>
      <c r="K105" s="17"/>
      <c r="L105" s="17"/>
      <c r="N105" s="117"/>
      <c r="O105" s="116"/>
      <c r="P105" s="79"/>
      <c r="Q105" s="79"/>
      <c r="R105" s="79"/>
      <c r="S105" s="79"/>
      <c r="U105" s="157"/>
      <c r="V105" s="158"/>
      <c r="W105" s="141"/>
      <c r="X105" s="141"/>
      <c r="Y105" s="141"/>
      <c r="Z105" s="141"/>
      <c r="AA105" s="141"/>
    </row>
    <row r="106" spans="6:27" ht="12.75" customHeight="1" x14ac:dyDescent="0.2">
      <c r="F106" s="264" t="str">
        <f>A44</f>
        <v xml:space="preserve">Unmetered Loads </v>
      </c>
      <c r="G106" s="265"/>
      <c r="H106" s="266"/>
      <c r="I106" s="94"/>
      <c r="J106" s="94"/>
      <c r="K106" s="94"/>
      <c r="L106" s="94"/>
      <c r="N106" s="228" t="str">
        <f>F106</f>
        <v xml:space="preserve">Unmetered Loads </v>
      </c>
      <c r="O106" s="118"/>
      <c r="P106" s="123"/>
      <c r="Q106" s="123"/>
      <c r="R106" s="123"/>
      <c r="S106" s="123"/>
      <c r="U106" s="157"/>
      <c r="V106" s="150"/>
      <c r="W106" s="141"/>
      <c r="X106" s="141"/>
      <c r="Y106" s="141"/>
      <c r="Z106" s="141"/>
      <c r="AA106" s="141"/>
    </row>
    <row r="107" spans="6:27" x14ac:dyDescent="0.2">
      <c r="F107" s="117" t="str">
        <f>A45</f>
        <v xml:space="preserve">  Connections</v>
      </c>
      <c r="G107" s="86">
        <v>591</v>
      </c>
      <c r="H107" s="17">
        <f t="shared" ref="H107:K108" si="19">H45</f>
        <v>580</v>
      </c>
      <c r="I107" s="17">
        <f t="shared" si="19"/>
        <v>582</v>
      </c>
      <c r="J107" s="17">
        <f t="shared" si="19"/>
        <v>585</v>
      </c>
      <c r="K107" s="17">
        <f t="shared" si="19"/>
        <v>587.16046720730958</v>
      </c>
      <c r="L107" s="17"/>
      <c r="N107" s="117" t="str">
        <f>F107</f>
        <v xml:space="preserve">  Connections</v>
      </c>
      <c r="O107" s="116">
        <f>G107</f>
        <v>591</v>
      </c>
      <c r="P107" s="79">
        <f t="shared" ref="P107:P108" si="20">H107/G107-1</f>
        <v>-1.8612521150592198E-2</v>
      </c>
      <c r="Q107" s="79">
        <f>I107/G107-1</f>
        <v>-1.5228426395939132E-2</v>
      </c>
      <c r="R107" s="79">
        <f>J107/G107-1</f>
        <v>-1.0152284263959421E-2</v>
      </c>
      <c r="S107" s="79">
        <f>K107/G107-1</f>
        <v>-6.4966713920311392E-3</v>
      </c>
      <c r="U107" s="157"/>
      <c r="V107" s="158"/>
      <c r="W107" s="141"/>
      <c r="X107" s="141"/>
      <c r="Y107" s="141"/>
      <c r="Z107" s="141"/>
      <c r="AA107" s="141"/>
    </row>
    <row r="108" spans="6:27" x14ac:dyDescent="0.2">
      <c r="F108" s="117" t="str">
        <f>A46</f>
        <v xml:space="preserve">  kWh</v>
      </c>
      <c r="G108" s="86">
        <v>2336603</v>
      </c>
      <c r="H108" s="17">
        <f t="shared" si="19"/>
        <v>2432269.6645000074</v>
      </c>
      <c r="I108" s="17">
        <f t="shared" si="19"/>
        <v>2424417.9797000005</v>
      </c>
      <c r="J108" s="17">
        <f t="shared" si="19"/>
        <v>1733458.8554855003</v>
      </c>
      <c r="K108" s="17">
        <f t="shared" si="19"/>
        <v>2311562.2947887261</v>
      </c>
      <c r="L108" s="17"/>
      <c r="N108" s="117" t="str">
        <f>F108</f>
        <v xml:space="preserve">  kWh</v>
      </c>
      <c r="O108" s="116">
        <f>G108</f>
        <v>2336603</v>
      </c>
      <c r="P108" s="79">
        <f t="shared" si="20"/>
        <v>4.0942626753456723E-2</v>
      </c>
      <c r="Q108" s="79">
        <f>I108/G108-1</f>
        <v>3.7582327721055186E-2</v>
      </c>
      <c r="R108" s="79">
        <f>J108/G108-1</f>
        <v>-0.25812863567944566</v>
      </c>
      <c r="S108" s="79">
        <f>K108/G108-1</f>
        <v>-1.0716713627121899E-2</v>
      </c>
      <c r="U108" s="157"/>
      <c r="V108" s="158"/>
      <c r="W108" s="141"/>
      <c r="X108" s="141"/>
      <c r="Y108" s="141"/>
      <c r="Z108" s="141"/>
      <c r="AA108" s="141"/>
    </row>
    <row r="109" spans="6:27" x14ac:dyDescent="0.2">
      <c r="F109" s="117"/>
      <c r="G109" s="86"/>
      <c r="H109" s="17"/>
      <c r="I109" s="17"/>
      <c r="J109" s="17"/>
      <c r="K109" s="17"/>
      <c r="L109" s="17"/>
      <c r="N109" s="117"/>
      <c r="O109" s="116"/>
      <c r="P109" s="79"/>
      <c r="Q109" s="79"/>
      <c r="R109" s="79"/>
      <c r="S109" s="79"/>
      <c r="U109" s="157"/>
      <c r="V109" s="158"/>
      <c r="W109" s="141"/>
      <c r="X109" s="141"/>
      <c r="Y109" s="141"/>
      <c r="Z109" s="141"/>
      <c r="AA109" s="141"/>
    </row>
    <row r="110" spans="6:27" x14ac:dyDescent="0.2">
      <c r="F110" s="119" t="str">
        <f>A48</f>
        <v>Total</v>
      </c>
      <c r="G110" s="126"/>
      <c r="H110" s="94"/>
      <c r="I110" s="94"/>
      <c r="J110" s="94"/>
      <c r="K110" s="94"/>
      <c r="L110" s="94"/>
      <c r="N110" s="119" t="str">
        <f>F110</f>
        <v>Total</v>
      </c>
      <c r="O110" s="120"/>
      <c r="P110" s="123"/>
      <c r="Q110" s="123"/>
      <c r="R110" s="123"/>
      <c r="S110" s="123"/>
      <c r="U110" s="157"/>
      <c r="V110" s="158"/>
      <c r="W110" s="141"/>
      <c r="X110" s="141"/>
      <c r="Y110" s="141"/>
      <c r="Z110" s="141"/>
      <c r="AA110" s="141"/>
    </row>
    <row r="111" spans="6:27" ht="38.25" x14ac:dyDescent="0.2">
      <c r="F111" s="117" t="str">
        <f>A49</f>
        <v xml:space="preserve">  Customer/Connections</v>
      </c>
      <c r="G111" s="86">
        <f>SUM(G74,G78,G82,G87,G92,G97,G102,G107)</f>
        <v>62679</v>
      </c>
      <c r="H111" s="17">
        <f t="shared" ref="H111:K113" si="21">H49</f>
        <v>61300.583333333343</v>
      </c>
      <c r="I111" s="17">
        <f t="shared" si="21"/>
        <v>62259.833333333336</v>
      </c>
      <c r="J111" s="17">
        <f t="shared" si="21"/>
        <v>62283.833333333336</v>
      </c>
      <c r="K111" s="17">
        <f t="shared" si="21"/>
        <v>63725.231747734273</v>
      </c>
      <c r="L111" s="17"/>
      <c r="N111" s="117" t="str">
        <f>F111</f>
        <v xml:space="preserve">  Customer/Connections</v>
      </c>
      <c r="O111" s="116">
        <f>G111</f>
        <v>62679</v>
      </c>
      <c r="P111" s="79">
        <f t="shared" ref="P111:P113" si="22">H111/G111-1</f>
        <v>-2.1991682488020858E-2</v>
      </c>
      <c r="Q111" s="79">
        <f>I111/G111-1</f>
        <v>-6.6875136276370872E-3</v>
      </c>
      <c r="R111" s="79">
        <f>J111/G111-1</f>
        <v>-6.3046102628737666E-3</v>
      </c>
      <c r="S111" s="79">
        <f>K111/G111-1</f>
        <v>1.669190235540241E-2</v>
      </c>
      <c r="U111" s="157"/>
      <c r="V111" s="158"/>
      <c r="W111" s="141"/>
      <c r="X111" s="141"/>
      <c r="Y111" s="141"/>
      <c r="Z111" s="141"/>
      <c r="AA111" s="141"/>
    </row>
    <row r="112" spans="6:27" x14ac:dyDescent="0.2">
      <c r="F112" s="117" t="str">
        <f>A50</f>
        <v xml:space="preserve">  kWh</v>
      </c>
      <c r="G112" s="86">
        <f t="shared" ref="G112:G113" si="23">SUM(G75,G79,G83,G88,G93,G98,G103,G108)</f>
        <v>1621886254</v>
      </c>
      <c r="H112" s="17">
        <f t="shared" si="21"/>
        <v>1574447831.9159546</v>
      </c>
      <c r="I112" s="17">
        <f t="shared" si="21"/>
        <v>1485530567.0518968</v>
      </c>
      <c r="J112" s="17">
        <f t="shared" si="21"/>
        <v>1062154355.4421062</v>
      </c>
      <c r="K112" s="17">
        <f t="shared" si="21"/>
        <v>1596124706.9895363</v>
      </c>
      <c r="L112" s="17"/>
      <c r="N112" s="117" t="str">
        <f>F112</f>
        <v xml:space="preserve">  kWh</v>
      </c>
      <c r="O112" s="116">
        <f>G112</f>
        <v>1621886254</v>
      </c>
      <c r="P112" s="79">
        <f t="shared" si="22"/>
        <v>-2.9248920488135211E-2</v>
      </c>
      <c r="Q112" s="79">
        <f>I112/G112-1</f>
        <v>-8.4072287197584972E-2</v>
      </c>
      <c r="R112" s="79">
        <f>J112/G112-1</f>
        <v>-0.34511168534627323</v>
      </c>
      <c r="S112" s="79">
        <f>K112/G112-1</f>
        <v>-1.5883695263418707E-2</v>
      </c>
      <c r="U112" s="157"/>
      <c r="V112" s="158"/>
      <c r="W112" s="141"/>
      <c r="X112" s="141"/>
      <c r="Y112" s="141"/>
      <c r="Z112" s="141"/>
      <c r="AA112" s="141"/>
    </row>
    <row r="113" spans="6:27" ht="38.25" x14ac:dyDescent="0.2">
      <c r="F113" s="117" t="str">
        <f>A51</f>
        <v xml:space="preserve">  kW from applicable classes</v>
      </c>
      <c r="G113" s="86">
        <f t="shared" si="23"/>
        <v>2385437</v>
      </c>
      <c r="H113" s="17">
        <f t="shared" si="21"/>
        <v>2442129.6944000041</v>
      </c>
      <c r="I113" s="17">
        <f t="shared" si="21"/>
        <v>2360056.5375000001</v>
      </c>
      <c r="J113" s="17">
        <f t="shared" si="21"/>
        <v>1687440.4243124998</v>
      </c>
      <c r="K113" s="17">
        <f t="shared" si="21"/>
        <v>2320293.9754868206</v>
      </c>
      <c r="L113" s="17"/>
      <c r="N113" s="117" t="str">
        <f>F113</f>
        <v xml:space="preserve">  kW from applicable classes</v>
      </c>
      <c r="O113" s="116">
        <f>G113</f>
        <v>2385437</v>
      </c>
      <c r="P113" s="79">
        <f t="shared" si="22"/>
        <v>2.3766167121581638E-2</v>
      </c>
      <c r="Q113" s="79">
        <f>I113/G113-1</f>
        <v>-1.0639753848037059E-2</v>
      </c>
      <c r="R113" s="79">
        <f>J113/G113-1</f>
        <v>-0.29260742400134654</v>
      </c>
      <c r="S113" s="79">
        <f>K113/G113-1</f>
        <v>-2.7308633392195802E-2</v>
      </c>
      <c r="U113" s="157"/>
      <c r="V113" s="158"/>
      <c r="W113" s="141"/>
      <c r="X113" s="141"/>
      <c r="Y113" s="141"/>
      <c r="Z113" s="141"/>
      <c r="AA113" s="141"/>
    </row>
    <row r="114" spans="6:27" x14ac:dyDescent="0.2">
      <c r="F114" s="32"/>
      <c r="G114" s="32"/>
      <c r="H114" s="6"/>
      <c r="I114" s="6"/>
      <c r="J114" s="6"/>
      <c r="K114" s="6"/>
      <c r="L114" s="6"/>
    </row>
    <row r="115" spans="6:27" x14ac:dyDescent="0.2">
      <c r="F115" s="32"/>
      <c r="G115" s="32"/>
      <c r="H115" s="6"/>
      <c r="I115" s="6"/>
      <c r="J115" s="6"/>
      <c r="K115" s="6"/>
      <c r="L115" s="6"/>
    </row>
    <row r="116" spans="6:27" x14ac:dyDescent="0.2">
      <c r="F116" s="32"/>
      <c r="G116" s="32"/>
      <c r="H116" s="6"/>
      <c r="I116" s="6"/>
      <c r="J116" s="6"/>
      <c r="K116" s="6"/>
      <c r="L116" s="6"/>
    </row>
    <row r="117" spans="6:27" x14ac:dyDescent="0.2">
      <c r="F117" s="32"/>
      <c r="G117" s="32"/>
      <c r="H117" s="6"/>
      <c r="I117" s="6"/>
      <c r="J117" s="6"/>
      <c r="K117" s="6"/>
      <c r="L117" s="6"/>
    </row>
  </sheetData>
  <sheetProtection selectLockedCells="1" selectUnlockedCells="1"/>
  <mergeCells count="17">
    <mergeCell ref="N11:Q11"/>
    <mergeCell ref="F77:H77"/>
    <mergeCell ref="N86:O86"/>
    <mergeCell ref="N81:O81"/>
    <mergeCell ref="N14:R14"/>
    <mergeCell ref="N70:S70"/>
    <mergeCell ref="N35:Q35"/>
    <mergeCell ref="F81:H81"/>
    <mergeCell ref="U81:V81"/>
    <mergeCell ref="F86:H86"/>
    <mergeCell ref="U70:AA70"/>
    <mergeCell ref="U77:V77"/>
    <mergeCell ref="F106:H106"/>
    <mergeCell ref="F101:H101"/>
    <mergeCell ref="F91:I91"/>
    <mergeCell ref="U86:V86"/>
    <mergeCell ref="U91:V91"/>
  </mergeCells>
  <phoneticPr fontId="0" type="noConversion"/>
  <pageMargins left="0.78740157480314998" right="0.15748031496063" top="0.74803149606299202" bottom="0.74803149606299202" header="0.511811023622047" footer="0.511811023622047"/>
  <pageSetup paperSize="3" scale="90" fitToWidth="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2:AH316"/>
  <sheetViews>
    <sheetView topLeftCell="L1" zoomScale="85" zoomScaleNormal="85" workbookViewId="0">
      <pane ySplit="2" topLeftCell="A112" activePane="bottomLeft" state="frozen"/>
      <selection pane="bottomLeft" activeCell="N113" activeCellId="1" sqref="A1:M316 N113:W153"/>
    </sheetView>
  </sheetViews>
  <sheetFormatPr defaultColWidth="9.140625" defaultRowHeight="11.25" x14ac:dyDescent="0.2"/>
  <cols>
    <col min="1" max="1" width="11" style="51" bestFit="1" customWidth="1"/>
    <col min="2" max="2" width="11.7109375" style="64" bestFit="1" customWidth="1"/>
    <col min="3" max="3" width="7.85546875" style="51" customWidth="1"/>
    <col min="4" max="4" width="12.42578125" style="104" bestFit="1" customWidth="1"/>
    <col min="5" max="5" width="14.85546875" style="54" bestFit="1" customWidth="1"/>
    <col min="6" max="7" width="10.140625" style="53" customWidth="1"/>
    <col min="8" max="8" width="11.85546875" style="53" bestFit="1" customWidth="1"/>
    <col min="9" max="9" width="7.85546875" style="53" bestFit="1" customWidth="1"/>
    <col min="10" max="10" width="12.5703125" style="54" customWidth="1"/>
    <col min="11" max="11" width="16.85546875" style="53" customWidth="1"/>
    <col min="12" max="12" width="15.42578125" style="55" customWidth="1"/>
    <col min="13" max="13" width="15.85546875" style="107" customWidth="1"/>
    <col min="14" max="14" width="21.42578125" style="107" customWidth="1"/>
    <col min="15" max="15" width="21.5703125" style="51" customWidth="1"/>
    <col min="16" max="16" width="13.42578125" style="51" customWidth="1"/>
    <col min="17" max="17" width="13.140625" style="51" customWidth="1"/>
    <col min="18" max="18" width="21.28515625" style="51" customWidth="1"/>
    <col min="19" max="19" width="9.42578125" style="51" customWidth="1"/>
    <col min="20" max="20" width="14.85546875" style="51" customWidth="1"/>
    <col min="21" max="21" width="15" style="51" customWidth="1"/>
    <col min="22" max="22" width="14.42578125" style="184" bestFit="1" customWidth="1"/>
    <col min="23" max="23" width="14.140625" style="51" bestFit="1" customWidth="1"/>
    <col min="24" max="24" width="11.7109375" style="51" bestFit="1" customWidth="1"/>
    <col min="25" max="25" width="11.85546875" style="51" bestFit="1" customWidth="1"/>
    <col min="26" max="26" width="12.5703125" style="55" customWidth="1"/>
    <col min="27" max="27" width="11.28515625" style="55" customWidth="1"/>
    <col min="28" max="28" width="11.5703125" style="55" customWidth="1"/>
    <col min="29" max="29" width="9.28515625" style="55" customWidth="1"/>
    <col min="30" max="30" width="9.140625" style="55"/>
    <col min="31" max="31" width="11.7109375" style="55" bestFit="1" customWidth="1"/>
    <col min="32" max="32" width="10.7109375" style="55" bestFit="1" customWidth="1"/>
    <col min="33" max="34" width="9.140625" style="55"/>
    <col min="35" max="16384" width="9.140625" style="51"/>
  </cols>
  <sheetData>
    <row r="2" spans="1:28" ht="42" customHeight="1" x14ac:dyDescent="0.2">
      <c r="B2" s="193" t="s">
        <v>101</v>
      </c>
      <c r="C2" s="101" t="s">
        <v>100</v>
      </c>
      <c r="D2" s="101" t="s">
        <v>70</v>
      </c>
      <c r="E2" s="57" t="s">
        <v>71</v>
      </c>
      <c r="F2" s="56" t="s">
        <v>72</v>
      </c>
      <c r="G2" s="56" t="s">
        <v>104</v>
      </c>
      <c r="H2" s="56" t="s">
        <v>106</v>
      </c>
      <c r="I2" s="56" t="s">
        <v>107</v>
      </c>
      <c r="J2" s="57" t="s">
        <v>108</v>
      </c>
      <c r="K2" s="56" t="s">
        <v>86</v>
      </c>
      <c r="L2" s="58" t="s">
        <v>10</v>
      </c>
      <c r="M2" s="212" t="s">
        <v>11</v>
      </c>
      <c r="N2" s="106">
        <f ca="1">TODAY()</f>
        <v>40508</v>
      </c>
      <c r="Z2" s="58"/>
      <c r="AA2" s="58"/>
      <c r="AB2" s="58"/>
    </row>
    <row r="3" spans="1:28" ht="54.75" customHeight="1" x14ac:dyDescent="0.2">
      <c r="B3" s="194"/>
      <c r="C3" s="101"/>
      <c r="D3" s="101"/>
      <c r="E3" s="32" t="s">
        <v>85</v>
      </c>
      <c r="F3" s="56"/>
      <c r="G3" s="56"/>
      <c r="H3" s="56"/>
      <c r="I3" s="56"/>
      <c r="J3" s="57"/>
      <c r="K3" s="56"/>
      <c r="L3" s="58"/>
      <c r="M3" s="212"/>
      <c r="N3" s="106"/>
      <c r="Z3" s="58"/>
      <c r="AA3" s="58"/>
      <c r="AB3" s="58"/>
    </row>
    <row r="4" spans="1:28" ht="13.5" customHeight="1" x14ac:dyDescent="0.2">
      <c r="A4" s="59">
        <v>32478</v>
      </c>
      <c r="B4" s="194"/>
      <c r="D4" s="101"/>
      <c r="E4" s="180">
        <v>86.811352253756269</v>
      </c>
      <c r="F4" s="56"/>
      <c r="G4" s="56"/>
      <c r="H4" s="56"/>
      <c r="I4" s="56"/>
      <c r="J4" s="57"/>
      <c r="K4" s="56"/>
      <c r="L4" s="58"/>
      <c r="M4" s="212"/>
      <c r="N4" s="106"/>
      <c r="Z4" s="58"/>
      <c r="AA4" s="58"/>
      <c r="AB4" s="58"/>
    </row>
    <row r="5" spans="1:28" ht="12.75" customHeight="1" x14ac:dyDescent="0.2">
      <c r="A5" s="59">
        <v>32874</v>
      </c>
      <c r="B5" s="194"/>
      <c r="C5" s="51">
        <f>'[1]Monthly Summary'!B5</f>
        <v>334.8</v>
      </c>
      <c r="D5" s="102">
        <v>0</v>
      </c>
      <c r="E5" s="180">
        <v>89.601997095629827</v>
      </c>
      <c r="F5" s="56"/>
      <c r="G5" s="56"/>
      <c r="H5" s="56"/>
      <c r="I5" s="56"/>
      <c r="J5" s="57"/>
      <c r="K5" s="56"/>
      <c r="L5" s="58"/>
      <c r="M5" s="212"/>
      <c r="N5" s="106"/>
      <c r="Z5" s="58"/>
      <c r="AA5" s="58"/>
      <c r="AB5" s="58"/>
    </row>
    <row r="6" spans="1:28" ht="12.75" customHeight="1" x14ac:dyDescent="0.2">
      <c r="A6" s="59">
        <v>32905</v>
      </c>
      <c r="B6" s="194"/>
      <c r="C6" s="51">
        <f>'[1]Monthly Summary'!B6</f>
        <v>379.1</v>
      </c>
      <c r="D6" s="102">
        <v>0</v>
      </c>
      <c r="E6" s="180">
        <v>89.471296971751201</v>
      </c>
      <c r="F6" s="56"/>
      <c r="G6" s="56"/>
      <c r="H6" s="56"/>
      <c r="I6" s="56"/>
      <c r="J6" s="57"/>
      <c r="K6" s="56"/>
      <c r="L6" s="58"/>
      <c r="M6" s="212"/>
      <c r="N6" s="106"/>
      <c r="Z6" s="58"/>
      <c r="AA6" s="58"/>
      <c r="AB6" s="58"/>
    </row>
    <row r="7" spans="1:28" ht="12" customHeight="1" x14ac:dyDescent="0.2">
      <c r="A7" s="59">
        <v>32933</v>
      </c>
      <c r="B7" s="194"/>
      <c r="C7" s="51">
        <f>'[1]Monthly Summary'!B7</f>
        <v>295.60000000000002</v>
      </c>
      <c r="D7" s="102">
        <v>0</v>
      </c>
      <c r="E7" s="180">
        <v>89.34078749677478</v>
      </c>
      <c r="F7" s="56"/>
      <c r="G7" s="56"/>
      <c r="H7" s="56"/>
      <c r="I7" s="56"/>
      <c r="J7" s="57"/>
      <c r="K7" s="56"/>
      <c r="L7" s="58"/>
      <c r="M7" s="212"/>
      <c r="N7" s="106"/>
      <c r="Z7" s="58"/>
      <c r="AA7" s="58"/>
      <c r="AB7" s="58"/>
    </row>
    <row r="8" spans="1:28" ht="12.75" customHeight="1" x14ac:dyDescent="0.2">
      <c r="A8" s="59">
        <v>32964</v>
      </c>
      <c r="B8" s="194"/>
      <c r="C8" s="51">
        <f>'[1]Monthly Summary'!B8</f>
        <v>125.09999999999998</v>
      </c>
      <c r="D8" s="102">
        <v>17.8</v>
      </c>
      <c r="E8" s="180">
        <v>89.210468392605932</v>
      </c>
      <c r="F8" s="56"/>
      <c r="G8" s="56"/>
      <c r="H8" s="56"/>
      <c r="I8" s="56"/>
      <c r="J8" s="57"/>
      <c r="K8" s="56"/>
      <c r="L8" s="58"/>
      <c r="M8" s="212"/>
      <c r="N8" s="106"/>
      <c r="Z8" s="58"/>
      <c r="AA8" s="58"/>
      <c r="AB8" s="58"/>
    </row>
    <row r="9" spans="1:28" ht="12" customHeight="1" x14ac:dyDescent="0.2">
      <c r="A9" s="59">
        <v>32994</v>
      </c>
      <c r="B9" s="194"/>
      <c r="C9" s="51">
        <f>'[1]Monthly Summary'!B9</f>
        <v>16.799999999999997</v>
      </c>
      <c r="D9" s="102">
        <v>1.2</v>
      </c>
      <c r="E9" s="180">
        <v>89.08033938155566</v>
      </c>
      <c r="F9" s="56"/>
      <c r="G9" s="56"/>
      <c r="H9" s="56"/>
      <c r="I9" s="56"/>
      <c r="J9" s="57"/>
      <c r="K9" s="56"/>
      <c r="L9" s="58"/>
      <c r="M9" s="212"/>
      <c r="N9" s="106"/>
      <c r="Z9" s="58"/>
      <c r="AA9" s="58"/>
      <c r="AB9" s="58"/>
    </row>
    <row r="10" spans="1:28" ht="11.25" customHeight="1" x14ac:dyDescent="0.2">
      <c r="A10" s="59">
        <v>33025</v>
      </c>
      <c r="B10" s="194"/>
      <c r="C10" s="51">
        <f>'[1]Monthly Summary'!B10</f>
        <v>0</v>
      </c>
      <c r="D10" s="102">
        <v>52</v>
      </c>
      <c r="E10" s="180">
        <v>88.950400186340033</v>
      </c>
      <c r="F10" s="56"/>
      <c r="G10" s="56"/>
      <c r="H10" s="56"/>
      <c r="I10" s="56"/>
      <c r="J10" s="57"/>
      <c r="K10" s="56"/>
      <c r="L10" s="58"/>
      <c r="M10" s="212"/>
      <c r="N10" s="106"/>
      <c r="Z10" s="58"/>
      <c r="AA10" s="58"/>
      <c r="AB10" s="58"/>
    </row>
    <row r="11" spans="1:28" ht="12.75" customHeight="1" x14ac:dyDescent="0.2">
      <c r="A11" s="59">
        <v>33055</v>
      </c>
      <c r="B11" s="194"/>
      <c r="C11" s="51">
        <f>'[1]Monthly Summary'!B11</f>
        <v>0</v>
      </c>
      <c r="D11" s="102">
        <v>93.3</v>
      </c>
      <c r="E11" s="180">
        <v>88.820650530079575</v>
      </c>
      <c r="F11" s="56"/>
      <c r="G11" s="56"/>
      <c r="H11" s="56"/>
      <c r="I11" s="56"/>
      <c r="J11" s="57"/>
      <c r="K11" s="56"/>
      <c r="L11" s="58"/>
      <c r="M11" s="212"/>
      <c r="N11" s="106"/>
      <c r="Z11" s="58"/>
      <c r="AA11" s="58"/>
      <c r="AB11" s="58"/>
    </row>
    <row r="12" spans="1:28" ht="13.5" customHeight="1" x14ac:dyDescent="0.2">
      <c r="A12" s="59">
        <v>33086</v>
      </c>
      <c r="B12" s="194"/>
      <c r="C12" s="51">
        <f>'[1]Monthly Summary'!B12</f>
        <v>0</v>
      </c>
      <c r="D12" s="102">
        <v>74.900000000000006</v>
      </c>
      <c r="E12" s="180">
        <v>88.691090136298712</v>
      </c>
      <c r="F12" s="56"/>
      <c r="G12" s="56"/>
      <c r="H12" s="56"/>
      <c r="I12" s="56"/>
      <c r="J12" s="57"/>
      <c r="K12" s="56"/>
      <c r="L12" s="58"/>
      <c r="M12" s="212"/>
      <c r="N12" s="106"/>
      <c r="Z12" s="58"/>
      <c r="AA12" s="58"/>
      <c r="AB12" s="58"/>
    </row>
    <row r="13" spans="1:28" ht="12.75" customHeight="1" x14ac:dyDescent="0.2">
      <c r="A13" s="59">
        <v>33117</v>
      </c>
      <c r="B13" s="194"/>
      <c r="C13" s="51">
        <f>'[1]Monthly Summary'!B13</f>
        <v>2.5999999999999996</v>
      </c>
      <c r="D13" s="102">
        <v>21.7</v>
      </c>
      <c r="E13" s="180">
        <v>88.561718728925129</v>
      </c>
      <c r="F13" s="56"/>
      <c r="G13" s="56"/>
      <c r="H13" s="56"/>
      <c r="I13" s="56"/>
      <c r="J13" s="57"/>
      <c r="K13" s="56"/>
      <c r="L13" s="58"/>
      <c r="M13" s="212"/>
      <c r="N13" s="106"/>
      <c r="Z13" s="58"/>
      <c r="AA13" s="58"/>
      <c r="AB13" s="58"/>
    </row>
    <row r="14" spans="1:28" ht="12" customHeight="1" x14ac:dyDescent="0.2">
      <c r="A14" s="59">
        <v>33147</v>
      </c>
      <c r="B14" s="194"/>
      <c r="C14" s="51">
        <f>'[1]Monthly Summary'!B14</f>
        <v>63.199999999999989</v>
      </c>
      <c r="D14" s="102">
        <v>3.9</v>
      </c>
      <c r="E14" s="180">
        <v>88.432536032289235</v>
      </c>
      <c r="F14" s="56"/>
      <c r="G14" s="56"/>
      <c r="H14" s="56"/>
      <c r="I14" s="56"/>
      <c r="J14" s="57"/>
      <c r="K14" s="56"/>
      <c r="L14" s="58"/>
      <c r="M14" s="212"/>
      <c r="N14" s="106"/>
      <c r="Z14" s="58"/>
      <c r="AA14" s="58"/>
      <c r="AB14" s="58"/>
    </row>
    <row r="15" spans="1:28" ht="12" customHeight="1" x14ac:dyDescent="0.2">
      <c r="A15" s="59">
        <v>33178</v>
      </c>
      <c r="B15" s="194"/>
      <c r="C15" s="51">
        <f>'[1]Monthly Summary'!B15</f>
        <v>180.2</v>
      </c>
      <c r="D15" s="102">
        <v>0</v>
      </c>
      <c r="E15" s="180">
        <v>88.303541771123548</v>
      </c>
      <c r="F15" s="56"/>
      <c r="G15" s="56"/>
      <c r="H15" s="56"/>
      <c r="I15" s="56"/>
      <c r="J15" s="57"/>
      <c r="K15" s="56"/>
      <c r="L15" s="58"/>
      <c r="M15" s="212"/>
      <c r="N15" s="106"/>
      <c r="Z15" s="58"/>
      <c r="AA15" s="58"/>
      <c r="AB15" s="58"/>
    </row>
    <row r="16" spans="1:28" ht="12" customHeight="1" x14ac:dyDescent="0.2">
      <c r="A16" s="59">
        <v>33208</v>
      </c>
      <c r="B16" s="194"/>
      <c r="C16" s="51">
        <f>'[1]Monthly Summary'!B16</f>
        <v>339.4</v>
      </c>
      <c r="D16" s="102">
        <v>0</v>
      </c>
      <c r="E16" s="180">
        <v>88.174735670562058</v>
      </c>
      <c r="F16" s="56"/>
      <c r="G16" s="56"/>
      <c r="H16" s="56"/>
      <c r="I16" s="56"/>
      <c r="J16" s="57"/>
      <c r="K16" s="56"/>
      <c r="L16" s="58"/>
      <c r="M16" s="212"/>
      <c r="N16" s="106"/>
      <c r="Z16" s="58"/>
      <c r="AA16" s="58"/>
      <c r="AB16" s="58"/>
    </row>
    <row r="17" spans="1:28" ht="12" customHeight="1" x14ac:dyDescent="0.2">
      <c r="A17" s="87">
        <v>33239</v>
      </c>
      <c r="B17" s="194"/>
      <c r="C17" s="51">
        <f>'[1]Monthly Summary'!B17</f>
        <v>486.50000000000006</v>
      </c>
      <c r="D17" s="103">
        <v>0</v>
      </c>
      <c r="E17" s="181">
        <v>87.881930380701561</v>
      </c>
      <c r="F17" s="61">
        <v>31</v>
      </c>
      <c r="G17" s="61"/>
      <c r="H17" s="60">
        <v>352</v>
      </c>
      <c r="I17" s="61">
        <v>0</v>
      </c>
      <c r="J17" s="189"/>
      <c r="K17" s="56"/>
      <c r="L17" s="58"/>
      <c r="M17" s="212"/>
      <c r="N17" s="106"/>
      <c r="Z17" s="58"/>
      <c r="AA17" s="58"/>
      <c r="AB17" s="58"/>
    </row>
    <row r="18" spans="1:28" ht="13.5" customHeight="1" x14ac:dyDescent="0.2">
      <c r="A18" s="59">
        <v>33270</v>
      </c>
      <c r="B18" s="194"/>
      <c r="C18" s="51">
        <f>'[1]Monthly Summary'!B18</f>
        <v>347.8</v>
      </c>
      <c r="D18" s="103">
        <v>0</v>
      </c>
      <c r="E18" s="181">
        <v>87.590097420807439</v>
      </c>
      <c r="F18" s="61">
        <v>28</v>
      </c>
      <c r="G18" s="61"/>
      <c r="H18" s="60">
        <v>320</v>
      </c>
      <c r="I18" s="61">
        <v>0</v>
      </c>
      <c r="J18" s="189"/>
      <c r="K18" s="56"/>
      <c r="L18" s="58"/>
      <c r="M18" s="212"/>
      <c r="N18" s="106"/>
      <c r="Z18" s="58"/>
      <c r="AA18" s="58"/>
      <c r="AB18" s="58"/>
    </row>
    <row r="19" spans="1:28" ht="12.75" customHeight="1" x14ac:dyDescent="0.2">
      <c r="A19" s="59">
        <v>33298</v>
      </c>
      <c r="B19" s="194"/>
      <c r="C19" s="51">
        <f>'[1]Monthly Summary'!B19</f>
        <v>261.60000000000002</v>
      </c>
      <c r="D19" s="103">
        <v>0</v>
      </c>
      <c r="E19" s="181">
        <v>87.299233562025591</v>
      </c>
      <c r="F19" s="61">
        <v>31</v>
      </c>
      <c r="G19" s="61"/>
      <c r="H19" s="60">
        <v>320</v>
      </c>
      <c r="I19" s="61">
        <v>0</v>
      </c>
      <c r="J19" s="189"/>
      <c r="K19" s="56"/>
      <c r="L19" s="58"/>
      <c r="M19" s="212"/>
      <c r="N19" s="106"/>
      <c r="Z19" s="58"/>
      <c r="AA19" s="58"/>
      <c r="AB19" s="58"/>
    </row>
    <row r="20" spans="1:28" ht="11.25" customHeight="1" x14ac:dyDescent="0.2">
      <c r="A20" s="59">
        <v>33329</v>
      </c>
      <c r="B20" s="194"/>
      <c r="C20" s="51">
        <f>'[1]Monthly Summary'!B20</f>
        <v>90.100000000000009</v>
      </c>
      <c r="D20" s="103">
        <v>3.9</v>
      </c>
      <c r="E20" s="181">
        <v>87.009335586224097</v>
      </c>
      <c r="F20" s="61">
        <v>30</v>
      </c>
      <c r="G20" s="61"/>
      <c r="H20" s="60">
        <v>336</v>
      </c>
      <c r="I20" s="61">
        <v>0</v>
      </c>
      <c r="J20" s="189"/>
      <c r="K20" s="56"/>
      <c r="L20" s="58"/>
      <c r="M20" s="212"/>
      <c r="N20" s="106"/>
      <c r="Z20" s="58"/>
      <c r="AA20" s="58"/>
      <c r="AB20" s="58"/>
    </row>
    <row r="21" spans="1:28" ht="12" customHeight="1" x14ac:dyDescent="0.2">
      <c r="A21" s="59">
        <v>33359</v>
      </c>
      <c r="B21" s="194"/>
      <c r="C21" s="51">
        <f>'[1]Monthly Summary'!B21</f>
        <v>12.500000000000002</v>
      </c>
      <c r="D21" s="103">
        <v>54</v>
      </c>
      <c r="E21" s="181">
        <v>86.720400285957595</v>
      </c>
      <c r="F21" s="61">
        <v>31</v>
      </c>
      <c r="G21" s="61"/>
      <c r="H21" s="60">
        <v>352</v>
      </c>
      <c r="I21" s="61">
        <v>0</v>
      </c>
      <c r="J21" s="189"/>
      <c r="K21" s="56"/>
      <c r="L21" s="58"/>
      <c r="M21" s="212"/>
      <c r="N21" s="106"/>
      <c r="Z21" s="58"/>
      <c r="AA21" s="58"/>
      <c r="AB21" s="58"/>
    </row>
    <row r="22" spans="1:28" ht="11.25" customHeight="1" x14ac:dyDescent="0.2">
      <c r="A22" s="59">
        <v>33390</v>
      </c>
      <c r="B22" s="194"/>
      <c r="C22" s="51">
        <f>'[1]Monthly Summary'!B22</f>
        <v>0</v>
      </c>
      <c r="D22" s="103">
        <v>78.5</v>
      </c>
      <c r="E22" s="181">
        <v>86.432424464431818</v>
      </c>
      <c r="F22" s="61">
        <v>30</v>
      </c>
      <c r="G22" s="61"/>
      <c r="H22" s="60">
        <v>320</v>
      </c>
      <c r="I22" s="61">
        <v>0</v>
      </c>
      <c r="J22" s="189"/>
      <c r="K22" s="56"/>
      <c r="L22" s="58"/>
      <c r="M22" s="212"/>
      <c r="N22" s="106"/>
      <c r="Z22" s="58"/>
      <c r="AA22" s="58"/>
      <c r="AB22" s="58"/>
    </row>
    <row r="23" spans="1:28" ht="12.75" customHeight="1" x14ac:dyDescent="0.2">
      <c r="A23" s="59">
        <v>33420</v>
      </c>
      <c r="B23" s="194"/>
      <c r="C23" s="51">
        <f>'[1]Monthly Summary'!B23</f>
        <v>0</v>
      </c>
      <c r="D23" s="103">
        <v>115.1</v>
      </c>
      <c r="E23" s="181">
        <v>86.145404935468235</v>
      </c>
      <c r="F23" s="61">
        <v>31</v>
      </c>
      <c r="G23" s="61"/>
      <c r="H23" s="60">
        <v>352</v>
      </c>
      <c r="I23" s="61">
        <v>0</v>
      </c>
      <c r="J23" s="189"/>
      <c r="K23" s="56"/>
      <c r="L23" s="58"/>
      <c r="M23" s="212"/>
      <c r="N23" s="106"/>
      <c r="Z23" s="58"/>
      <c r="AA23" s="58"/>
      <c r="AB23" s="58"/>
    </row>
    <row r="24" spans="1:28" ht="10.5" customHeight="1" x14ac:dyDescent="0.2">
      <c r="A24" s="59">
        <v>33451</v>
      </c>
      <c r="B24" s="194"/>
      <c r="C24" s="51">
        <f>'[1]Monthly Summary'!B24</f>
        <v>0</v>
      </c>
      <c r="D24" s="103">
        <v>98.5</v>
      </c>
      <c r="E24" s="181">
        <v>85.859338523468764</v>
      </c>
      <c r="F24" s="61">
        <v>31</v>
      </c>
      <c r="G24" s="61"/>
      <c r="H24" s="60">
        <v>336</v>
      </c>
      <c r="I24" s="61">
        <v>0</v>
      </c>
      <c r="J24" s="189"/>
      <c r="K24" s="56"/>
      <c r="L24" s="58"/>
      <c r="M24" s="212"/>
      <c r="N24" s="106"/>
      <c r="Z24" s="58"/>
      <c r="AA24" s="58"/>
      <c r="AB24" s="58"/>
    </row>
    <row r="25" spans="1:28" ht="10.5" customHeight="1" x14ac:dyDescent="0.2">
      <c r="A25" s="59">
        <v>33482</v>
      </c>
      <c r="B25" s="194"/>
      <c r="C25" s="51">
        <f>'[1]Monthly Summary'!B25</f>
        <v>14.799999999999997</v>
      </c>
      <c r="D25" s="103">
        <v>32.799999999999997</v>
      </c>
      <c r="E25" s="181">
        <v>85.57422206338066</v>
      </c>
      <c r="F25" s="61">
        <v>30</v>
      </c>
      <c r="G25" s="61"/>
      <c r="H25" s="60">
        <v>320</v>
      </c>
      <c r="I25" s="61">
        <v>0</v>
      </c>
      <c r="J25" s="189"/>
      <c r="K25" s="56"/>
      <c r="L25" s="58"/>
      <c r="M25" s="212"/>
      <c r="N25" s="106"/>
      <c r="Z25" s="58"/>
      <c r="AA25" s="58"/>
      <c r="AB25" s="58"/>
    </row>
    <row r="26" spans="1:28" ht="12" customHeight="1" x14ac:dyDescent="0.2">
      <c r="A26" s="59">
        <v>33512</v>
      </c>
      <c r="B26" s="194"/>
      <c r="C26" s="51">
        <f>'[1]Monthly Summary'!B26</f>
        <v>57.4</v>
      </c>
      <c r="D26" s="103">
        <v>1.3</v>
      </c>
      <c r="E26" s="181">
        <v>85.290052400661494</v>
      </c>
      <c r="F26" s="61">
        <v>31</v>
      </c>
      <c r="G26" s="61"/>
      <c r="H26" s="60">
        <v>352</v>
      </c>
      <c r="I26" s="61">
        <v>0</v>
      </c>
      <c r="J26" s="189"/>
      <c r="K26" s="56"/>
      <c r="L26" s="58"/>
      <c r="M26" s="212"/>
      <c r="N26" s="106"/>
      <c r="Z26" s="58"/>
      <c r="AA26" s="58"/>
      <c r="AB26" s="58"/>
    </row>
    <row r="27" spans="1:28" ht="12" customHeight="1" x14ac:dyDescent="0.2">
      <c r="A27" s="59">
        <v>33543</v>
      </c>
      <c r="B27" s="194"/>
      <c r="C27" s="51">
        <f>'[1]Monthly Summary'!B27</f>
        <v>229.60000000000002</v>
      </c>
      <c r="D27" s="103">
        <v>0</v>
      </c>
      <c r="E27" s="181">
        <v>85.00682639124426</v>
      </c>
      <c r="F27" s="61">
        <v>30</v>
      </c>
      <c r="G27" s="61"/>
      <c r="H27" s="60">
        <v>336</v>
      </c>
      <c r="I27" s="61">
        <v>0</v>
      </c>
      <c r="J27" s="189"/>
      <c r="K27" s="56"/>
      <c r="L27" s="58"/>
      <c r="M27" s="212"/>
      <c r="N27" s="106"/>
      <c r="Z27" s="58"/>
      <c r="AA27" s="58"/>
      <c r="AB27" s="58"/>
    </row>
    <row r="28" spans="1:28" ht="12" customHeight="1" x14ac:dyDescent="0.2">
      <c r="A28" s="59">
        <v>33573</v>
      </c>
      <c r="B28" s="194"/>
      <c r="C28" s="51">
        <f>'[1]Monthly Summary'!B28</f>
        <v>383</v>
      </c>
      <c r="D28" s="103">
        <v>0</v>
      </c>
      <c r="E28" s="88">
        <v>84.724540901502522</v>
      </c>
      <c r="F28" s="61">
        <v>31</v>
      </c>
      <c r="G28" s="61"/>
      <c r="H28" s="60">
        <v>320</v>
      </c>
      <c r="I28" s="61">
        <v>0</v>
      </c>
      <c r="J28" s="189"/>
      <c r="K28" s="56"/>
      <c r="L28" s="58"/>
      <c r="M28" s="212"/>
      <c r="N28" s="106"/>
      <c r="Z28" s="58"/>
      <c r="AA28" s="58"/>
      <c r="AB28" s="58"/>
    </row>
    <row r="29" spans="1:28" ht="12" customHeight="1" x14ac:dyDescent="0.2">
      <c r="A29" s="59">
        <v>33604</v>
      </c>
      <c r="C29" s="51">
        <f>'[1]Monthly Summary'!B29</f>
        <v>439.9</v>
      </c>
      <c r="D29" s="103">
        <v>0</v>
      </c>
      <c r="E29" s="181">
        <v>84.786892247640637</v>
      </c>
      <c r="F29" s="61">
        <v>31</v>
      </c>
      <c r="G29" s="61"/>
      <c r="H29" s="60">
        <v>352</v>
      </c>
      <c r="I29" s="61">
        <v>0</v>
      </c>
      <c r="J29" s="189"/>
      <c r="AA29" s="58"/>
      <c r="AB29" s="58"/>
    </row>
    <row r="30" spans="1:28" ht="10.5" customHeight="1" x14ac:dyDescent="0.2">
      <c r="A30" s="59">
        <v>33635</v>
      </c>
      <c r="C30" s="51">
        <f>'[1]Monthly Summary'!B30</f>
        <v>403.70000000000005</v>
      </c>
      <c r="D30" s="103">
        <v>0</v>
      </c>
      <c r="E30" s="181">
        <v>84.84928948001577</v>
      </c>
      <c r="F30" s="61">
        <v>29</v>
      </c>
      <c r="G30" s="61"/>
      <c r="H30" s="60">
        <v>320</v>
      </c>
      <c r="I30" s="61">
        <v>0</v>
      </c>
      <c r="J30" s="189"/>
      <c r="AA30" s="58"/>
      <c r="AB30" s="58"/>
    </row>
    <row r="31" spans="1:28" ht="10.5" customHeight="1" x14ac:dyDescent="0.2">
      <c r="A31" s="59">
        <v>33664</v>
      </c>
      <c r="C31" s="51">
        <f>'[1]Monthly Summary'!B31</f>
        <v>344.99999999999994</v>
      </c>
      <c r="D31" s="103">
        <v>0</v>
      </c>
      <c r="E31" s="181">
        <v>84.911732632396991</v>
      </c>
      <c r="F31" s="61">
        <v>31</v>
      </c>
      <c r="G31" s="61"/>
      <c r="H31" s="60">
        <v>352</v>
      </c>
      <c r="I31" s="61">
        <v>0</v>
      </c>
      <c r="J31" s="189"/>
      <c r="AA31" s="58"/>
      <c r="AB31" s="58"/>
    </row>
    <row r="32" spans="1:28" ht="11.25" customHeight="1" x14ac:dyDescent="0.2">
      <c r="A32" s="59">
        <v>33695</v>
      </c>
      <c r="C32" s="51">
        <f>'[1]Monthly Summary'!B32</f>
        <v>143.80000000000001</v>
      </c>
      <c r="D32" s="103">
        <v>0</v>
      </c>
      <c r="E32" s="181">
        <v>84.974221738578223</v>
      </c>
      <c r="F32" s="61">
        <v>30</v>
      </c>
      <c r="G32" s="61"/>
      <c r="H32" s="60">
        <v>320</v>
      </c>
      <c r="I32" s="61">
        <v>0</v>
      </c>
      <c r="J32" s="189"/>
      <c r="AA32" s="58"/>
      <c r="AB32" s="58"/>
    </row>
    <row r="33" spans="1:28" ht="10.5" customHeight="1" x14ac:dyDescent="0.2">
      <c r="A33" s="59">
        <v>33725</v>
      </c>
      <c r="C33" s="51">
        <f>'[1]Monthly Summary'!B33</f>
        <v>22.299999999999997</v>
      </c>
      <c r="D33" s="103">
        <v>3.3</v>
      </c>
      <c r="E33" s="181">
        <v>85.036756832378245</v>
      </c>
      <c r="F33" s="61">
        <v>31</v>
      </c>
      <c r="G33" s="61"/>
      <c r="H33" s="60">
        <v>320</v>
      </c>
      <c r="I33" s="61">
        <v>0</v>
      </c>
      <c r="J33" s="189"/>
      <c r="AA33" s="58"/>
      <c r="AB33" s="58"/>
    </row>
    <row r="34" spans="1:28" ht="10.5" customHeight="1" x14ac:dyDescent="0.2">
      <c r="A34" s="59">
        <v>33756</v>
      </c>
      <c r="C34" s="51">
        <f>'[1]Monthly Summary'!B34</f>
        <v>3</v>
      </c>
      <c r="D34" s="103">
        <v>18.5</v>
      </c>
      <c r="E34" s="181">
        <v>85.099337947640734</v>
      </c>
      <c r="F34" s="61">
        <v>30</v>
      </c>
      <c r="G34" s="61"/>
      <c r="H34" s="60">
        <v>352</v>
      </c>
      <c r="I34" s="61">
        <v>0</v>
      </c>
      <c r="J34" s="189"/>
      <c r="AA34" s="58"/>
      <c r="AB34" s="58"/>
    </row>
    <row r="35" spans="1:28" x14ac:dyDescent="0.2">
      <c r="A35" s="59">
        <v>33786</v>
      </c>
      <c r="C35" s="51">
        <f>'[1]Monthly Summary'!B35</f>
        <v>0</v>
      </c>
      <c r="D35" s="103">
        <v>24.5</v>
      </c>
      <c r="E35" s="181">
        <v>85.161965118234278</v>
      </c>
      <c r="F35" s="61">
        <v>31</v>
      </c>
      <c r="G35" s="61"/>
      <c r="H35" s="60">
        <v>352</v>
      </c>
      <c r="I35" s="61">
        <v>0</v>
      </c>
      <c r="J35" s="189"/>
      <c r="L35" s="52"/>
    </row>
    <row r="36" spans="1:28" x14ac:dyDescent="0.2">
      <c r="A36" s="59">
        <v>33817</v>
      </c>
      <c r="C36" s="51">
        <f>'[1]Monthly Summary'!B36</f>
        <v>0</v>
      </c>
      <c r="D36" s="103">
        <v>32.5</v>
      </c>
      <c r="E36" s="181">
        <v>85.224638378052376</v>
      </c>
      <c r="F36" s="61">
        <v>31</v>
      </c>
      <c r="G36" s="61"/>
      <c r="H36" s="60">
        <v>320</v>
      </c>
      <c r="I36" s="61">
        <v>0</v>
      </c>
      <c r="J36" s="189"/>
    </row>
    <row r="37" spans="1:28" x14ac:dyDescent="0.2">
      <c r="A37" s="59">
        <v>33848</v>
      </c>
      <c r="C37" s="51">
        <f>'[1]Monthly Summary'!B37</f>
        <v>11.3</v>
      </c>
      <c r="D37" s="103">
        <v>23.3</v>
      </c>
      <c r="E37" s="181">
        <v>85.287357761013482</v>
      </c>
      <c r="F37" s="61">
        <v>30</v>
      </c>
      <c r="G37" s="61"/>
      <c r="H37" s="60">
        <v>336</v>
      </c>
      <c r="I37" s="61">
        <v>0</v>
      </c>
      <c r="J37" s="189"/>
    </row>
    <row r="38" spans="1:28" x14ac:dyDescent="0.2">
      <c r="A38" s="59">
        <v>33878</v>
      </c>
      <c r="C38" s="51">
        <f>'[1]Monthly Summary'!B38</f>
        <v>102.7</v>
      </c>
      <c r="D38" s="103">
        <v>0</v>
      </c>
      <c r="E38" s="181">
        <v>85.350123301061018</v>
      </c>
      <c r="F38" s="61">
        <v>31</v>
      </c>
      <c r="G38" s="61"/>
      <c r="H38" s="60">
        <v>336</v>
      </c>
      <c r="I38" s="61">
        <v>0</v>
      </c>
      <c r="J38" s="189"/>
    </row>
    <row r="39" spans="1:28" x14ac:dyDescent="0.2">
      <c r="A39" s="59">
        <v>33909</v>
      </c>
      <c r="C39" s="51">
        <f>'[1]Monthly Summary'!B39</f>
        <v>216.79999999999995</v>
      </c>
      <c r="D39" s="103">
        <v>0</v>
      </c>
      <c r="E39" s="181">
        <v>85.412935032163361</v>
      </c>
      <c r="F39" s="61">
        <v>30</v>
      </c>
      <c r="G39" s="61"/>
      <c r="H39" s="60">
        <v>336</v>
      </c>
      <c r="I39" s="61">
        <v>0</v>
      </c>
      <c r="J39" s="189"/>
    </row>
    <row r="40" spans="1:28" x14ac:dyDescent="0.2">
      <c r="A40" s="59">
        <v>33939</v>
      </c>
      <c r="C40" s="51">
        <f>'[1]Monthly Summary'!B40</f>
        <v>359.1</v>
      </c>
      <c r="D40" s="103">
        <v>0</v>
      </c>
      <c r="E40" s="88">
        <v>85.47579298831387</v>
      </c>
      <c r="F40" s="61">
        <v>31</v>
      </c>
      <c r="G40" s="61"/>
      <c r="H40" s="60">
        <v>352</v>
      </c>
      <c r="I40" s="61">
        <v>0</v>
      </c>
      <c r="J40" s="189"/>
    </row>
    <row r="41" spans="1:28" x14ac:dyDescent="0.2">
      <c r="A41" s="59">
        <v>33970</v>
      </c>
      <c r="C41" s="51">
        <f>'[1]Monthly Summary'!B41</f>
        <v>423.09999999999997</v>
      </c>
      <c r="D41" s="103">
        <v>0</v>
      </c>
      <c r="E41" s="181">
        <v>85.545043949434969</v>
      </c>
      <c r="F41" s="61">
        <v>31</v>
      </c>
      <c r="G41" s="61"/>
      <c r="H41" s="60">
        <v>320</v>
      </c>
      <c r="I41" s="61">
        <v>0</v>
      </c>
      <c r="J41" s="189"/>
    </row>
    <row r="42" spans="1:28" x14ac:dyDescent="0.2">
      <c r="A42" s="59">
        <v>34001</v>
      </c>
      <c r="C42" s="51">
        <f>'[1]Monthly Summary'!B42</f>
        <v>498.79999999999995</v>
      </c>
      <c r="D42" s="103">
        <v>0</v>
      </c>
      <c r="E42" s="181">
        <v>85.61435101644814</v>
      </c>
      <c r="F42" s="61">
        <v>28</v>
      </c>
      <c r="G42" s="61"/>
      <c r="H42" s="60">
        <v>320</v>
      </c>
      <c r="I42" s="61">
        <v>0</v>
      </c>
      <c r="J42" s="189"/>
    </row>
    <row r="43" spans="1:28" x14ac:dyDescent="0.2">
      <c r="A43" s="59">
        <v>34029</v>
      </c>
      <c r="C43" s="51">
        <f>'[1]Monthly Summary'!B43</f>
        <v>354.09999999999997</v>
      </c>
      <c r="D43" s="103">
        <v>0</v>
      </c>
      <c r="E43" s="181">
        <v>85.683714234809372</v>
      </c>
      <c r="F43" s="61">
        <v>31</v>
      </c>
      <c r="G43" s="61"/>
      <c r="H43" s="60">
        <v>368</v>
      </c>
      <c r="I43" s="61">
        <v>0</v>
      </c>
      <c r="J43" s="189"/>
    </row>
    <row r="44" spans="1:28" x14ac:dyDescent="0.2">
      <c r="A44" s="59">
        <v>34060</v>
      </c>
      <c r="C44" s="51">
        <f>'[1]Monthly Summary'!B44</f>
        <v>119.50000000000003</v>
      </c>
      <c r="D44" s="103">
        <v>0</v>
      </c>
      <c r="E44" s="181">
        <v>85.753133650011492</v>
      </c>
      <c r="F44" s="61">
        <v>30</v>
      </c>
      <c r="G44" s="61"/>
      <c r="H44" s="60">
        <v>320</v>
      </c>
      <c r="I44" s="61">
        <v>0</v>
      </c>
      <c r="J44" s="189"/>
    </row>
    <row r="45" spans="1:28" x14ac:dyDescent="0.2">
      <c r="A45" s="59">
        <v>34090</v>
      </c>
      <c r="C45" s="51">
        <f>'[1]Monthly Summary'!B45</f>
        <v>14.299999999999999</v>
      </c>
      <c r="D45" s="131">
        <v>4.3</v>
      </c>
      <c r="E45" s="181">
        <v>85.822609307584173</v>
      </c>
      <c r="F45" s="61">
        <v>31</v>
      </c>
      <c r="G45" s="61"/>
      <c r="H45" s="60">
        <v>320</v>
      </c>
      <c r="I45" s="61">
        <v>0</v>
      </c>
      <c r="J45" s="189"/>
    </row>
    <row r="46" spans="1:28" x14ac:dyDescent="0.2">
      <c r="A46" s="59">
        <v>34121</v>
      </c>
      <c r="C46" s="51">
        <f>'[1]Monthly Summary'!B46</f>
        <v>20</v>
      </c>
      <c r="D46" s="131">
        <v>17.899999999999999</v>
      </c>
      <c r="E46" s="181">
        <v>85.892141253093982</v>
      </c>
      <c r="F46" s="61">
        <v>30</v>
      </c>
      <c r="G46" s="61"/>
      <c r="H46" s="60">
        <v>352</v>
      </c>
      <c r="I46" s="61">
        <v>0</v>
      </c>
      <c r="J46" s="189"/>
    </row>
    <row r="47" spans="1:28" x14ac:dyDescent="0.2">
      <c r="A47" s="59">
        <v>34151</v>
      </c>
      <c r="C47" s="51">
        <f>'[1]Monthly Summary'!B47</f>
        <v>10</v>
      </c>
      <c r="D47" s="131">
        <v>107.8</v>
      </c>
      <c r="E47" s="181">
        <v>85.961729532144389</v>
      </c>
      <c r="F47" s="61">
        <v>31</v>
      </c>
      <c r="G47" s="61"/>
      <c r="H47" s="60">
        <v>336</v>
      </c>
      <c r="I47" s="61">
        <v>0</v>
      </c>
      <c r="J47" s="189"/>
    </row>
    <row r="48" spans="1:28" x14ac:dyDescent="0.2">
      <c r="A48" s="59">
        <v>34182</v>
      </c>
      <c r="C48" s="51">
        <f>'[1]Monthly Summary'!B48</f>
        <v>10</v>
      </c>
      <c r="D48" s="131">
        <v>103.5</v>
      </c>
      <c r="E48" s="181">
        <v>86.031374190375828</v>
      </c>
      <c r="F48" s="61">
        <v>31</v>
      </c>
      <c r="G48" s="61"/>
      <c r="H48" s="60">
        <v>336</v>
      </c>
      <c r="I48" s="61">
        <v>0</v>
      </c>
      <c r="J48" s="189"/>
    </row>
    <row r="49" spans="1:10" x14ac:dyDescent="0.2">
      <c r="A49" s="59">
        <v>34213</v>
      </c>
      <c r="C49" s="51">
        <f>'[1]Monthly Summary'!B49</f>
        <v>17.5</v>
      </c>
      <c r="D49" s="131">
        <v>15.7</v>
      </c>
      <c r="E49" s="181">
        <v>86.10107527346571</v>
      </c>
      <c r="F49" s="61">
        <v>30</v>
      </c>
      <c r="G49" s="61"/>
      <c r="H49" s="60">
        <v>336</v>
      </c>
      <c r="I49" s="61">
        <v>0</v>
      </c>
      <c r="J49" s="189"/>
    </row>
    <row r="50" spans="1:10" x14ac:dyDescent="0.2">
      <c r="A50" s="59">
        <v>34243</v>
      </c>
      <c r="C50" s="51">
        <f>'[1]Monthly Summary'!B50</f>
        <v>92.000000000000014</v>
      </c>
      <c r="D50" s="131">
        <v>2.5</v>
      </c>
      <c r="E50" s="181">
        <v>86.17083282712845</v>
      </c>
      <c r="F50" s="61">
        <v>31</v>
      </c>
      <c r="G50" s="61"/>
      <c r="H50" s="60">
        <v>320</v>
      </c>
      <c r="I50" s="61">
        <v>0</v>
      </c>
      <c r="J50" s="189"/>
    </row>
    <row r="51" spans="1:10" x14ac:dyDescent="0.2">
      <c r="A51" s="59">
        <v>34274</v>
      </c>
      <c r="C51" s="51">
        <f>'[1]Monthly Summary'!B51</f>
        <v>210.39999999999998</v>
      </c>
      <c r="D51" s="103">
        <v>0</v>
      </c>
      <c r="E51" s="181">
        <v>86.240646897115496</v>
      </c>
      <c r="F51" s="61">
        <v>30</v>
      </c>
      <c r="G51" s="61"/>
      <c r="H51" s="60">
        <v>352</v>
      </c>
      <c r="I51" s="61">
        <v>0</v>
      </c>
      <c r="J51" s="189"/>
    </row>
    <row r="52" spans="1:10" x14ac:dyDescent="0.2">
      <c r="A52" s="59">
        <v>34304</v>
      </c>
      <c r="C52" s="51">
        <f>'[1]Monthly Summary'!B52</f>
        <v>381.19999999999993</v>
      </c>
      <c r="D52" s="103">
        <v>0</v>
      </c>
      <c r="E52" s="88">
        <v>86.31051752921536</v>
      </c>
      <c r="F52" s="61">
        <v>31</v>
      </c>
      <c r="G52" s="61"/>
      <c r="H52" s="60">
        <v>368</v>
      </c>
      <c r="I52" s="61">
        <v>0</v>
      </c>
      <c r="J52" s="189"/>
    </row>
    <row r="53" spans="1:10" x14ac:dyDescent="0.2">
      <c r="A53" s="59">
        <v>34335</v>
      </c>
      <c r="C53" s="51">
        <f>'[1]Monthly Summary'!B53</f>
        <v>693.39999999999986</v>
      </c>
      <c r="D53" s="103">
        <v>0</v>
      </c>
      <c r="E53" s="181">
        <v>86.72377734139485</v>
      </c>
      <c r="F53" s="61">
        <v>31</v>
      </c>
      <c r="G53" s="61"/>
      <c r="H53" s="60">
        <v>336</v>
      </c>
      <c r="I53" s="61">
        <v>0</v>
      </c>
      <c r="J53" s="189"/>
    </row>
    <row r="54" spans="1:10" x14ac:dyDescent="0.2">
      <c r="A54" s="59">
        <v>34366</v>
      </c>
      <c r="C54" s="51">
        <f>'[1]Monthly Summary'!B54</f>
        <v>513.5</v>
      </c>
      <c r="D54" s="103">
        <v>0</v>
      </c>
      <c r="E54" s="181">
        <v>87.139015865755113</v>
      </c>
      <c r="F54" s="61">
        <v>28</v>
      </c>
      <c r="G54" s="61"/>
      <c r="H54" s="60">
        <v>320</v>
      </c>
      <c r="I54" s="61">
        <v>0</v>
      </c>
      <c r="J54" s="189"/>
    </row>
    <row r="55" spans="1:10" x14ac:dyDescent="0.2">
      <c r="A55" s="59">
        <v>34394</v>
      </c>
      <c r="C55" s="51">
        <f>'[1]Monthly Summary'!B55</f>
        <v>333.50000000000006</v>
      </c>
      <c r="D55" s="103">
        <v>0</v>
      </c>
      <c r="E55" s="181">
        <v>87.556242576485914</v>
      </c>
      <c r="F55" s="61">
        <v>31</v>
      </c>
      <c r="G55" s="61"/>
      <c r="H55" s="60">
        <v>352</v>
      </c>
      <c r="I55" s="61">
        <v>0</v>
      </c>
      <c r="J55" s="189"/>
    </row>
    <row r="56" spans="1:10" x14ac:dyDescent="0.2">
      <c r="A56" s="59">
        <v>34425</v>
      </c>
      <c r="C56" s="51">
        <f>'[1]Monthly Summary'!B56</f>
        <v>106.99999999999999</v>
      </c>
      <c r="D56" s="103">
        <v>0.5</v>
      </c>
      <c r="E56" s="181">
        <v>87.975466993140046</v>
      </c>
      <c r="F56" s="61">
        <v>30</v>
      </c>
      <c r="G56" s="61"/>
      <c r="H56" s="60">
        <v>304</v>
      </c>
      <c r="I56" s="61">
        <v>0</v>
      </c>
      <c r="J56" s="189"/>
    </row>
    <row r="57" spans="1:10" x14ac:dyDescent="0.2">
      <c r="A57" s="59">
        <v>34455</v>
      </c>
      <c r="C57" s="51">
        <f>'[1]Monthly Summary'!B57</f>
        <v>23.700000000000006</v>
      </c>
      <c r="D57" s="103">
        <v>8.1999999999999993</v>
      </c>
      <c r="E57" s="181">
        <v>88.396698680850434</v>
      </c>
      <c r="F57" s="61">
        <v>31</v>
      </c>
      <c r="G57" s="61"/>
      <c r="H57" s="60">
        <v>336</v>
      </c>
      <c r="I57" s="61">
        <v>0</v>
      </c>
      <c r="J57" s="189"/>
    </row>
    <row r="58" spans="1:10" x14ac:dyDescent="0.2">
      <c r="A58" s="59">
        <v>34486</v>
      </c>
      <c r="C58" s="51">
        <f>'[1]Monthly Summary'!B58</f>
        <v>0</v>
      </c>
      <c r="D58" s="103">
        <v>67.7</v>
      </c>
      <c r="E58" s="181">
        <v>88.819947250548452</v>
      </c>
      <c r="F58" s="61">
        <v>30</v>
      </c>
      <c r="G58" s="61"/>
      <c r="H58" s="60">
        <v>352</v>
      </c>
      <c r="I58" s="61">
        <v>0</v>
      </c>
      <c r="J58" s="189"/>
    </row>
    <row r="59" spans="1:10" x14ac:dyDescent="0.2">
      <c r="A59" s="59">
        <v>34516</v>
      </c>
      <c r="C59" s="51">
        <f>'[1]Monthly Summary'!B59</f>
        <v>0</v>
      </c>
      <c r="D59" s="103">
        <v>111.2</v>
      </c>
      <c r="E59" s="181">
        <v>89.24522235918316</v>
      </c>
      <c r="F59" s="61">
        <v>31</v>
      </c>
      <c r="G59" s="61"/>
      <c r="H59" s="60">
        <v>320</v>
      </c>
      <c r="I59" s="61">
        <v>0</v>
      </c>
      <c r="J59" s="189"/>
    </row>
    <row r="60" spans="1:10" x14ac:dyDescent="0.2">
      <c r="A60" s="59">
        <v>34547</v>
      </c>
      <c r="C60" s="51">
        <f>'[1]Monthly Summary'!B60</f>
        <v>0</v>
      </c>
      <c r="D60" s="103">
        <v>46.4</v>
      </c>
      <c r="E60" s="181">
        <v>89.672533709941646</v>
      </c>
      <c r="F60" s="61">
        <v>31</v>
      </c>
      <c r="G60" s="61"/>
      <c r="H60" s="60">
        <v>352</v>
      </c>
      <c r="I60" s="61">
        <v>0</v>
      </c>
      <c r="J60" s="189"/>
    </row>
    <row r="61" spans="1:10" x14ac:dyDescent="0.2">
      <c r="A61" s="59">
        <v>34578</v>
      </c>
      <c r="C61" s="51">
        <f>'[1]Monthly Summary'!B61</f>
        <v>0</v>
      </c>
      <c r="D61" s="103">
        <v>13.7</v>
      </c>
      <c r="E61" s="181">
        <v>90.101891052470449</v>
      </c>
      <c r="F61" s="61">
        <v>30</v>
      </c>
      <c r="G61" s="61"/>
      <c r="H61" s="60">
        <v>336</v>
      </c>
      <c r="I61" s="61">
        <v>0</v>
      </c>
      <c r="J61" s="189"/>
    </row>
    <row r="62" spans="1:10" x14ac:dyDescent="0.2">
      <c r="A62" s="59">
        <v>34608</v>
      </c>
      <c r="C62" s="51">
        <f>'[1]Monthly Summary'!B62</f>
        <v>40.9</v>
      </c>
      <c r="D62" s="103">
        <v>0</v>
      </c>
      <c r="E62" s="181">
        <v>90.533304183097982</v>
      </c>
      <c r="F62" s="61">
        <v>31</v>
      </c>
      <c r="G62" s="61"/>
      <c r="H62" s="60">
        <v>320</v>
      </c>
      <c r="I62" s="61">
        <v>0</v>
      </c>
      <c r="J62" s="189"/>
    </row>
    <row r="63" spans="1:10" x14ac:dyDescent="0.2">
      <c r="A63" s="59">
        <v>34639</v>
      </c>
      <c r="C63" s="51">
        <f>'[1]Monthly Summary'!B63</f>
        <v>149.80000000000001</v>
      </c>
      <c r="D63" s="103">
        <v>0</v>
      </c>
      <c r="E63" s="181">
        <v>90.966782945058043</v>
      </c>
      <c r="F63" s="61">
        <v>30</v>
      </c>
      <c r="G63" s="61"/>
      <c r="H63" s="60">
        <v>352</v>
      </c>
      <c r="I63" s="61">
        <v>0</v>
      </c>
      <c r="J63" s="189"/>
    </row>
    <row r="64" spans="1:10" x14ac:dyDescent="0.2">
      <c r="A64" s="59">
        <v>34669</v>
      </c>
      <c r="C64" s="51">
        <f>'[1]Monthly Summary'!B64</f>
        <v>314.5</v>
      </c>
      <c r="D64" s="103">
        <v>0</v>
      </c>
      <c r="E64" s="88">
        <v>91.402337228714515</v>
      </c>
      <c r="F64" s="61">
        <v>31</v>
      </c>
      <c r="G64" s="61"/>
      <c r="H64" s="60">
        <v>336</v>
      </c>
      <c r="I64" s="61">
        <v>0</v>
      </c>
      <c r="J64" s="189"/>
    </row>
    <row r="65" spans="1:10" x14ac:dyDescent="0.2">
      <c r="A65" s="59">
        <v>34700</v>
      </c>
      <c r="C65" s="51">
        <f>'[1]Monthly Summary'!B65</f>
        <v>405.19999999999993</v>
      </c>
      <c r="D65" s="103">
        <v>0</v>
      </c>
      <c r="E65" s="181">
        <v>91.667046632406738</v>
      </c>
      <c r="F65" s="61">
        <v>31</v>
      </c>
      <c r="G65" s="61"/>
      <c r="H65" s="60">
        <v>352</v>
      </c>
      <c r="I65" s="61">
        <v>0</v>
      </c>
      <c r="J65" s="189"/>
    </row>
    <row r="66" spans="1:10" x14ac:dyDescent="0.2">
      <c r="A66" s="59">
        <v>34731</v>
      </c>
      <c r="C66" s="51">
        <f>'[1]Monthly Summary'!B66</f>
        <v>482.99999999999994</v>
      </c>
      <c r="D66" s="103">
        <v>0</v>
      </c>
      <c r="E66" s="181">
        <v>91.932522658381586</v>
      </c>
      <c r="F66" s="61">
        <v>28</v>
      </c>
      <c r="G66" s="61"/>
      <c r="H66" s="60">
        <v>320</v>
      </c>
      <c r="I66" s="61">
        <v>0</v>
      </c>
      <c r="J66" s="189"/>
    </row>
    <row r="67" spans="1:10" x14ac:dyDescent="0.2">
      <c r="A67" s="59">
        <v>34759</v>
      </c>
      <c r="C67" s="51">
        <f>'[1]Monthly Summary'!B67</f>
        <v>253.5</v>
      </c>
      <c r="D67" s="103">
        <v>0</v>
      </c>
      <c r="E67" s="181">
        <v>92.198767526846254</v>
      </c>
      <c r="F67" s="61">
        <v>31</v>
      </c>
      <c r="G67" s="61"/>
      <c r="H67" s="60">
        <v>368</v>
      </c>
      <c r="I67" s="61">
        <v>0</v>
      </c>
      <c r="J67" s="189"/>
    </row>
    <row r="68" spans="1:10" x14ac:dyDescent="0.2">
      <c r="A68" s="59">
        <v>34790</v>
      </c>
      <c r="C68" s="51">
        <f>'[1]Monthly Summary'!B68</f>
        <v>178.89999999999995</v>
      </c>
      <c r="D68" s="103">
        <v>0</v>
      </c>
      <c r="E68" s="181">
        <v>92.465783464437862</v>
      </c>
      <c r="F68" s="61">
        <v>30</v>
      </c>
      <c r="G68" s="61"/>
      <c r="H68" s="60">
        <v>288</v>
      </c>
      <c r="I68" s="61">
        <v>0</v>
      </c>
      <c r="J68" s="189"/>
    </row>
    <row r="69" spans="1:10" x14ac:dyDescent="0.2">
      <c r="A69" s="59">
        <v>34820</v>
      </c>
      <c r="C69" s="51">
        <f>'[1]Monthly Summary'!B69</f>
        <v>4.5</v>
      </c>
      <c r="D69" s="103">
        <v>4.5</v>
      </c>
      <c r="E69" s="181">
        <v>92.733572704242079</v>
      </c>
      <c r="F69" s="61">
        <v>31</v>
      </c>
      <c r="G69" s="61"/>
      <c r="H69" s="60">
        <v>352</v>
      </c>
      <c r="I69" s="61">
        <v>0</v>
      </c>
      <c r="J69" s="189"/>
    </row>
    <row r="70" spans="1:10" x14ac:dyDescent="0.2">
      <c r="A70" s="59">
        <v>34851</v>
      </c>
      <c r="C70" s="51">
        <f>'[1]Monthly Summary'!B70</f>
        <v>0</v>
      </c>
      <c r="D70" s="103">
        <v>71.8</v>
      </c>
      <c r="E70" s="181">
        <v>93.002137485811772</v>
      </c>
      <c r="F70" s="61">
        <v>30</v>
      </c>
      <c r="G70" s="61"/>
      <c r="H70" s="60">
        <v>352</v>
      </c>
      <c r="I70" s="61">
        <v>0</v>
      </c>
      <c r="J70" s="189"/>
    </row>
    <row r="71" spans="1:10" x14ac:dyDescent="0.2">
      <c r="A71" s="59">
        <v>34881</v>
      </c>
      <c r="C71" s="51">
        <f>'[1]Monthly Summary'!B71</f>
        <v>0</v>
      </c>
      <c r="D71" s="103">
        <v>143.9</v>
      </c>
      <c r="E71" s="181">
        <v>93.271480055185776</v>
      </c>
      <c r="F71" s="61">
        <v>31</v>
      </c>
      <c r="G71" s="61"/>
      <c r="H71" s="60">
        <v>320</v>
      </c>
      <c r="I71" s="61">
        <v>0</v>
      </c>
      <c r="J71" s="189"/>
    </row>
    <row r="72" spans="1:10" x14ac:dyDescent="0.2">
      <c r="A72" s="59">
        <v>34912</v>
      </c>
      <c r="C72" s="51">
        <f>'[1]Monthly Summary'!B72</f>
        <v>0</v>
      </c>
      <c r="D72" s="103">
        <v>150.80000000000001</v>
      </c>
      <c r="E72" s="181">
        <v>93.541602664907657</v>
      </c>
      <c r="F72" s="61">
        <v>31</v>
      </c>
      <c r="G72" s="61"/>
      <c r="H72" s="60">
        <v>352</v>
      </c>
      <c r="I72" s="61">
        <v>0</v>
      </c>
      <c r="J72" s="189"/>
    </row>
    <row r="73" spans="1:10" x14ac:dyDescent="0.2">
      <c r="A73" s="59">
        <v>34943</v>
      </c>
      <c r="C73" s="51">
        <f>'[1]Monthly Summary'!B73</f>
        <v>1.2000000000000011</v>
      </c>
      <c r="D73" s="103">
        <v>16.7</v>
      </c>
      <c r="E73" s="181">
        <v>93.812507574044531</v>
      </c>
      <c r="F73" s="61">
        <v>30</v>
      </c>
      <c r="G73" s="61"/>
      <c r="H73" s="60">
        <v>320</v>
      </c>
      <c r="I73" s="61">
        <v>0</v>
      </c>
      <c r="J73" s="189"/>
    </row>
    <row r="74" spans="1:10" x14ac:dyDescent="0.2">
      <c r="A74" s="59">
        <v>34973</v>
      </c>
      <c r="C74" s="51">
        <f>'[1]Monthly Summary'!B74</f>
        <v>37.000000000000007</v>
      </c>
      <c r="D74" s="103">
        <v>1.6</v>
      </c>
      <c r="E74" s="181">
        <v>94.084197048205993</v>
      </c>
      <c r="F74" s="61">
        <v>31</v>
      </c>
      <c r="G74" s="61"/>
      <c r="H74" s="60">
        <v>336</v>
      </c>
      <c r="I74" s="61">
        <v>0</v>
      </c>
      <c r="J74" s="189"/>
    </row>
    <row r="75" spans="1:10" x14ac:dyDescent="0.2">
      <c r="A75" s="59">
        <v>35004</v>
      </c>
      <c r="C75" s="51">
        <f>'[1]Monthly Summary'!B75</f>
        <v>273.89999999999998</v>
      </c>
      <c r="D75" s="103">
        <v>0</v>
      </c>
      <c r="E75" s="181">
        <v>94.356673359563032</v>
      </c>
      <c r="F75" s="61">
        <v>30</v>
      </c>
      <c r="G75" s="61"/>
      <c r="H75" s="60">
        <v>352</v>
      </c>
      <c r="I75" s="61">
        <v>0</v>
      </c>
      <c r="J75" s="189"/>
    </row>
    <row r="76" spans="1:10" x14ac:dyDescent="0.2">
      <c r="A76" s="59">
        <v>35034</v>
      </c>
      <c r="C76" s="51">
        <f>'[1]Monthly Summary'!B76</f>
        <v>469.5</v>
      </c>
      <c r="D76" s="103">
        <v>0</v>
      </c>
      <c r="E76" s="88">
        <v>94.629938786867015</v>
      </c>
      <c r="F76" s="61">
        <v>31</v>
      </c>
      <c r="G76" s="61"/>
      <c r="H76" s="60">
        <v>336</v>
      </c>
      <c r="I76" s="61">
        <v>0</v>
      </c>
      <c r="J76" s="189"/>
    </row>
    <row r="77" spans="1:10" x14ac:dyDescent="0.2">
      <c r="A77" s="59">
        <v>35065</v>
      </c>
      <c r="C77" s="51">
        <f>'[1]Monthly Summary'!B77</f>
        <v>517.20000000000005</v>
      </c>
      <c r="D77" s="99">
        <v>0</v>
      </c>
      <c r="E77" s="181">
        <v>94.715305091666934</v>
      </c>
      <c r="F77" s="63">
        <v>31</v>
      </c>
      <c r="G77" s="63">
        <f>[2]Population!C1</f>
        <v>95206.250000000015</v>
      </c>
      <c r="H77" s="61">
        <v>352</v>
      </c>
      <c r="I77" s="63">
        <v>0</v>
      </c>
      <c r="J77" s="190"/>
    </row>
    <row r="78" spans="1:10" x14ac:dyDescent="0.2">
      <c r="A78" s="59">
        <v>35096</v>
      </c>
      <c r="C78" s="51">
        <f>'[1]Monthly Summary'!B78</f>
        <v>457.8</v>
      </c>
      <c r="D78" s="99">
        <v>0</v>
      </c>
      <c r="E78" s="181">
        <v>94.800748405985075</v>
      </c>
      <c r="F78" s="63">
        <v>29</v>
      </c>
      <c r="G78" s="63">
        <f>[2]Population!C2</f>
        <v>95329.200000000012</v>
      </c>
      <c r="H78" s="61">
        <v>336</v>
      </c>
      <c r="I78" s="63">
        <v>0</v>
      </c>
      <c r="J78" s="190"/>
    </row>
    <row r="79" spans="1:10" x14ac:dyDescent="0.2">
      <c r="A79" s="59">
        <v>35125</v>
      </c>
      <c r="C79" s="51">
        <f>'[1]Monthly Summary'!B79</f>
        <v>397.6</v>
      </c>
      <c r="D79" s="99">
        <v>0</v>
      </c>
      <c r="E79" s="181">
        <v>94.886268799292239</v>
      </c>
      <c r="F79" s="63">
        <v>31</v>
      </c>
      <c r="G79" s="63">
        <f>[2]Population!C3</f>
        <v>95452.150000000009</v>
      </c>
      <c r="H79" s="61">
        <v>336</v>
      </c>
      <c r="I79" s="63">
        <v>0</v>
      </c>
      <c r="J79" s="190"/>
    </row>
    <row r="80" spans="1:10" x14ac:dyDescent="0.2">
      <c r="A80" s="59">
        <v>35156</v>
      </c>
      <c r="C80" s="51">
        <f>'[1]Monthly Summary'!B80</f>
        <v>176</v>
      </c>
      <c r="D80" s="99">
        <v>0</v>
      </c>
      <c r="E80" s="181">
        <v>94.971866341121896</v>
      </c>
      <c r="F80" s="63">
        <v>30</v>
      </c>
      <c r="G80" s="63">
        <f>[2]Population!C4</f>
        <v>95575.1</v>
      </c>
      <c r="H80" s="61">
        <v>336</v>
      </c>
      <c r="I80" s="63">
        <v>0</v>
      </c>
      <c r="J80" s="190"/>
    </row>
    <row r="81" spans="1:13" x14ac:dyDescent="0.2">
      <c r="A81" s="59">
        <v>35186</v>
      </c>
      <c r="C81" s="51">
        <f>'[1]Monthly Summary'!B81</f>
        <v>29.8</v>
      </c>
      <c r="D81" s="99">
        <v>8.6</v>
      </c>
      <c r="E81" s="181">
        <v>95.057541101070257</v>
      </c>
      <c r="F81" s="63">
        <v>31</v>
      </c>
      <c r="G81" s="63">
        <f>[2]Population!C5</f>
        <v>95698.05</v>
      </c>
      <c r="H81" s="61">
        <v>352</v>
      </c>
      <c r="I81" s="63">
        <v>0</v>
      </c>
      <c r="J81" s="190"/>
    </row>
    <row r="82" spans="1:13" x14ac:dyDescent="0.2">
      <c r="A82" s="59">
        <v>35217</v>
      </c>
      <c r="C82" s="51">
        <f>'[1]Monthly Summary'!B82</f>
        <v>0</v>
      </c>
      <c r="D82" s="99">
        <v>38.299999999999997</v>
      </c>
      <c r="E82" s="181">
        <v>95.143293148796303</v>
      </c>
      <c r="F82" s="63">
        <v>30</v>
      </c>
      <c r="G82" s="63">
        <f>[2]Population!C6</f>
        <v>95821</v>
      </c>
      <c r="H82" s="61">
        <v>320</v>
      </c>
      <c r="I82" s="63">
        <v>0</v>
      </c>
      <c r="J82" s="190"/>
    </row>
    <row r="83" spans="1:13" x14ac:dyDescent="0.2">
      <c r="A83" s="59">
        <v>35247</v>
      </c>
      <c r="C83" s="51">
        <f>'[1]Monthly Summary'!B83</f>
        <v>0</v>
      </c>
      <c r="D83" s="99">
        <v>59.6</v>
      </c>
      <c r="E83" s="181">
        <v>95.22912255402187</v>
      </c>
      <c r="F83" s="63">
        <v>31</v>
      </c>
      <c r="G83" s="63">
        <f>[2]Population!C7</f>
        <v>96048.15</v>
      </c>
      <c r="H83" s="61">
        <v>352</v>
      </c>
      <c r="I83" s="63">
        <v>0</v>
      </c>
      <c r="J83" s="190"/>
    </row>
    <row r="84" spans="1:13" x14ac:dyDescent="0.2">
      <c r="A84" s="59">
        <v>35278</v>
      </c>
      <c r="C84" s="51">
        <f>'[1]Monthly Summary'!B84</f>
        <v>0</v>
      </c>
      <c r="D84" s="99">
        <v>87.1</v>
      </c>
      <c r="E84" s="181">
        <v>95.315029386531663</v>
      </c>
      <c r="F84" s="63">
        <v>31</v>
      </c>
      <c r="G84" s="63">
        <f>[2]Population!C8</f>
        <v>96275.299999999988</v>
      </c>
      <c r="H84" s="61">
        <v>336</v>
      </c>
      <c r="I84" s="63">
        <v>0</v>
      </c>
      <c r="J84" s="190"/>
    </row>
    <row r="85" spans="1:13" x14ac:dyDescent="0.2">
      <c r="A85" s="59">
        <v>35309</v>
      </c>
      <c r="C85" s="51">
        <f>'[1]Monthly Summary'!B85</f>
        <v>1.7000000000000011</v>
      </c>
      <c r="D85" s="99">
        <v>27.1</v>
      </c>
      <c r="E85" s="181">
        <v>95.401013716173367</v>
      </c>
      <c r="F85" s="63">
        <v>30</v>
      </c>
      <c r="G85" s="63">
        <f>[2]Population!C9</f>
        <v>96502.449999999983</v>
      </c>
      <c r="H85" s="61">
        <v>320</v>
      </c>
      <c r="I85" s="63">
        <v>0</v>
      </c>
      <c r="J85" s="190"/>
    </row>
    <row r="86" spans="1:13" x14ac:dyDescent="0.2">
      <c r="A86" s="59">
        <v>35339</v>
      </c>
      <c r="C86" s="51">
        <f>'[1]Monthly Summary'!B86</f>
        <v>57.599999999999994</v>
      </c>
      <c r="D86" s="99">
        <v>0</v>
      </c>
      <c r="E86" s="181">
        <v>95.487075612857652</v>
      </c>
      <c r="F86" s="63">
        <v>31</v>
      </c>
      <c r="G86" s="63">
        <f>[2]Population!C10</f>
        <v>96729.599999999977</v>
      </c>
      <c r="H86" s="61">
        <v>352</v>
      </c>
      <c r="I86" s="63">
        <v>0</v>
      </c>
      <c r="J86" s="190"/>
    </row>
    <row r="87" spans="1:13" x14ac:dyDescent="0.2">
      <c r="A87" s="59">
        <v>35370</v>
      </c>
      <c r="C87" s="51">
        <f>'[1]Monthly Summary'!B87</f>
        <v>274.8</v>
      </c>
      <c r="D87" s="99">
        <v>0</v>
      </c>
      <c r="E87" s="181">
        <v>95.573215146558283</v>
      </c>
      <c r="F87" s="63">
        <v>30</v>
      </c>
      <c r="G87" s="63">
        <f>[2]Population!C11</f>
        <v>96956.749999999971</v>
      </c>
      <c r="H87" s="61">
        <v>320</v>
      </c>
      <c r="I87" s="63">
        <v>0</v>
      </c>
      <c r="J87" s="190"/>
    </row>
    <row r="88" spans="1:13" x14ac:dyDescent="0.2">
      <c r="A88" s="59">
        <v>35400</v>
      </c>
      <c r="C88" s="51">
        <f>'[1]Monthly Summary'!B88</f>
        <v>323.60000000000002</v>
      </c>
      <c r="D88" s="99">
        <v>0</v>
      </c>
      <c r="E88" s="88">
        <v>95.659432387312208</v>
      </c>
      <c r="F88" s="63">
        <v>31</v>
      </c>
      <c r="G88" s="63">
        <f>[2]Population!C12</f>
        <v>97183.899999999965</v>
      </c>
      <c r="H88" s="61">
        <v>320</v>
      </c>
      <c r="I88" s="63">
        <v>0</v>
      </c>
      <c r="J88" s="190"/>
    </row>
    <row r="89" spans="1:13" x14ac:dyDescent="0.2">
      <c r="A89" s="59">
        <v>35431</v>
      </c>
      <c r="C89" s="51">
        <f>'[1]Monthly Summary'!B89</f>
        <v>508.59999999999991</v>
      </c>
      <c r="D89" s="99">
        <v>0</v>
      </c>
      <c r="E89" s="181">
        <v>96.013834907485574</v>
      </c>
      <c r="F89" s="63">
        <v>31</v>
      </c>
      <c r="G89" s="63">
        <f>[2]Population!C13</f>
        <v>97411.049999999959</v>
      </c>
      <c r="H89" s="61">
        <v>352</v>
      </c>
      <c r="I89" s="63">
        <v>0</v>
      </c>
      <c r="J89" s="253">
        <v>81.021494991860038</v>
      </c>
      <c r="K89" s="128">
        <f t="shared" ref="K89:K120" si="0">$P$129+C89*$P$130+D89*$P$131+E89*$P$132+F89*$P$133+G89*$P$134+H89*$P$135+I89*$P$136+J89*$P$137</f>
        <v>117049783.56418398</v>
      </c>
      <c r="L89" s="69"/>
      <c r="M89" s="213"/>
    </row>
    <row r="90" spans="1:13" x14ac:dyDescent="0.2">
      <c r="A90" s="59">
        <v>35462</v>
      </c>
      <c r="C90" s="51">
        <f>'[1]Monthly Summary'!B90</f>
        <v>369.00000000000006</v>
      </c>
      <c r="D90" s="99">
        <v>0</v>
      </c>
      <c r="E90" s="181">
        <v>96.369550430916135</v>
      </c>
      <c r="F90" s="63">
        <v>28</v>
      </c>
      <c r="G90" s="63">
        <f>[2]Population!C14</f>
        <v>97638.199999999953</v>
      </c>
      <c r="H90" s="61">
        <v>320</v>
      </c>
      <c r="I90" s="63">
        <v>0</v>
      </c>
      <c r="J90" s="111">
        <v>81.953588477139149</v>
      </c>
      <c r="K90" s="128">
        <f t="shared" si="0"/>
        <v>104408045.49878854</v>
      </c>
      <c r="L90" s="69"/>
      <c r="M90" s="213"/>
    </row>
    <row r="91" spans="1:13" x14ac:dyDescent="0.2">
      <c r="A91" s="59">
        <v>35490</v>
      </c>
      <c r="C91" s="51">
        <f>'[1]Monthly Summary'!B91</f>
        <v>352.00000000000006</v>
      </c>
      <c r="D91" s="99">
        <v>0</v>
      </c>
      <c r="E91" s="181">
        <v>96.726583822065777</v>
      </c>
      <c r="F91" s="63">
        <v>31</v>
      </c>
      <c r="G91" s="63">
        <f>[2]Population!C15</f>
        <v>97865.349999999948</v>
      </c>
      <c r="H91" s="61">
        <v>304</v>
      </c>
      <c r="I91" s="63">
        <v>0</v>
      </c>
      <c r="J91" s="111">
        <v>81.157804696338403</v>
      </c>
      <c r="K91" s="128">
        <f t="shared" si="0"/>
        <v>108211832.38381243</v>
      </c>
      <c r="L91" s="69"/>
      <c r="M91" s="213"/>
    </row>
    <row r="92" spans="1:13" x14ac:dyDescent="0.2">
      <c r="A92" s="59">
        <v>35521</v>
      </c>
      <c r="C92" s="51">
        <f>'[1]Monthly Summary'!B92</f>
        <v>137.30000000000001</v>
      </c>
      <c r="D92" s="99">
        <v>0</v>
      </c>
      <c r="E92" s="181">
        <v>97.084939963418421</v>
      </c>
      <c r="F92" s="63">
        <v>30</v>
      </c>
      <c r="G92" s="63">
        <f>[2]Population!C16</f>
        <v>98092.499999999942</v>
      </c>
      <c r="H92" s="61">
        <v>352</v>
      </c>
      <c r="I92" s="63">
        <v>0</v>
      </c>
      <c r="J92" s="111">
        <v>82.445296763334341</v>
      </c>
      <c r="K92" s="128">
        <f t="shared" si="0"/>
        <v>104971103.81576827</v>
      </c>
      <c r="L92" s="69"/>
      <c r="M92" s="213"/>
    </row>
    <row r="93" spans="1:13" x14ac:dyDescent="0.2">
      <c r="A93" s="59">
        <v>35551</v>
      </c>
      <c r="C93" s="51">
        <f>'[1]Monthly Summary'!B93</f>
        <v>36.399999999999991</v>
      </c>
      <c r="D93" s="99">
        <v>0</v>
      </c>
      <c r="E93" s="181">
        <v>97.444623755546786</v>
      </c>
      <c r="F93" s="63">
        <v>31</v>
      </c>
      <c r="G93" s="63">
        <f>[2]Population!C17</f>
        <v>98319.649999999936</v>
      </c>
      <c r="H93" s="61">
        <v>336</v>
      </c>
      <c r="I93" s="63">
        <v>0</v>
      </c>
      <c r="J93" s="111">
        <v>83.20520956927237</v>
      </c>
      <c r="K93" s="128">
        <f t="shared" si="0"/>
        <v>102941812.56996208</v>
      </c>
      <c r="L93" s="69"/>
      <c r="M93" s="213"/>
    </row>
    <row r="94" spans="1:13" x14ac:dyDescent="0.2">
      <c r="A94" s="59">
        <v>35582</v>
      </c>
      <c r="C94" s="51">
        <f>'[1]Monthly Summary'!B94</f>
        <v>0</v>
      </c>
      <c r="D94" s="99">
        <v>73.2</v>
      </c>
      <c r="E94" s="181">
        <v>97.805640117179436</v>
      </c>
      <c r="F94" s="63">
        <v>30</v>
      </c>
      <c r="G94" s="63">
        <f>[2]Population!C18</f>
        <v>98546.79999999993</v>
      </c>
      <c r="H94" s="61">
        <v>336</v>
      </c>
      <c r="I94" s="63">
        <v>0</v>
      </c>
      <c r="J94" s="111">
        <v>82.597058580061258</v>
      </c>
      <c r="K94" s="128">
        <f t="shared" si="0"/>
        <v>105618764.73090553</v>
      </c>
      <c r="L94" s="69"/>
      <c r="M94" s="213"/>
    </row>
    <row r="95" spans="1:13" ht="12.75" x14ac:dyDescent="0.2">
      <c r="A95" s="59">
        <v>35612</v>
      </c>
      <c r="C95" s="51">
        <f>'[1]Monthly Summary'!B95</f>
        <v>0</v>
      </c>
      <c r="D95" s="99">
        <v>103</v>
      </c>
      <c r="E95" s="181">
        <v>98.167993985267998</v>
      </c>
      <c r="F95" s="63">
        <v>31</v>
      </c>
      <c r="G95" s="63">
        <f>[2]Population!C19</f>
        <v>98773.949999999924</v>
      </c>
      <c r="H95" s="61">
        <v>352</v>
      </c>
      <c r="I95" s="63">
        <v>0</v>
      </c>
      <c r="J95" s="111">
        <v>84.698545845865183</v>
      </c>
      <c r="K95" s="128">
        <f t="shared" si="0"/>
        <v>112671470.42286593</v>
      </c>
      <c r="L95" s="69"/>
      <c r="M95" s="214"/>
    </row>
    <row r="96" spans="1:13" ht="12.75" x14ac:dyDescent="0.2">
      <c r="A96" s="59">
        <v>35643</v>
      </c>
      <c r="C96" s="51">
        <f>'[1]Monthly Summary'!B96</f>
        <v>0</v>
      </c>
      <c r="D96" s="99">
        <v>46.8</v>
      </c>
      <c r="E96" s="181">
        <v>98.531690315054689</v>
      </c>
      <c r="F96" s="63">
        <v>31</v>
      </c>
      <c r="G96" s="63">
        <f>[2]Population!C20</f>
        <v>99001.099999999919</v>
      </c>
      <c r="H96" s="61">
        <v>320</v>
      </c>
      <c r="I96" s="63">
        <v>0</v>
      </c>
      <c r="J96" s="111">
        <v>84.316106067713363</v>
      </c>
      <c r="K96" s="128">
        <f t="shared" si="0"/>
        <v>105151775.28052965</v>
      </c>
      <c r="L96" s="69"/>
      <c r="M96" s="214"/>
    </row>
    <row r="97" spans="1:13" ht="12.75" x14ac:dyDescent="0.2">
      <c r="A97" s="59">
        <v>35674</v>
      </c>
      <c r="C97" s="51">
        <f>'[1]Monthly Summary'!B97</f>
        <v>1.5999999999999996</v>
      </c>
      <c r="D97" s="99">
        <v>11.7</v>
      </c>
      <c r="E97" s="181">
        <v>98.896734080140092</v>
      </c>
      <c r="F97" s="63">
        <v>30</v>
      </c>
      <c r="G97" s="63">
        <f>[2]Population!C21</f>
        <v>99228.249999999913</v>
      </c>
      <c r="H97" s="61">
        <v>336</v>
      </c>
      <c r="I97" s="63">
        <v>0</v>
      </c>
      <c r="J97" s="111">
        <v>84.459038106012528</v>
      </c>
      <c r="K97" s="128">
        <f t="shared" si="0"/>
        <v>102121342.51106866</v>
      </c>
      <c r="L97" s="69"/>
      <c r="M97" s="214"/>
    </row>
    <row r="98" spans="1:13" ht="12.75" x14ac:dyDescent="0.2">
      <c r="A98" s="59">
        <v>35704</v>
      </c>
      <c r="C98" s="51">
        <f>'[1]Monthly Summary'!B98</f>
        <v>81.900000000000006</v>
      </c>
      <c r="D98" s="99">
        <v>2.8</v>
      </c>
      <c r="E98" s="181">
        <v>99.26313027255118</v>
      </c>
      <c r="F98" s="63">
        <v>31</v>
      </c>
      <c r="G98" s="63">
        <f>[2]Population!C22</f>
        <v>99455.399999999907</v>
      </c>
      <c r="H98" s="61">
        <v>352</v>
      </c>
      <c r="I98" s="63">
        <v>0</v>
      </c>
      <c r="J98" s="111">
        <v>85.436936066885565</v>
      </c>
      <c r="K98" s="128">
        <f t="shared" si="0"/>
        <v>107979929.10428526</v>
      </c>
      <c r="L98" s="69"/>
      <c r="M98" s="214"/>
    </row>
    <row r="99" spans="1:13" ht="12.75" x14ac:dyDescent="0.2">
      <c r="A99" s="59">
        <v>35735</v>
      </c>
      <c r="C99" s="51">
        <f>'[1]Monthly Summary'!B99</f>
        <v>226.60000000000008</v>
      </c>
      <c r="D99" s="99">
        <v>0</v>
      </c>
      <c r="E99" s="181">
        <v>99.630883902809558</v>
      </c>
      <c r="F99" s="63">
        <v>30</v>
      </c>
      <c r="G99" s="63">
        <f>[2]Population!C23</f>
        <v>99682.549999999901</v>
      </c>
      <c r="H99" s="61">
        <v>304</v>
      </c>
      <c r="I99" s="63">
        <v>0</v>
      </c>
      <c r="J99" s="111">
        <v>85.025247647691842</v>
      </c>
      <c r="K99" s="128">
        <f t="shared" si="0"/>
        <v>105628206.38778612</v>
      </c>
      <c r="L99" s="69"/>
      <c r="M99" s="214"/>
    </row>
    <row r="100" spans="1:13" ht="15" x14ac:dyDescent="0.25">
      <c r="A100" s="59">
        <v>35765</v>
      </c>
      <c r="C100" s="51">
        <f>'[1]Monthly Summary'!B100</f>
        <v>338.2</v>
      </c>
      <c r="D100" s="99">
        <v>0</v>
      </c>
      <c r="E100" s="88">
        <v>100</v>
      </c>
      <c r="F100" s="63">
        <v>31</v>
      </c>
      <c r="G100" s="63">
        <f>[2]Population!C24</f>
        <v>99909.699999999895</v>
      </c>
      <c r="H100" s="61">
        <v>336</v>
      </c>
      <c r="I100" s="63">
        <v>0</v>
      </c>
      <c r="J100" s="111">
        <v>85.844209596865426</v>
      </c>
      <c r="K100" s="128">
        <f t="shared" si="0"/>
        <v>114581145.57387862</v>
      </c>
      <c r="L100" s="69"/>
      <c r="M100" s="215"/>
    </row>
    <row r="101" spans="1:13" ht="12.75" x14ac:dyDescent="0.2">
      <c r="A101" s="238">
        <v>35796</v>
      </c>
      <c r="B101" s="206">
        <f>'[2]wholesale kWh'!P31</f>
        <v>120876076</v>
      </c>
      <c r="C101" s="188">
        <f>'[1]Monthly Summary'!B101</f>
        <v>376.8</v>
      </c>
      <c r="D101" s="239">
        <v>0</v>
      </c>
      <c r="E101" s="207">
        <v>100.39254461560812</v>
      </c>
      <c r="F101" s="208">
        <v>31</v>
      </c>
      <c r="G101" s="208">
        <f>[2]Population!C25</f>
        <v>100136.84999999989</v>
      </c>
      <c r="H101" s="208">
        <v>336.28800000000001</v>
      </c>
      <c r="I101" s="208">
        <v>0</v>
      </c>
      <c r="J101" s="254">
        <v>85.60414999586105</v>
      </c>
      <c r="K101" s="128">
        <f t="shared" si="0"/>
        <v>115858483.78009754</v>
      </c>
      <c r="L101" s="69"/>
      <c r="M101" s="214"/>
    </row>
    <row r="102" spans="1:13" ht="12.75" x14ac:dyDescent="0.2">
      <c r="A102" s="59">
        <v>35827</v>
      </c>
      <c r="B102" s="64">
        <f>'[2]wholesale kWh'!P32</f>
        <v>109647813</v>
      </c>
      <c r="C102" s="51">
        <f>'[1]Monthly Summary'!B102</f>
        <v>288.2</v>
      </c>
      <c r="D102" s="129">
        <v>0</v>
      </c>
      <c r="E102" s="181">
        <v>100.78663014396867</v>
      </c>
      <c r="F102" s="63">
        <v>28</v>
      </c>
      <c r="G102" s="63">
        <f>[2]Population!C26</f>
        <v>100363.99999999988</v>
      </c>
      <c r="H102" s="63">
        <v>319.87200000000001</v>
      </c>
      <c r="I102" s="63">
        <v>0</v>
      </c>
      <c r="J102" s="111">
        <v>86.909853480864214</v>
      </c>
      <c r="K102" s="128">
        <f t="shared" si="0"/>
        <v>106412793.44989398</v>
      </c>
      <c r="L102" s="69"/>
      <c r="M102" s="214"/>
    </row>
    <row r="103" spans="1:13" ht="12.75" x14ac:dyDescent="0.2">
      <c r="A103" s="59">
        <v>35855</v>
      </c>
      <c r="B103" s="64">
        <f>'[2]wholesale kWh'!P33</f>
        <v>119394242</v>
      </c>
      <c r="C103" s="51">
        <f>'[1]Monthly Summary'!B103</f>
        <v>276.59999999999997</v>
      </c>
      <c r="D103" s="129">
        <v>0</v>
      </c>
      <c r="E103" s="181">
        <v>101.18226263385168</v>
      </c>
      <c r="F103" s="63">
        <v>31</v>
      </c>
      <c r="G103" s="63">
        <f>[2]Population!C27</f>
        <v>100591.14999999988</v>
      </c>
      <c r="H103" s="63">
        <v>351.91199999999998</v>
      </c>
      <c r="I103" s="63">
        <v>0</v>
      </c>
      <c r="J103" s="111">
        <v>87.561049639910593</v>
      </c>
      <c r="K103" s="128">
        <f t="shared" si="0"/>
        <v>115570862.14569172</v>
      </c>
      <c r="L103" s="69"/>
      <c r="M103" s="214"/>
    </row>
    <row r="104" spans="1:13" ht="12.75" x14ac:dyDescent="0.2">
      <c r="A104" s="59">
        <v>35886</v>
      </c>
      <c r="B104" s="64">
        <f>'[2]wholesale kWh'!P34</f>
        <v>107194792.7</v>
      </c>
      <c r="C104" s="51">
        <f>'[1]Monthly Summary'!B104</f>
        <v>55.699999999999996</v>
      </c>
      <c r="D104" s="129">
        <v>0</v>
      </c>
      <c r="E104" s="181">
        <v>101.57944815777132</v>
      </c>
      <c r="F104" s="63">
        <v>30</v>
      </c>
      <c r="G104" s="63">
        <f>[2]Population!C28</f>
        <v>100818.29999999987</v>
      </c>
      <c r="H104" s="63">
        <v>336.24</v>
      </c>
      <c r="I104" s="63">
        <v>0</v>
      </c>
      <c r="J104" s="111">
        <v>87.739300791920755</v>
      </c>
      <c r="K104" s="128">
        <f t="shared" si="0"/>
        <v>105668333.37216371</v>
      </c>
      <c r="L104" s="69"/>
      <c r="M104" s="214"/>
    </row>
    <row r="105" spans="1:13" ht="12.75" x14ac:dyDescent="0.2">
      <c r="A105" s="59">
        <v>35916</v>
      </c>
      <c r="B105" s="64">
        <f>'[2]wholesale kWh'!P35</f>
        <v>110274560</v>
      </c>
      <c r="C105" s="51">
        <f>'[1]Monthly Summary'!B105</f>
        <v>0</v>
      </c>
      <c r="D105" s="129">
        <v>28.6</v>
      </c>
      <c r="E105" s="181">
        <v>101.97819281207909</v>
      </c>
      <c r="F105" s="63">
        <v>31</v>
      </c>
      <c r="G105" s="63">
        <f>[2]Population!C29</f>
        <v>101045.44999999987</v>
      </c>
      <c r="H105" s="63">
        <v>319.92</v>
      </c>
      <c r="I105" s="63">
        <v>0</v>
      </c>
      <c r="J105" s="111">
        <v>87.260837173367179</v>
      </c>
      <c r="K105" s="128">
        <f t="shared" si="0"/>
        <v>106722086.23281024</v>
      </c>
      <c r="L105" s="69"/>
      <c r="M105" s="214"/>
    </row>
    <row r="106" spans="1:13" ht="12.75" x14ac:dyDescent="0.2">
      <c r="A106" s="65">
        <v>35947</v>
      </c>
      <c r="B106" s="64">
        <f>'[2]wholesale kWh'!P36</f>
        <v>113606458</v>
      </c>
      <c r="C106" s="51">
        <f>'[1]Monthly Summary'!B106</f>
        <v>0.5</v>
      </c>
      <c r="D106" s="129">
        <v>82.4</v>
      </c>
      <c r="E106" s="181">
        <v>102.37850271705736</v>
      </c>
      <c r="F106" s="61">
        <v>30</v>
      </c>
      <c r="G106" s="61">
        <f>[2]Population!C30</f>
        <v>101272.59999999986</v>
      </c>
      <c r="H106" s="61">
        <v>352.08</v>
      </c>
      <c r="I106" s="61">
        <v>0</v>
      </c>
      <c r="J106" s="111">
        <v>86.646615711486987</v>
      </c>
      <c r="K106" s="128">
        <f t="shared" si="0"/>
        <v>111987221.59541743</v>
      </c>
      <c r="L106" s="69"/>
      <c r="M106" s="214"/>
    </row>
    <row r="107" spans="1:13" ht="12.75" x14ac:dyDescent="0.2">
      <c r="A107" s="59">
        <v>35977</v>
      </c>
      <c r="B107" s="64">
        <f>'[2]wholesale kWh'!P37</f>
        <v>113134831</v>
      </c>
      <c r="C107" s="51">
        <f>'[1]Monthly Summary'!B107</f>
        <v>0</v>
      </c>
      <c r="D107" s="129">
        <v>101.3</v>
      </c>
      <c r="E107" s="181">
        <v>102.78038401701338</v>
      </c>
      <c r="F107" s="63">
        <v>31</v>
      </c>
      <c r="G107" s="63">
        <f>[2]Population!C31</f>
        <v>101499.74999999985</v>
      </c>
      <c r="H107" s="63">
        <v>351.91199999999998</v>
      </c>
      <c r="I107" s="63">
        <v>0</v>
      </c>
      <c r="J107" s="111">
        <v>84.944124058386905</v>
      </c>
      <c r="K107" s="128">
        <f t="shared" si="0"/>
        <v>114886591.21350244</v>
      </c>
      <c r="L107" s="69"/>
      <c r="M107" s="214"/>
    </row>
    <row r="108" spans="1:13" ht="12.75" x14ac:dyDescent="0.2">
      <c r="A108" s="59">
        <v>36008</v>
      </c>
      <c r="B108" s="64">
        <f>'[2]wholesale kWh'!P38</f>
        <v>117588202</v>
      </c>
      <c r="C108" s="51">
        <f>'[1]Monthly Summary'!B108</f>
        <v>0</v>
      </c>
      <c r="D108" s="129">
        <v>117.7</v>
      </c>
      <c r="E108" s="181">
        <v>103.1838428803735</v>
      </c>
      <c r="F108" s="63">
        <v>31</v>
      </c>
      <c r="G108" s="63">
        <f>[2]Population!C32</f>
        <v>101726.89999999985</v>
      </c>
      <c r="H108" s="63">
        <v>319.92</v>
      </c>
      <c r="I108" s="63">
        <v>0</v>
      </c>
      <c r="J108" s="111">
        <v>87.022433155817993</v>
      </c>
      <c r="K108" s="128">
        <f t="shared" si="0"/>
        <v>114358300.51071274</v>
      </c>
      <c r="L108" s="69"/>
      <c r="M108" s="214"/>
    </row>
    <row r="109" spans="1:13" ht="12.75" x14ac:dyDescent="0.2">
      <c r="A109" s="59">
        <v>36039</v>
      </c>
      <c r="B109" s="64">
        <f>'[2]wholesale kWh'!P39</f>
        <v>110772099.19999999</v>
      </c>
      <c r="C109" s="51">
        <f>'[1]Monthly Summary'!B109</f>
        <v>0</v>
      </c>
      <c r="D109" s="129">
        <v>45</v>
      </c>
      <c r="E109" s="181">
        <v>103.58888549977794</v>
      </c>
      <c r="F109" s="63">
        <v>30</v>
      </c>
      <c r="G109" s="63">
        <f>[2]Population!C33</f>
        <v>101954.04999999984</v>
      </c>
      <c r="H109" s="63">
        <v>336.24</v>
      </c>
      <c r="I109" s="63">
        <v>0</v>
      </c>
      <c r="J109" s="111">
        <v>88.477139151789402</v>
      </c>
      <c r="K109" s="128">
        <f t="shared" si="0"/>
        <v>108905825.10420901</v>
      </c>
      <c r="L109" s="69"/>
      <c r="M109" s="214"/>
    </row>
    <row r="110" spans="1:13" ht="12.75" x14ac:dyDescent="0.2">
      <c r="A110" s="59">
        <v>36069</v>
      </c>
      <c r="B110" s="64">
        <f>'[2]wholesale kWh'!P40</f>
        <v>112709425.5</v>
      </c>
      <c r="C110" s="51">
        <f>'[1]Monthly Summary'!B110</f>
        <v>24.199999999999992</v>
      </c>
      <c r="D110" s="129">
        <v>0</v>
      </c>
      <c r="E110" s="181">
        <v>103.99551809217577</v>
      </c>
      <c r="F110" s="63">
        <v>31</v>
      </c>
      <c r="G110" s="63">
        <f>[2]Population!C34</f>
        <v>102181.19999999984</v>
      </c>
      <c r="H110" s="63">
        <v>336.28800000000001</v>
      </c>
      <c r="I110" s="63">
        <v>0</v>
      </c>
      <c r="J110" s="111">
        <v>89.34190557655694</v>
      </c>
      <c r="K110" s="128">
        <f t="shared" si="0"/>
        <v>108623949.33743823</v>
      </c>
      <c r="L110" s="69"/>
      <c r="M110" s="214"/>
    </row>
    <row r="111" spans="1:13" ht="12.75" x14ac:dyDescent="0.2">
      <c r="A111" s="59">
        <v>36100</v>
      </c>
      <c r="B111" s="64">
        <f>'[2]wholesale kWh'!P41</f>
        <v>115634975.80000001</v>
      </c>
      <c r="C111" s="51">
        <f>'[1]Monthly Summary'!B111</f>
        <v>156.19999999999999</v>
      </c>
      <c r="D111" s="129">
        <v>0</v>
      </c>
      <c r="E111" s="181">
        <v>104.40374689892037</v>
      </c>
      <c r="F111" s="63">
        <v>30</v>
      </c>
      <c r="G111" s="63">
        <f>[2]Population!C35</f>
        <v>102408.34999999983</v>
      </c>
      <c r="H111" s="63">
        <v>336.24</v>
      </c>
      <c r="I111" s="63">
        <v>0</v>
      </c>
      <c r="J111" s="111">
        <v>89.295549239811265</v>
      </c>
      <c r="K111" s="128">
        <f t="shared" si="0"/>
        <v>110794950.13244602</v>
      </c>
      <c r="L111" s="69"/>
      <c r="M111" s="214"/>
    </row>
    <row r="112" spans="1:13" ht="12.75" x14ac:dyDescent="0.2">
      <c r="A112" s="59">
        <v>36130</v>
      </c>
      <c r="B112" s="64">
        <f>'[2]wholesale kWh'!P42</f>
        <v>117508359</v>
      </c>
      <c r="C112" s="51">
        <f>'[1]Monthly Summary'!B112</f>
        <v>288.90000000000003</v>
      </c>
      <c r="D112" s="129">
        <v>0</v>
      </c>
      <c r="E112" s="88">
        <v>104.81357818586534</v>
      </c>
      <c r="F112" s="63">
        <v>31</v>
      </c>
      <c r="G112" s="63">
        <f>[2]Population!C36</f>
        <v>102635.49999999983</v>
      </c>
      <c r="H112" s="63">
        <v>336.28800000000001</v>
      </c>
      <c r="I112" s="63">
        <v>0</v>
      </c>
      <c r="J112" s="111">
        <v>90.947821528103532</v>
      </c>
      <c r="K112" s="128">
        <f t="shared" si="0"/>
        <v>117789487.1675407</v>
      </c>
      <c r="L112" s="69"/>
      <c r="M112" s="214"/>
    </row>
    <row r="113" spans="1:24" ht="12.75" x14ac:dyDescent="0.2">
      <c r="A113" s="59">
        <v>36161</v>
      </c>
      <c r="B113" s="64">
        <f>'[2]wholesale kWh'!P43</f>
        <v>125917994.09999999</v>
      </c>
      <c r="C113" s="51">
        <f>'[1]Monthly Summary'!B113</f>
        <v>501.80000000000013</v>
      </c>
      <c r="D113" s="129">
        <v>0</v>
      </c>
      <c r="E113" s="181">
        <v>105.44819844915847</v>
      </c>
      <c r="F113" s="63">
        <v>31</v>
      </c>
      <c r="G113" s="63">
        <f>[2]Population!C37</f>
        <v>102862.64999999982</v>
      </c>
      <c r="H113" s="63">
        <v>319.92</v>
      </c>
      <c r="I113" s="63">
        <v>0</v>
      </c>
      <c r="J113" s="111">
        <v>91.181258795287107</v>
      </c>
      <c r="K113" s="128">
        <f t="shared" si="0"/>
        <v>123097112.73969325</v>
      </c>
      <c r="L113" s="69"/>
      <c r="M113" s="214"/>
      <c r="N113" s="69"/>
      <c r="O113" t="s">
        <v>18</v>
      </c>
      <c r="P113"/>
      <c r="Q113"/>
      <c r="R113"/>
      <c r="S113"/>
      <c r="T113"/>
      <c r="U113"/>
      <c r="V113"/>
      <c r="W113"/>
      <c r="X113"/>
    </row>
    <row r="114" spans="1:24" ht="13.5" thickBot="1" x14ac:dyDescent="0.25">
      <c r="A114" s="59">
        <v>36192</v>
      </c>
      <c r="B114" s="64">
        <f>'[2]wholesale kWh'!P44</f>
        <v>112419043.59999999</v>
      </c>
      <c r="C114" s="51">
        <f>'[1]Monthly Summary'!B114</f>
        <v>324.09999999999997</v>
      </c>
      <c r="D114" s="129">
        <v>0</v>
      </c>
      <c r="E114" s="181">
        <v>106.08666118100913</v>
      </c>
      <c r="F114" s="63">
        <v>28</v>
      </c>
      <c r="G114" s="63">
        <f>[2]Population!C38</f>
        <v>103089.79999999981</v>
      </c>
      <c r="H114" s="63">
        <v>319.87200000000001</v>
      </c>
      <c r="I114" s="63">
        <v>0</v>
      </c>
      <c r="J114" s="111">
        <v>91.629370050495297</v>
      </c>
      <c r="K114" s="128">
        <f t="shared" si="0"/>
        <v>112174243.24819334</v>
      </c>
      <c r="L114" s="69"/>
      <c r="M114" s="214"/>
      <c r="N114" s="69"/>
      <c r="O114"/>
      <c r="P114"/>
      <c r="Q114"/>
      <c r="R114"/>
      <c r="S114"/>
      <c r="T114"/>
      <c r="U114"/>
      <c r="V114"/>
      <c r="W114"/>
      <c r="X114"/>
    </row>
    <row r="115" spans="1:24" ht="12.75" x14ac:dyDescent="0.2">
      <c r="A115" s="59">
        <v>36220</v>
      </c>
      <c r="B115" s="64">
        <f>'[2]wholesale kWh'!P45</f>
        <v>122572431.5</v>
      </c>
      <c r="C115" s="51">
        <f>'[1]Monthly Summary'!B115</f>
        <v>306.5</v>
      </c>
      <c r="D115" s="129">
        <v>0</v>
      </c>
      <c r="E115" s="181">
        <v>106.72898964661303</v>
      </c>
      <c r="F115" s="63">
        <v>31</v>
      </c>
      <c r="G115" s="63">
        <f>[2]Population!C39</f>
        <v>103316.94999999981</v>
      </c>
      <c r="H115" s="63">
        <v>368.28</v>
      </c>
      <c r="I115" s="63">
        <v>0</v>
      </c>
      <c r="J115" s="111">
        <v>91.493060346016946</v>
      </c>
      <c r="K115" s="128">
        <f t="shared" si="0"/>
        <v>122409691.32887082</v>
      </c>
      <c r="L115" s="69"/>
      <c r="M115" s="214"/>
      <c r="N115" s="69"/>
      <c r="O115" s="179" t="s">
        <v>19</v>
      </c>
      <c r="P115" s="179"/>
      <c r="Q115"/>
      <c r="R115"/>
      <c r="S115"/>
      <c r="T115"/>
      <c r="U115"/>
      <c r="V115"/>
      <c r="W115"/>
      <c r="X115"/>
    </row>
    <row r="116" spans="1:24" ht="12.75" x14ac:dyDescent="0.2">
      <c r="A116" s="59">
        <v>36251</v>
      </c>
      <c r="B116" s="64">
        <f>'[2]wholesale kWh'!P46</f>
        <v>109359553.89999999</v>
      </c>
      <c r="C116" s="51">
        <f>'[1]Monthly Summary'!B116</f>
        <v>67</v>
      </c>
      <c r="D116" s="129">
        <v>0</v>
      </c>
      <c r="E116" s="181">
        <v>107.37520725203085</v>
      </c>
      <c r="F116" s="63">
        <v>30</v>
      </c>
      <c r="G116" s="63">
        <f>[2]Population!C40</f>
        <v>103544.0999999998</v>
      </c>
      <c r="H116" s="63">
        <v>336.24</v>
      </c>
      <c r="I116" s="63">
        <v>0</v>
      </c>
      <c r="J116" s="111">
        <v>92.674595071879921</v>
      </c>
      <c r="K116" s="128">
        <f t="shared" si="0"/>
        <v>110959055.82393232</v>
      </c>
      <c r="L116" s="69"/>
      <c r="M116" s="214"/>
      <c r="N116" s="69"/>
      <c r="O116" s="89" t="s">
        <v>20</v>
      </c>
      <c r="P116" s="89">
        <v>0.93108246110288762</v>
      </c>
      <c r="Q116"/>
      <c r="R116"/>
      <c r="S116"/>
      <c r="T116"/>
      <c r="U116"/>
      <c r="V116"/>
      <c r="W116"/>
      <c r="X116"/>
    </row>
    <row r="117" spans="1:24" ht="12.75" x14ac:dyDescent="0.2">
      <c r="A117" s="59">
        <v>36281</v>
      </c>
      <c r="B117" s="64">
        <f>'[2]wholesale kWh'!P47</f>
        <v>111042967.59999999</v>
      </c>
      <c r="C117" s="51">
        <f>'[1]Monthly Summary'!B117</f>
        <v>0.80000000000000071</v>
      </c>
      <c r="D117" s="129">
        <v>19.399999999999999</v>
      </c>
      <c r="E117" s="181">
        <v>108.02533754504118</v>
      </c>
      <c r="F117" s="63">
        <v>31</v>
      </c>
      <c r="G117" s="63">
        <f>[2]Population!C41</f>
        <v>103771.2499999998</v>
      </c>
      <c r="H117" s="63">
        <v>319.92</v>
      </c>
      <c r="I117" s="63">
        <v>0</v>
      </c>
      <c r="J117" s="111">
        <v>92.396457051405861</v>
      </c>
      <c r="K117" s="128">
        <f t="shared" si="0"/>
        <v>111136101.3273484</v>
      </c>
      <c r="L117" s="69"/>
      <c r="M117" s="214"/>
      <c r="N117" s="69"/>
      <c r="O117" s="89" t="s">
        <v>21</v>
      </c>
      <c r="P117" s="89">
        <v>0.86691454937341017</v>
      </c>
      <c r="Q117"/>
      <c r="R117"/>
      <c r="S117"/>
      <c r="T117"/>
      <c r="U117"/>
      <c r="V117"/>
      <c r="W117"/>
      <c r="X117"/>
    </row>
    <row r="118" spans="1:24" ht="12.75" x14ac:dyDescent="0.2">
      <c r="A118" s="59">
        <v>36312</v>
      </c>
      <c r="B118" s="64">
        <f>'[2]wholesale kWh'!P48</f>
        <v>120634268.8</v>
      </c>
      <c r="C118" s="51">
        <f>'[1]Monthly Summary'!B118</f>
        <v>0</v>
      </c>
      <c r="D118" s="129">
        <v>96</v>
      </c>
      <c r="E118" s="181">
        <v>108.6794042159986</v>
      </c>
      <c r="F118" s="63">
        <v>30</v>
      </c>
      <c r="G118" s="63">
        <f>[2]Population!C42</f>
        <v>103998.39999999979</v>
      </c>
      <c r="H118" s="63">
        <v>352.08</v>
      </c>
      <c r="I118" s="63">
        <v>0</v>
      </c>
      <c r="J118" s="111">
        <v>94.286581496095579</v>
      </c>
      <c r="K118" s="128">
        <f t="shared" si="0"/>
        <v>119443233.21052295</v>
      </c>
      <c r="N118" s="69"/>
      <c r="O118" s="89" t="s">
        <v>22</v>
      </c>
      <c r="P118" s="89">
        <v>0.85952091322748858</v>
      </c>
      <c r="Q118"/>
      <c r="R118"/>
      <c r="S118"/>
      <c r="T118"/>
      <c r="U118"/>
      <c r="V118"/>
      <c r="W118"/>
      <c r="X118"/>
    </row>
    <row r="119" spans="1:24" ht="12.75" x14ac:dyDescent="0.2">
      <c r="A119" s="59">
        <v>36342</v>
      </c>
      <c r="B119" s="64">
        <f>'[2]wholesale kWh'!P49</f>
        <v>123553938.40000001</v>
      </c>
      <c r="C119" s="51">
        <f>'[1]Monthly Summary'!B119</f>
        <v>0</v>
      </c>
      <c r="D119" s="129">
        <v>196.5</v>
      </c>
      <c r="E119" s="181">
        <v>109.33743109869688</v>
      </c>
      <c r="F119" s="63">
        <v>31</v>
      </c>
      <c r="G119" s="63">
        <f>[2]Population!C43</f>
        <v>104225.54999999978</v>
      </c>
      <c r="H119" s="63">
        <v>336.28800000000001</v>
      </c>
      <c r="I119" s="63">
        <v>0</v>
      </c>
      <c r="J119" s="111">
        <v>94.818023785215644</v>
      </c>
      <c r="K119" s="128">
        <f t="shared" si="0"/>
        <v>128578128.08644253</v>
      </c>
      <c r="N119" s="69"/>
      <c r="O119" s="89" t="s">
        <v>23</v>
      </c>
      <c r="P119" s="89">
        <v>3410071.6163008157</v>
      </c>
      <c r="Q119"/>
      <c r="R119"/>
      <c r="S119"/>
      <c r="T119"/>
      <c r="U119"/>
      <c r="V119"/>
      <c r="W119"/>
      <c r="X119"/>
    </row>
    <row r="120" spans="1:24" ht="13.5" thickBot="1" x14ac:dyDescent="0.25">
      <c r="A120" s="59">
        <v>36373</v>
      </c>
      <c r="B120" s="64">
        <f>'[2]wholesale kWh'!P50</f>
        <v>118485726.90000001</v>
      </c>
      <c r="C120" s="51">
        <f>'[1]Monthly Summary'!B120</f>
        <v>0</v>
      </c>
      <c r="D120" s="129">
        <v>79.099999999999994</v>
      </c>
      <c r="E120" s="181">
        <v>109.99944217123755</v>
      </c>
      <c r="F120" s="63">
        <v>31</v>
      </c>
      <c r="G120" s="63">
        <f>[2]Population!C44</f>
        <v>104452.69999999978</v>
      </c>
      <c r="H120" s="63">
        <v>336.28800000000001</v>
      </c>
      <c r="I120" s="63">
        <v>0</v>
      </c>
      <c r="J120" s="111">
        <v>96.28928561573909</v>
      </c>
      <c r="K120" s="128">
        <f t="shared" si="0"/>
        <v>120101734.02807045</v>
      </c>
      <c r="N120" s="69"/>
      <c r="O120" s="90" t="s">
        <v>24</v>
      </c>
      <c r="P120" s="90">
        <v>153</v>
      </c>
      <c r="Q120"/>
      <c r="R120"/>
      <c r="S120"/>
      <c r="T120"/>
      <c r="U120"/>
      <c r="V120"/>
      <c r="W120"/>
      <c r="X120"/>
    </row>
    <row r="121" spans="1:24" ht="12.75" x14ac:dyDescent="0.2">
      <c r="A121" s="59">
        <v>36404</v>
      </c>
      <c r="B121" s="64">
        <f>'[2]wholesale kWh'!P51</f>
        <v>116087485.80000001</v>
      </c>
      <c r="C121" s="51">
        <f>'[1]Monthly Summary'!B121</f>
        <v>9.9999999999999645E-2</v>
      </c>
      <c r="D121" s="129">
        <v>48.9</v>
      </c>
      <c r="E121" s="181">
        <v>110.66546155690358</v>
      </c>
      <c r="F121" s="63">
        <v>30</v>
      </c>
      <c r="G121" s="63">
        <f>[2]Population!C45</f>
        <v>104679.84999999977</v>
      </c>
      <c r="H121" s="63">
        <v>336.24</v>
      </c>
      <c r="I121" s="63">
        <v>0</v>
      </c>
      <c r="J121" s="111">
        <v>97.163985541237835</v>
      </c>
      <c r="K121" s="128">
        <f t="shared" ref="K121:K152" si="1">$P$129+C121*$P$130+D121*$P$131+E121*$P$132+F121*$P$133+G121*$P$134+H121*$P$135+I121*$P$136+J121*$P$137</f>
        <v>116359074.6652289</v>
      </c>
      <c r="N121" s="69"/>
      <c r="O121"/>
      <c r="P121"/>
      <c r="Q121"/>
      <c r="R121"/>
      <c r="S121"/>
      <c r="T121"/>
      <c r="U121"/>
      <c r="V121"/>
      <c r="W121"/>
      <c r="X121"/>
    </row>
    <row r="122" spans="1:24" ht="13.5" thickBot="1" x14ac:dyDescent="0.25">
      <c r="A122" s="59">
        <v>36434</v>
      </c>
      <c r="B122" s="64">
        <f>'[2]wholesale kWh'!P52</f>
        <v>116530754.40000001</v>
      </c>
      <c r="C122" s="51">
        <f>'[1]Monthly Summary'!B122</f>
        <v>54.2</v>
      </c>
      <c r="D122" s="129">
        <v>0</v>
      </c>
      <c r="E122" s="181">
        <v>111.33551352503846</v>
      </c>
      <c r="F122" s="63">
        <v>31</v>
      </c>
      <c r="G122" s="63">
        <f>[2]Population!C46</f>
        <v>104906.99999999977</v>
      </c>
      <c r="H122" s="63">
        <v>319.92</v>
      </c>
      <c r="I122" s="63">
        <v>0</v>
      </c>
      <c r="J122" s="111">
        <v>96.726911509064323</v>
      </c>
      <c r="K122" s="128">
        <f t="shared" si="1"/>
        <v>114626523.94384079</v>
      </c>
      <c r="N122" s="69"/>
      <c r="O122" t="s">
        <v>25</v>
      </c>
      <c r="P122"/>
      <c r="Q122"/>
      <c r="R122"/>
      <c r="S122"/>
      <c r="T122"/>
      <c r="U122"/>
      <c r="V122"/>
      <c r="W122"/>
      <c r="X122"/>
    </row>
    <row r="123" spans="1:24" ht="12.75" x14ac:dyDescent="0.2">
      <c r="A123" s="59">
        <v>36465</v>
      </c>
      <c r="B123" s="64">
        <f>'[2]wholesale kWh'!P53</f>
        <v>120137006.2</v>
      </c>
      <c r="C123" s="51">
        <f>'[1]Monthly Summary'!B123</f>
        <v>138.09999999999997</v>
      </c>
      <c r="D123" s="129">
        <v>0</v>
      </c>
      <c r="E123" s="181">
        <v>112.00962249193054</v>
      </c>
      <c r="F123" s="63">
        <v>30</v>
      </c>
      <c r="G123" s="63">
        <f>[2]Population!C47</f>
        <v>105134.14999999976</v>
      </c>
      <c r="H123" s="63">
        <v>352.08</v>
      </c>
      <c r="I123" s="63">
        <v>0</v>
      </c>
      <c r="J123" s="111">
        <v>98.777627548908697</v>
      </c>
      <c r="K123" s="128">
        <f t="shared" si="1"/>
        <v>119424112.99125142</v>
      </c>
      <c r="N123" s="69"/>
      <c r="O123" s="167"/>
      <c r="P123" s="167" t="s">
        <v>29</v>
      </c>
      <c r="Q123" s="167" t="s">
        <v>30</v>
      </c>
      <c r="R123" s="167" t="s">
        <v>31</v>
      </c>
      <c r="S123" s="167" t="s">
        <v>32</v>
      </c>
      <c r="T123" s="167" t="s">
        <v>33</v>
      </c>
      <c r="U123"/>
      <c r="V123"/>
      <c r="W123"/>
      <c r="X123"/>
    </row>
    <row r="124" spans="1:24" ht="12.75" x14ac:dyDescent="0.2">
      <c r="A124" s="59">
        <v>36495</v>
      </c>
      <c r="B124" s="66">
        <f>'[2]wholesale kWh'!P54</f>
        <v>123120873.19999999</v>
      </c>
      <c r="C124" s="51">
        <f>'[1]Monthly Summary'!B124</f>
        <v>332</v>
      </c>
      <c r="D124" s="129">
        <v>0</v>
      </c>
      <c r="E124" s="88">
        <v>112.68781302170287</v>
      </c>
      <c r="F124" s="63">
        <v>31</v>
      </c>
      <c r="G124" s="63">
        <f>[2]Population!C48</f>
        <v>105361.29999999976</v>
      </c>
      <c r="H124" s="63">
        <v>336.28800000000001</v>
      </c>
      <c r="I124" s="63">
        <v>0</v>
      </c>
      <c r="J124" s="111">
        <v>101.09378880273722</v>
      </c>
      <c r="K124" s="128">
        <f t="shared" si="1"/>
        <v>127191274.85579269</v>
      </c>
      <c r="N124" s="69"/>
      <c r="O124" s="211" t="s">
        <v>26</v>
      </c>
      <c r="P124" s="211">
        <v>8</v>
      </c>
      <c r="Q124" s="211">
        <v>1.0907750717735422E+16</v>
      </c>
      <c r="R124" s="211">
        <v>1363468839716927.7</v>
      </c>
      <c r="S124" s="211">
        <v>117.25144871398649</v>
      </c>
      <c r="T124" s="211">
        <v>3.8329911501008145E-59</v>
      </c>
      <c r="U124"/>
      <c r="V124"/>
      <c r="W124"/>
      <c r="X124"/>
    </row>
    <row r="125" spans="1:24" ht="12.75" x14ac:dyDescent="0.2">
      <c r="A125" s="59">
        <v>36526</v>
      </c>
      <c r="B125" s="64">
        <f>'[2]wholesale kWh'!P55</f>
        <v>132482862.40000001</v>
      </c>
      <c r="C125" s="51">
        <f>'[1]Monthly Summary'!B125</f>
        <v>490.9</v>
      </c>
      <c r="D125" s="129">
        <v>0</v>
      </c>
      <c r="E125" s="181">
        <v>113.20550742744629</v>
      </c>
      <c r="F125" s="61">
        <v>31</v>
      </c>
      <c r="G125" s="61">
        <f>[2]Population!F1</f>
        <v>105588.44999999975</v>
      </c>
      <c r="H125" s="61">
        <v>319.92</v>
      </c>
      <c r="I125" s="61">
        <v>0</v>
      </c>
      <c r="J125" s="111">
        <v>100.98838332275599</v>
      </c>
      <c r="K125" s="128">
        <f t="shared" si="1"/>
        <v>130662362.20431386</v>
      </c>
      <c r="N125" s="69"/>
      <c r="O125" s="211" t="s">
        <v>27</v>
      </c>
      <c r="P125" s="211">
        <v>144</v>
      </c>
      <c r="Q125" s="211">
        <v>1674516733675265.7</v>
      </c>
      <c r="R125" s="211">
        <v>11628588428300.457</v>
      </c>
      <c r="S125" s="211"/>
      <c r="T125" s="211"/>
      <c r="U125"/>
      <c r="V125"/>
      <c r="W125"/>
      <c r="X125"/>
    </row>
    <row r="126" spans="1:24" ht="13.5" thickBot="1" x14ac:dyDescent="0.25">
      <c r="A126" s="59">
        <v>36557</v>
      </c>
      <c r="B126" s="64">
        <f>'[2]wholesale kWh'!P56</f>
        <v>124296760.3</v>
      </c>
      <c r="C126" s="51">
        <f>'[1]Monthly Summary'!B126</f>
        <v>380.70000000000016</v>
      </c>
      <c r="D126" s="129">
        <v>0</v>
      </c>
      <c r="E126" s="181">
        <v>113.72558015157706</v>
      </c>
      <c r="F126" s="63">
        <v>29</v>
      </c>
      <c r="G126" s="63">
        <f>[2]Population!F2</f>
        <v>105815.59999999974</v>
      </c>
      <c r="H126" s="63">
        <v>336.16799999999995</v>
      </c>
      <c r="I126" s="63">
        <v>0</v>
      </c>
      <c r="J126" s="111">
        <v>100.60759912805939</v>
      </c>
      <c r="K126" s="128">
        <f t="shared" si="1"/>
        <v>124895255.02283078</v>
      </c>
      <c r="N126" s="69"/>
      <c r="O126" s="166" t="s">
        <v>9</v>
      </c>
      <c r="P126" s="166">
        <v>152</v>
      </c>
      <c r="Q126" s="166">
        <v>1.2582267451410688E+16</v>
      </c>
      <c r="R126" s="166"/>
      <c r="S126" s="166"/>
      <c r="T126" s="166"/>
      <c r="U126"/>
      <c r="V126"/>
      <c r="W126"/>
      <c r="X126"/>
    </row>
    <row r="127" spans="1:24" ht="13.5" thickBot="1" x14ac:dyDescent="0.25">
      <c r="A127" s="59">
        <v>36586</v>
      </c>
      <c r="B127" s="64">
        <f>'[2]wholesale kWh'!P57</f>
        <v>126391412.3</v>
      </c>
      <c r="C127" s="51">
        <f>'[1]Monthly Summary'!B127</f>
        <v>177.1</v>
      </c>
      <c r="D127" s="129">
        <v>0</v>
      </c>
      <c r="E127" s="181">
        <v>114.24804212022897</v>
      </c>
      <c r="F127" s="63">
        <v>31</v>
      </c>
      <c r="G127" s="63">
        <f>[2]Population!F3</f>
        <v>106042.74999999974</v>
      </c>
      <c r="H127" s="63">
        <v>368.28</v>
      </c>
      <c r="I127" s="63">
        <v>0</v>
      </c>
      <c r="J127" s="111">
        <v>103.14836787064374</v>
      </c>
      <c r="K127" s="128">
        <f t="shared" si="1"/>
        <v>127149304.19373506</v>
      </c>
      <c r="N127" s="69"/>
      <c r="O127"/>
      <c r="P127"/>
      <c r="Q127"/>
      <c r="R127"/>
      <c r="S127"/>
      <c r="T127"/>
      <c r="U127"/>
      <c r="V127"/>
      <c r="W127"/>
      <c r="X127"/>
    </row>
    <row r="128" spans="1:24" ht="12.75" x14ac:dyDescent="0.2">
      <c r="A128" s="59">
        <v>36617</v>
      </c>
      <c r="B128" s="64">
        <f>'[2]wholesale kWh'!P58</f>
        <v>115650048.69999999</v>
      </c>
      <c r="C128" s="51">
        <f>'[1]Monthly Summary'!B128</f>
        <v>111.29999999999998</v>
      </c>
      <c r="D128" s="129">
        <v>0</v>
      </c>
      <c r="E128" s="181">
        <v>114.77290430973115</v>
      </c>
      <c r="F128" s="63">
        <v>30</v>
      </c>
      <c r="G128" s="63">
        <f>[2]Population!F4</f>
        <v>106269.89999999973</v>
      </c>
      <c r="H128" s="63">
        <v>303.83999999999997</v>
      </c>
      <c r="I128" s="63">
        <v>0</v>
      </c>
      <c r="J128" s="111">
        <v>102.35368781214646</v>
      </c>
      <c r="K128" s="128">
        <f t="shared" si="1"/>
        <v>116972049.0118022</v>
      </c>
      <c r="N128" s="69"/>
      <c r="O128" s="167"/>
      <c r="P128" s="167" t="s">
        <v>34</v>
      </c>
      <c r="Q128" s="167" t="s">
        <v>23</v>
      </c>
      <c r="R128" s="167" t="s">
        <v>35</v>
      </c>
      <c r="S128" s="167" t="s">
        <v>36</v>
      </c>
      <c r="T128" s="167" t="s">
        <v>37</v>
      </c>
      <c r="U128" s="167" t="s">
        <v>38</v>
      </c>
      <c r="V128" s="167" t="s">
        <v>39</v>
      </c>
      <c r="W128" s="167" t="s">
        <v>40</v>
      </c>
      <c r="X128" s="167"/>
    </row>
    <row r="129" spans="1:24" ht="12.75" x14ac:dyDescent="0.2">
      <c r="A129" s="59">
        <v>36647</v>
      </c>
      <c r="B129" s="64">
        <f>'[2]wholesale kWh'!P59</f>
        <v>120319665.40000001</v>
      </c>
      <c r="C129" s="51">
        <f>'[1]Monthly Summary'!B129</f>
        <v>3.7000000000000011</v>
      </c>
      <c r="D129" s="129">
        <v>23.7</v>
      </c>
      <c r="E129" s="181">
        <v>115.30017774683859</v>
      </c>
      <c r="F129" s="63">
        <v>31</v>
      </c>
      <c r="G129" s="63">
        <f>[2]Population!F5</f>
        <v>106497.04999999973</v>
      </c>
      <c r="H129" s="63">
        <v>351.91199999999998</v>
      </c>
      <c r="I129" s="63">
        <v>0</v>
      </c>
      <c r="J129" s="111">
        <v>104.13344002648934</v>
      </c>
      <c r="K129" s="128">
        <f t="shared" si="1"/>
        <v>123188758.80220586</v>
      </c>
      <c r="N129" s="95" t="s">
        <v>28</v>
      </c>
      <c r="O129" s="95" t="s">
        <v>28</v>
      </c>
      <c r="P129" s="89">
        <v>-86845140.989188731</v>
      </c>
      <c r="Q129" s="89">
        <v>13881412.276779717</v>
      </c>
      <c r="R129" s="89">
        <v>-6.2562179739060042</v>
      </c>
      <c r="S129" s="89">
        <v>4.2502303918645379E-9</v>
      </c>
      <c r="T129" s="89">
        <v>-114282794.3739841</v>
      </c>
      <c r="U129" s="89">
        <v>-59407487.604393363</v>
      </c>
      <c r="V129" s="89">
        <v>-114282794.3739841</v>
      </c>
      <c r="W129" s="89">
        <v>-59407487.604393363</v>
      </c>
      <c r="X129" s="89"/>
    </row>
    <row r="130" spans="1:24" ht="12.75" x14ac:dyDescent="0.2">
      <c r="A130" s="59">
        <v>36678</v>
      </c>
      <c r="B130" s="64">
        <f>'[2]wholesale kWh'!P60</f>
        <v>122092714.09999999</v>
      </c>
      <c r="C130" s="51">
        <f>'[1]Monthly Summary'!B130</f>
        <v>0</v>
      </c>
      <c r="D130" s="129">
        <v>41.1</v>
      </c>
      <c r="E130" s="181">
        <v>115.82987350896386</v>
      </c>
      <c r="F130" s="63">
        <v>30</v>
      </c>
      <c r="G130" s="63">
        <f>[2]Population!F6</f>
        <v>106724.19999999972</v>
      </c>
      <c r="H130" s="63">
        <v>352.08</v>
      </c>
      <c r="I130" s="63">
        <v>0</v>
      </c>
      <c r="J130" s="111">
        <v>104.67702326094755</v>
      </c>
      <c r="K130" s="128">
        <f t="shared" si="1"/>
        <v>122978001.58829018</v>
      </c>
      <c r="N130" s="95" t="s">
        <v>73</v>
      </c>
      <c r="O130" s="95" t="s">
        <v>73</v>
      </c>
      <c r="P130" s="89">
        <v>30341.013707969567</v>
      </c>
      <c r="Q130" s="89">
        <v>1919.6964720688816</v>
      </c>
      <c r="R130" s="89">
        <v>15.805109895977809</v>
      </c>
      <c r="S130" s="89">
        <v>2.8925226739243326E-33</v>
      </c>
      <c r="T130" s="89">
        <v>26546.589527315551</v>
      </c>
      <c r="U130" s="89">
        <v>34135.437888623579</v>
      </c>
      <c r="V130" s="89">
        <v>26546.589527315551</v>
      </c>
      <c r="W130" s="89">
        <v>34135.437888623579</v>
      </c>
      <c r="X130" s="89"/>
    </row>
    <row r="131" spans="1:24" ht="12.75" x14ac:dyDescent="0.2">
      <c r="A131" s="59">
        <v>36708</v>
      </c>
      <c r="B131" s="64">
        <f>'[2]wholesale kWh'!P61</f>
        <v>118226162.8</v>
      </c>
      <c r="C131" s="51">
        <f>'[1]Monthly Summary'!B131</f>
        <v>0</v>
      </c>
      <c r="D131" s="129">
        <v>71.8</v>
      </c>
      <c r="E131" s="181">
        <v>116.36200272440982</v>
      </c>
      <c r="F131" s="63">
        <v>31</v>
      </c>
      <c r="G131" s="63">
        <f>[2]Population!F7</f>
        <v>106951.34999999971</v>
      </c>
      <c r="H131" s="63">
        <v>319.92</v>
      </c>
      <c r="I131" s="63">
        <v>0</v>
      </c>
      <c r="J131" s="111">
        <v>104.98109875555311</v>
      </c>
      <c r="K131" s="128">
        <f t="shared" si="1"/>
        <v>124813349.98015168</v>
      </c>
      <c r="N131" s="95" t="s">
        <v>74</v>
      </c>
      <c r="O131" s="95" t="s">
        <v>74</v>
      </c>
      <c r="P131" s="89">
        <v>80427.840709460943</v>
      </c>
      <c r="Q131" s="89">
        <v>6824.0039566810356</v>
      </c>
      <c r="R131" s="89">
        <v>11.786019061539102</v>
      </c>
      <c r="S131" s="89">
        <v>7.1915969000034712E-23</v>
      </c>
      <c r="T131" s="89">
        <v>66939.68463955693</v>
      </c>
      <c r="U131" s="89">
        <v>93915.996779364956</v>
      </c>
      <c r="V131" s="89">
        <v>66939.68463955693</v>
      </c>
      <c r="W131" s="89">
        <v>93915.996779364956</v>
      </c>
      <c r="X131" s="89"/>
    </row>
    <row r="132" spans="1:24" ht="12.75" x14ac:dyDescent="0.2">
      <c r="A132" s="59">
        <v>36739</v>
      </c>
      <c r="B132" s="64">
        <f>'[2]wholesale kWh'!P62</f>
        <v>128441395.7</v>
      </c>
      <c r="C132" s="51">
        <f>'[1]Monthly Summary'!B132</f>
        <v>0</v>
      </c>
      <c r="D132" s="129">
        <v>92.5</v>
      </c>
      <c r="E132" s="181">
        <v>116.89657657260338</v>
      </c>
      <c r="F132" s="63">
        <v>31</v>
      </c>
      <c r="G132" s="63">
        <f>[2]Population!F8</f>
        <v>107178.49999999971</v>
      </c>
      <c r="H132" s="63">
        <v>351.91199999999998</v>
      </c>
      <c r="I132" s="63">
        <v>0</v>
      </c>
      <c r="J132" s="111">
        <v>106.05888358489004</v>
      </c>
      <c r="K132" s="128">
        <f t="shared" si="1"/>
        <v>130218929.89937186</v>
      </c>
      <c r="N132" s="95" t="s">
        <v>75</v>
      </c>
      <c r="O132" s="95" t="s">
        <v>75</v>
      </c>
      <c r="P132" s="89">
        <v>354868.48978126078</v>
      </c>
      <c r="Q132" s="89">
        <v>67565.252414822069</v>
      </c>
      <c r="R132" s="89">
        <v>5.252233612664071</v>
      </c>
      <c r="S132" s="89">
        <v>5.2961918595386425E-7</v>
      </c>
      <c r="T132" s="89">
        <v>221320.69654158346</v>
      </c>
      <c r="U132" s="89">
        <v>488416.28302093811</v>
      </c>
      <c r="V132" s="89">
        <v>221320.69654158346</v>
      </c>
      <c r="W132" s="89">
        <v>488416.28302093811</v>
      </c>
      <c r="X132" s="89"/>
    </row>
    <row r="133" spans="1:24" ht="12.75" x14ac:dyDescent="0.2">
      <c r="A133" s="59">
        <v>36770</v>
      </c>
      <c r="B133" s="64">
        <f>'[2]wholesale kWh'!P63</f>
        <v>121012286</v>
      </c>
      <c r="C133" s="51">
        <f>'[1]Monthly Summary'!B133</f>
        <v>7.2000000000000011</v>
      </c>
      <c r="D133" s="129">
        <v>35.200000000000003</v>
      </c>
      <c r="E133" s="181">
        <v>117.43360628433041</v>
      </c>
      <c r="F133" s="63">
        <v>30</v>
      </c>
      <c r="G133" s="63">
        <f>[2]Population!F9</f>
        <v>107405.6499999997</v>
      </c>
      <c r="H133" s="63">
        <v>319.68</v>
      </c>
      <c r="I133" s="63">
        <v>0</v>
      </c>
      <c r="J133" s="111">
        <v>106.09916944896665</v>
      </c>
      <c r="K133" s="128">
        <f t="shared" si="1"/>
        <v>121060600.67735684</v>
      </c>
      <c r="N133" s="95" t="s">
        <v>76</v>
      </c>
      <c r="O133" s="95" t="s">
        <v>76</v>
      </c>
      <c r="P133" s="89">
        <v>2003764.4637296691</v>
      </c>
      <c r="Q133" s="89">
        <v>358941.90709006606</v>
      </c>
      <c r="R133" s="89">
        <v>5.5824199519474957</v>
      </c>
      <c r="S133" s="89">
        <v>1.1435872457706454E-7</v>
      </c>
      <c r="T133" s="89">
        <v>1294288.8400938176</v>
      </c>
      <c r="U133" s="89">
        <v>2713240.0873655207</v>
      </c>
      <c r="V133" s="89">
        <v>1294288.8400938176</v>
      </c>
      <c r="W133" s="89">
        <v>2713240.0873655207</v>
      </c>
      <c r="X133" s="89"/>
    </row>
    <row r="134" spans="1:24" ht="12.75" x14ac:dyDescent="0.2">
      <c r="A134" s="59">
        <v>36800</v>
      </c>
      <c r="B134" s="64">
        <f>'[2]wholesale kWh'!P64</f>
        <v>123847688.59999999</v>
      </c>
      <c r="C134" s="51">
        <f>'[1]Monthly Summary'!B134</f>
        <v>37.899999999999991</v>
      </c>
      <c r="D134" s="129">
        <v>1.2</v>
      </c>
      <c r="E134" s="181">
        <v>117.97310314197166</v>
      </c>
      <c r="F134" s="63">
        <v>31</v>
      </c>
      <c r="G134" s="63">
        <f>[2]Population!F10</f>
        <v>107632.7999999997</v>
      </c>
      <c r="H134" s="63">
        <v>336.28800000000001</v>
      </c>
      <c r="I134" s="63">
        <v>0</v>
      </c>
      <c r="J134" s="111">
        <v>106.37730746944069</v>
      </c>
      <c r="K134" s="128">
        <f t="shared" si="1"/>
        <v>123190550.09393309</v>
      </c>
      <c r="N134" s="55" t="s">
        <v>103</v>
      </c>
      <c r="O134" s="55" t="s">
        <v>103</v>
      </c>
      <c r="P134" s="89">
        <v>223.71236924555762</v>
      </c>
      <c r="Q134" s="89">
        <v>95.701633469820592</v>
      </c>
      <c r="R134" s="89">
        <v>2.337602412148013</v>
      </c>
      <c r="S134" s="89">
        <v>2.0785068353040746E-2</v>
      </c>
      <c r="T134" s="89">
        <v>34.550906769866231</v>
      </c>
      <c r="U134" s="89">
        <v>412.87383172124902</v>
      </c>
      <c r="V134" s="89">
        <v>34.550906769866231</v>
      </c>
      <c r="W134" s="89">
        <v>412.87383172124902</v>
      </c>
      <c r="X134" s="89"/>
    </row>
    <row r="135" spans="1:24" ht="12.75" x14ac:dyDescent="0.2">
      <c r="A135" s="59">
        <v>36831</v>
      </c>
      <c r="B135" s="64">
        <f>'[2]wholesale kWh'!P65</f>
        <v>127767370.8</v>
      </c>
      <c r="C135" s="51">
        <f>'[1]Monthly Summary'!B135</f>
        <v>199.6</v>
      </c>
      <c r="D135" s="129">
        <v>0</v>
      </c>
      <c r="E135" s="181">
        <v>118.51507847973981</v>
      </c>
      <c r="F135" s="63">
        <v>30</v>
      </c>
      <c r="G135" s="63">
        <f>[2]Population!F11</f>
        <v>107859.94999999969</v>
      </c>
      <c r="H135" s="63">
        <v>352.08</v>
      </c>
      <c r="I135" s="63">
        <v>0</v>
      </c>
      <c r="J135" s="111">
        <v>106.30335807510831</v>
      </c>
      <c r="K135" s="128">
        <f t="shared" si="1"/>
        <v>127687233.47613907</v>
      </c>
      <c r="N135" s="95" t="s">
        <v>77</v>
      </c>
      <c r="O135" s="95" t="s">
        <v>77</v>
      </c>
      <c r="P135" s="89">
        <v>93835.88132393414</v>
      </c>
      <c r="Q135" s="89">
        <v>18089.852791736535</v>
      </c>
      <c r="R135" s="89">
        <v>5.1872108858065706</v>
      </c>
      <c r="S135" s="89">
        <v>7.1141813882468581E-7</v>
      </c>
      <c r="T135" s="89">
        <v>58079.929351244507</v>
      </c>
      <c r="U135" s="89">
        <v>129591.83329662378</v>
      </c>
      <c r="V135" s="89">
        <v>58079.929351244507</v>
      </c>
      <c r="W135" s="89">
        <v>129591.83329662378</v>
      </c>
      <c r="X135" s="89"/>
    </row>
    <row r="136" spans="1:24" ht="12.75" x14ac:dyDescent="0.2">
      <c r="A136" s="59">
        <v>36861</v>
      </c>
      <c r="B136" s="64">
        <f>'[2]wholesale kWh'!P66</f>
        <v>131012366.89999999</v>
      </c>
      <c r="C136" s="51">
        <f>'[1]Monthly Summary'!B136</f>
        <v>532.29999999999995</v>
      </c>
      <c r="D136" s="129">
        <v>0</v>
      </c>
      <c r="E136" s="88">
        <v>119.05954368391765</v>
      </c>
      <c r="F136" s="63">
        <v>31</v>
      </c>
      <c r="G136" s="63">
        <f>[2]Population!F12</f>
        <v>108087.09999999969</v>
      </c>
      <c r="H136" s="63">
        <v>304.29599999999999</v>
      </c>
      <c r="I136" s="63">
        <v>0</v>
      </c>
      <c r="J136" s="111">
        <v>105.39444275820205</v>
      </c>
      <c r="K136" s="128">
        <f t="shared" si="1"/>
        <v>135125482.82683009</v>
      </c>
      <c r="N136" s="95" t="s">
        <v>78</v>
      </c>
      <c r="O136" s="95" t="s">
        <v>78</v>
      </c>
      <c r="P136" s="89">
        <v>-14246202.350592028</v>
      </c>
      <c r="Q136" s="89">
        <v>3495763.607384413</v>
      </c>
      <c r="R136" s="89">
        <v>-4.0752762344966653</v>
      </c>
      <c r="S136" s="89">
        <v>7.5651224471008605E-5</v>
      </c>
      <c r="T136" s="89">
        <v>-21155841.532985535</v>
      </c>
      <c r="U136" s="89">
        <v>-7336563.1681985212</v>
      </c>
      <c r="V136" s="89">
        <v>-21155841.532985535</v>
      </c>
      <c r="W136" s="89">
        <v>-7336563.1681985212</v>
      </c>
      <c r="X136" s="89"/>
    </row>
    <row r="137" spans="1:24" ht="13.5" thickBot="1" x14ac:dyDescent="0.25">
      <c r="A137" s="59">
        <v>36892</v>
      </c>
      <c r="B137" s="64">
        <f>'[2]wholesale kWh'!P67</f>
        <v>135846054</v>
      </c>
      <c r="C137" s="51">
        <f>'[1]Monthly Summary'!B137</f>
        <v>436.9</v>
      </c>
      <c r="D137" s="129">
        <v>0</v>
      </c>
      <c r="E137" s="181">
        <v>119.23206305749976</v>
      </c>
      <c r="F137" s="63">
        <v>31</v>
      </c>
      <c r="G137" s="63">
        <f>[2]Population!F13</f>
        <v>108314.24999999968</v>
      </c>
      <c r="H137" s="63">
        <v>351.91199999999998</v>
      </c>
      <c r="I137" s="63">
        <v>0</v>
      </c>
      <c r="J137" s="111">
        <v>103.42098727960045</v>
      </c>
      <c r="K137" s="128">
        <f t="shared" si="1"/>
        <v>135898846.89851761</v>
      </c>
      <c r="N137" s="55" t="s">
        <v>102</v>
      </c>
      <c r="O137" s="55" t="s">
        <v>102</v>
      </c>
      <c r="P137" s="90">
        <v>462250.35721314896</v>
      </c>
      <c r="Q137" s="90">
        <v>60754.120382357883</v>
      </c>
      <c r="R137" s="90">
        <v>7.6085433268387801</v>
      </c>
      <c r="S137" s="90">
        <v>3.3112543259900901E-12</v>
      </c>
      <c r="T137" s="90">
        <v>342165.27771891939</v>
      </c>
      <c r="U137" s="90">
        <v>582335.4367073786</v>
      </c>
      <c r="V137" s="90">
        <v>342165.27771891939</v>
      </c>
      <c r="W137" s="90">
        <v>582335.4367073786</v>
      </c>
      <c r="X137" s="90"/>
    </row>
    <row r="138" spans="1:24" x14ac:dyDescent="0.2">
      <c r="A138" s="59">
        <v>36925</v>
      </c>
      <c r="B138" s="64">
        <f>'[2]wholesale kWh'!P68</f>
        <v>121722006.5</v>
      </c>
      <c r="C138" s="51">
        <f>'[1]Monthly Summary'!B138</f>
        <v>363.6</v>
      </c>
      <c r="D138" s="129">
        <v>0</v>
      </c>
      <c r="E138" s="181">
        <v>119.40483241468957</v>
      </c>
      <c r="F138" s="63">
        <v>28</v>
      </c>
      <c r="G138" s="63">
        <f>[2]Population!F14</f>
        <v>108541.39999999967</v>
      </c>
      <c r="H138" s="63">
        <v>319.87200000000001</v>
      </c>
      <c r="I138" s="63">
        <v>0</v>
      </c>
      <c r="J138" s="111">
        <v>102.54021688143263</v>
      </c>
      <c r="K138" s="128">
        <f t="shared" si="1"/>
        <v>124362045.79928032</v>
      </c>
    </row>
    <row r="139" spans="1:24" x14ac:dyDescent="0.2">
      <c r="A139" s="59">
        <v>36958</v>
      </c>
      <c r="B139" s="64">
        <f>'[2]wholesale kWh'!P69</f>
        <v>131118906.30000001</v>
      </c>
      <c r="C139" s="51">
        <f>'[1]Monthly Summary'!B139</f>
        <v>318.60000000000002</v>
      </c>
      <c r="D139" s="129">
        <v>0</v>
      </c>
      <c r="E139" s="181">
        <v>119.57785211771773</v>
      </c>
      <c r="F139" s="63">
        <v>31</v>
      </c>
      <c r="G139" s="63">
        <f>[2]Population!F15</f>
        <v>108768.54999999967</v>
      </c>
      <c r="H139" s="63">
        <v>351.91199999999998</v>
      </c>
      <c r="I139" s="63">
        <v>0</v>
      </c>
      <c r="J139" s="111">
        <v>101.61916061918821</v>
      </c>
      <c r="K139" s="128">
        <f t="shared" si="1"/>
        <v>131700952.13038379</v>
      </c>
    </row>
    <row r="140" spans="1:24" x14ac:dyDescent="0.2">
      <c r="A140" s="59">
        <v>36991</v>
      </c>
      <c r="B140" s="64">
        <f>'[2]wholesale kWh'!P70</f>
        <v>116834345.90000001</v>
      </c>
      <c r="C140" s="51">
        <f>'[1]Monthly Summary'!B140</f>
        <v>89.9</v>
      </c>
      <c r="D140" s="129">
        <v>1.4</v>
      </c>
      <c r="E140" s="181">
        <v>119.75112252933975</v>
      </c>
      <c r="F140" s="63">
        <v>30</v>
      </c>
      <c r="G140" s="63">
        <f>[2]Population!F16</f>
        <v>108995.69999999966</v>
      </c>
      <c r="H140" s="63">
        <v>319.68</v>
      </c>
      <c r="I140" s="63">
        <v>0</v>
      </c>
      <c r="J140" s="111">
        <v>101.18815705968377</v>
      </c>
      <c r="K140" s="128">
        <f t="shared" si="1"/>
        <v>119759351.60643083</v>
      </c>
    </row>
    <row r="141" spans="1:24" x14ac:dyDescent="0.2">
      <c r="A141" s="59">
        <v>37024</v>
      </c>
      <c r="B141" s="64">
        <f>'[2]wholesale kWh'!P71</f>
        <v>119625194.69999999</v>
      </c>
      <c r="C141" s="51">
        <f>'[1]Monthly Summary'!B141</f>
        <v>0.30000000000000071</v>
      </c>
      <c r="D141" s="129">
        <v>12.2</v>
      </c>
      <c r="E141" s="181">
        <v>119.92464401283681</v>
      </c>
      <c r="F141" s="63">
        <v>31</v>
      </c>
      <c r="G141" s="63">
        <f>[2]Population!F17</f>
        <v>109222.84999999966</v>
      </c>
      <c r="H141" s="63">
        <v>351.91199999999998</v>
      </c>
      <c r="I141" s="63">
        <v>0</v>
      </c>
      <c r="J141" s="111">
        <v>101.62136806379516</v>
      </c>
      <c r="K141" s="128">
        <f t="shared" si="1"/>
        <v>123250345.56128812</v>
      </c>
    </row>
    <row r="142" spans="1:24" ht="13.5" x14ac:dyDescent="0.25">
      <c r="A142" s="59">
        <v>37057</v>
      </c>
      <c r="B142" s="64">
        <f>'[2]wholesale kWh'!P72</f>
        <v>124543674.2</v>
      </c>
      <c r="C142" s="51">
        <f>'[1]Monthly Summary'!B142</f>
        <v>0</v>
      </c>
      <c r="D142" s="129">
        <v>79.7</v>
      </c>
      <c r="E142" s="181">
        <v>120.09841693201646</v>
      </c>
      <c r="F142" s="63">
        <v>30</v>
      </c>
      <c r="G142" s="63">
        <f>[2]Population!F18</f>
        <v>109449.99999999965</v>
      </c>
      <c r="H142" s="63">
        <v>336.24</v>
      </c>
      <c r="I142" s="63">
        <v>0</v>
      </c>
      <c r="J142" s="111">
        <v>100.8531773405811</v>
      </c>
      <c r="K142" s="128">
        <f t="shared" si="1"/>
        <v>124953148.47108075</v>
      </c>
      <c r="Q142" s="274" t="s">
        <v>95</v>
      </c>
      <c r="R142" s="275"/>
      <c r="S142" s="275"/>
    </row>
    <row r="143" spans="1:24" ht="12.75" x14ac:dyDescent="0.2">
      <c r="A143" s="59">
        <v>37090</v>
      </c>
      <c r="B143" s="64">
        <f>'[2]wholesale kWh'!P73</f>
        <v>121840584.69999999</v>
      </c>
      <c r="C143" s="51">
        <f>'[1]Monthly Summary'!B143</f>
        <v>0</v>
      </c>
      <c r="D143" s="129">
        <v>100.9</v>
      </c>
      <c r="E143" s="181">
        <v>120.27244165121344</v>
      </c>
      <c r="F143" s="63">
        <v>31</v>
      </c>
      <c r="G143" s="63">
        <f>[2]Population!F19</f>
        <v>109541.54999999965</v>
      </c>
      <c r="H143" s="63">
        <v>336.28800000000001</v>
      </c>
      <c r="I143" s="63">
        <v>0</v>
      </c>
      <c r="J143" s="111">
        <v>99.508291713804809</v>
      </c>
      <c r="K143" s="128">
        <f t="shared" si="1"/>
        <v>128127050.17545685</v>
      </c>
      <c r="M143"/>
      <c r="N143"/>
      <c r="O143"/>
      <c r="P143"/>
      <c r="Q143" s="213"/>
      <c r="R143" s="107"/>
      <c r="U143"/>
      <c r="V143"/>
    </row>
    <row r="144" spans="1:24" ht="15" x14ac:dyDescent="0.2">
      <c r="A144" s="59">
        <v>37123</v>
      </c>
      <c r="B144" s="64">
        <f>'[2]wholesale kWh'!P74</f>
        <v>132701946.8</v>
      </c>
      <c r="C144" s="51">
        <f>'[1]Monthly Summary'!B144</f>
        <v>0</v>
      </c>
      <c r="D144" s="129">
        <v>160</v>
      </c>
      <c r="E144" s="181">
        <v>120.4467185352904</v>
      </c>
      <c r="F144" s="63">
        <v>31</v>
      </c>
      <c r="G144" s="63">
        <f>[2]Population!F20</f>
        <v>109633.09999999966</v>
      </c>
      <c r="H144" s="63">
        <v>351.91199999999998</v>
      </c>
      <c r="I144" s="63">
        <v>0</v>
      </c>
      <c r="J144" s="111">
        <v>99.283684225048972</v>
      </c>
      <c r="K144" s="128">
        <f t="shared" si="1"/>
        <v>134324928.72134161</v>
      </c>
      <c r="L144" s="187"/>
      <c r="M144"/>
      <c r="N144"/>
      <c r="O144"/>
      <c r="P144"/>
      <c r="Q144" s="213"/>
      <c r="R144" s="110" t="str">
        <f t="shared" ref="R144:R152" si="2">O129</f>
        <v>Intercept</v>
      </c>
      <c r="S144" s="112" t="s">
        <v>87</v>
      </c>
      <c r="T144" s="111">
        <f t="shared" ref="T144:T152" si="3">P129</f>
        <v>-86845140.989188731</v>
      </c>
      <c r="U144"/>
      <c r="V144"/>
    </row>
    <row r="145" spans="1:22" ht="15" x14ac:dyDescent="0.2">
      <c r="A145" s="59">
        <v>37156</v>
      </c>
      <c r="B145" s="64">
        <f>'[2]wholesale kWh'!P75</f>
        <v>117876415.09999999</v>
      </c>
      <c r="C145" s="51">
        <f>'[1]Monthly Summary'!B145</f>
        <v>2.7000000000000011</v>
      </c>
      <c r="D145" s="129">
        <v>35.700000000000003</v>
      </c>
      <c r="E145" s="181">
        <v>120.62124794963869</v>
      </c>
      <c r="F145" s="63">
        <v>30</v>
      </c>
      <c r="G145" s="63">
        <f>[2]Population!F21</f>
        <v>109724.64999999966</v>
      </c>
      <c r="H145" s="63">
        <v>303.83999999999997</v>
      </c>
      <c r="I145" s="63">
        <v>0</v>
      </c>
      <c r="J145" s="111">
        <v>97.506139455313047</v>
      </c>
      <c r="K145" s="128">
        <f t="shared" si="1"/>
        <v>117155771.05975711</v>
      </c>
      <c r="M145"/>
      <c r="N145"/>
      <c r="O145"/>
      <c r="P145"/>
      <c r="Q145" s="213"/>
      <c r="R145" s="110" t="str">
        <f t="shared" si="2"/>
        <v>Heating Degree Days</v>
      </c>
      <c r="S145" s="112" t="s">
        <v>88</v>
      </c>
      <c r="T145" s="111">
        <f t="shared" si="3"/>
        <v>30341.013707969567</v>
      </c>
      <c r="U145"/>
      <c r="V145"/>
    </row>
    <row r="146" spans="1:22" ht="15" x14ac:dyDescent="0.2">
      <c r="A146" s="59">
        <v>37189</v>
      </c>
      <c r="B146" s="64">
        <f>'[2]wholesale kWh'!P76</f>
        <v>123985756.7</v>
      </c>
      <c r="C146" s="51">
        <f>'[1]Monthly Summary'!B146</f>
        <v>54.3</v>
      </c>
      <c r="D146" s="129">
        <v>2</v>
      </c>
      <c r="E146" s="181">
        <v>120.79603026017911</v>
      </c>
      <c r="F146" s="63">
        <v>31</v>
      </c>
      <c r="G146" s="63">
        <f>[2]Population!F22</f>
        <v>109816.19999999966</v>
      </c>
      <c r="H146" s="63">
        <v>351.91199999999998</v>
      </c>
      <c r="I146" s="63">
        <v>0</v>
      </c>
      <c r="J146" s="111">
        <v>97.776551419662809</v>
      </c>
      <c r="K146" s="128">
        <f t="shared" si="1"/>
        <v>122733095.71501511</v>
      </c>
      <c r="L146" s="69"/>
      <c r="M146" s="31"/>
      <c r="N146"/>
      <c r="O146"/>
      <c r="P146"/>
      <c r="Q146" s="213"/>
      <c r="R146" s="110" t="str">
        <f t="shared" si="2"/>
        <v>Cooling Degree Days</v>
      </c>
      <c r="S146" s="112" t="s">
        <v>88</v>
      </c>
      <c r="T146" s="111">
        <f t="shared" si="3"/>
        <v>80427.840709460943</v>
      </c>
      <c r="U146"/>
      <c r="V146"/>
    </row>
    <row r="147" spans="1:22" ht="15" x14ac:dyDescent="0.2">
      <c r="A147" s="59">
        <v>37222</v>
      </c>
      <c r="B147" s="195">
        <f>'[2]wholesale kWh'!P77</f>
        <v>122675408.60000001</v>
      </c>
      <c r="C147" s="51">
        <f>'[1]Monthly Summary'!B147</f>
        <v>99.499999999999972</v>
      </c>
      <c r="D147" s="129">
        <v>0</v>
      </c>
      <c r="E147" s="181">
        <v>120.9710658333627</v>
      </c>
      <c r="F147" s="63">
        <v>30</v>
      </c>
      <c r="G147" s="63">
        <f>[2]Population!F23</f>
        <v>109907.74999999967</v>
      </c>
      <c r="H147" s="63">
        <v>352.08</v>
      </c>
      <c r="I147" s="63">
        <v>0</v>
      </c>
      <c r="J147" s="111">
        <v>98.088904831544383</v>
      </c>
      <c r="K147" s="128">
        <f t="shared" si="1"/>
        <v>122182634.77066627</v>
      </c>
      <c r="L147" s="69"/>
      <c r="M147" s="213"/>
      <c r="Q147" s="213"/>
      <c r="R147" s="110" t="str">
        <f t="shared" si="2"/>
        <v>Ontario Real GDP Monthly %</v>
      </c>
      <c r="S147" s="112" t="s">
        <v>88</v>
      </c>
      <c r="T147" s="111">
        <f t="shared" si="3"/>
        <v>354868.48978126078</v>
      </c>
    </row>
    <row r="148" spans="1:22" ht="15" x14ac:dyDescent="0.2">
      <c r="A148" s="59">
        <v>37255</v>
      </c>
      <c r="B148" s="196">
        <f>'[2]wholesale kWh'!P78</f>
        <v>120522976.5</v>
      </c>
      <c r="C148" s="51">
        <f>'[1]Monthly Summary'!B148</f>
        <v>261.10000000000002</v>
      </c>
      <c r="D148" s="129">
        <v>0</v>
      </c>
      <c r="E148" s="88">
        <v>121.1463550361714</v>
      </c>
      <c r="F148" s="63">
        <v>31</v>
      </c>
      <c r="G148" s="63">
        <f>[2]Population!F24</f>
        <v>109999.29999999967</v>
      </c>
      <c r="H148" s="63">
        <v>304.29599999999999</v>
      </c>
      <c r="I148" s="63">
        <v>0</v>
      </c>
      <c r="J148" s="111">
        <v>95.792610579178287</v>
      </c>
      <c r="K148" s="128">
        <f t="shared" si="1"/>
        <v>123626875.94007832</v>
      </c>
      <c r="L148" s="69"/>
      <c r="M148" s="213"/>
      <c r="Q148" s="213"/>
      <c r="R148" s="110" t="str">
        <f t="shared" si="2"/>
        <v>Number of Days in Month</v>
      </c>
      <c r="S148" s="112" t="s">
        <v>88</v>
      </c>
      <c r="T148" s="111">
        <f t="shared" si="3"/>
        <v>2003764.4637296691</v>
      </c>
    </row>
    <row r="149" spans="1:22" ht="15" x14ac:dyDescent="0.2">
      <c r="A149" s="67">
        <v>37275</v>
      </c>
      <c r="B149" s="197">
        <f>'[2]wholesale kWh'!P79</f>
        <v>132472741.09999999</v>
      </c>
      <c r="C149" s="51">
        <f>'[1]Monthly Summary'!B149</f>
        <v>324.2000000000001</v>
      </c>
      <c r="D149" s="129">
        <v>0</v>
      </c>
      <c r="E149" s="181">
        <v>121.50450639216388</v>
      </c>
      <c r="F149" s="61">
        <v>31</v>
      </c>
      <c r="G149" s="61">
        <f>[2]Population!F25</f>
        <v>110090.84999999967</v>
      </c>
      <c r="H149" s="61">
        <v>351.91199999999998</v>
      </c>
      <c r="I149" s="61">
        <v>0</v>
      </c>
      <c r="J149" s="111">
        <v>100</v>
      </c>
      <c r="K149" s="128">
        <f t="shared" si="1"/>
        <v>132101927.99109992</v>
      </c>
      <c r="L149" s="69"/>
      <c r="Q149" s="213"/>
      <c r="R149" s="110" t="str">
        <f t="shared" si="2"/>
        <v>Population</v>
      </c>
      <c r="S149" s="112" t="s">
        <v>88</v>
      </c>
      <c r="T149" s="111">
        <f t="shared" si="3"/>
        <v>223.71236924555762</v>
      </c>
    </row>
    <row r="150" spans="1:22" ht="15" x14ac:dyDescent="0.2">
      <c r="A150" s="59">
        <v>37308</v>
      </c>
      <c r="B150" s="197">
        <f>'[2]wholesale kWh'!P80</f>
        <v>120584947.5</v>
      </c>
      <c r="C150" s="51">
        <f>'[1]Monthly Summary'!B150</f>
        <v>316.2</v>
      </c>
      <c r="D150" s="129">
        <v>0</v>
      </c>
      <c r="E150" s="181">
        <v>121.86371656989111</v>
      </c>
      <c r="F150" s="63">
        <v>28</v>
      </c>
      <c r="G150" s="63">
        <f>[2]Population!F26</f>
        <v>110182.39999999967</v>
      </c>
      <c r="H150" s="63">
        <v>319.87200000000001</v>
      </c>
      <c r="I150" s="63">
        <v>0</v>
      </c>
      <c r="J150" s="111">
        <v>101.26486575977485</v>
      </c>
      <c r="K150" s="128">
        <f t="shared" si="1"/>
        <v>123574042.74259949</v>
      </c>
      <c r="L150" s="69"/>
      <c r="Q150" s="213"/>
      <c r="R150" s="110" t="str">
        <f t="shared" si="2"/>
        <v>Number of Peak Hours</v>
      </c>
      <c r="S150" s="112" t="s">
        <v>88</v>
      </c>
      <c r="T150" s="111">
        <f t="shared" si="3"/>
        <v>93835.88132393414</v>
      </c>
    </row>
    <row r="151" spans="1:22" ht="15" x14ac:dyDescent="0.2">
      <c r="A151" s="59">
        <v>37341</v>
      </c>
      <c r="B151" s="197">
        <f>'[2]wholesale kWh'!P81</f>
        <v>128573487.40000001</v>
      </c>
      <c r="C151" s="51">
        <f>'[1]Monthly Summary'!B151</f>
        <v>297.59999999999997</v>
      </c>
      <c r="D151" s="129">
        <v>0</v>
      </c>
      <c r="E151" s="181">
        <v>122.22398869960362</v>
      </c>
      <c r="F151" s="63">
        <v>31</v>
      </c>
      <c r="G151" s="63">
        <f>[2]Population!F27</f>
        <v>110273.94999999968</v>
      </c>
      <c r="H151" s="63">
        <v>319.92</v>
      </c>
      <c r="I151" s="63">
        <v>0</v>
      </c>
      <c r="J151" s="111">
        <v>100.10154245191909</v>
      </c>
      <c r="K151" s="128">
        <f t="shared" si="1"/>
        <v>128636080.88049887</v>
      </c>
      <c r="L151" s="69"/>
      <c r="Q151" s="213"/>
      <c r="R151" s="110" t="str">
        <f t="shared" si="2"/>
        <v>Blackout Flag</v>
      </c>
      <c r="S151" s="112" t="s">
        <v>88</v>
      </c>
      <c r="T151" s="111">
        <f t="shared" si="3"/>
        <v>-14246202.350592028</v>
      </c>
    </row>
    <row r="152" spans="1:22" ht="15" x14ac:dyDescent="0.2">
      <c r="A152" s="59">
        <v>37374</v>
      </c>
      <c r="B152" s="197">
        <f>'[2]wholesale kWh'!P82</f>
        <v>122493739.09999999</v>
      </c>
      <c r="C152" s="51">
        <f>'[1]Monthly Summary'!B152</f>
        <v>129.4</v>
      </c>
      <c r="D152" s="129">
        <v>8.3000000000000007</v>
      </c>
      <c r="E152" s="181">
        <v>122.58532592080604</v>
      </c>
      <c r="F152" s="63">
        <v>30</v>
      </c>
      <c r="G152" s="63">
        <f>[2]Population!F28</f>
        <v>110365.49999999968</v>
      </c>
      <c r="H152" s="63">
        <v>352.08</v>
      </c>
      <c r="I152" s="63">
        <v>0</v>
      </c>
      <c r="J152" s="111">
        <v>101.37634171242516</v>
      </c>
      <c r="K152" s="128">
        <f t="shared" si="1"/>
        <v>125952255.40729323</v>
      </c>
      <c r="L152" s="69"/>
      <c r="Q152" s="213"/>
      <c r="R152" s="110" t="str">
        <f t="shared" si="2"/>
        <v>Manufacturing GDP</v>
      </c>
      <c r="S152" s="112" t="s">
        <v>88</v>
      </c>
      <c r="T152" s="111">
        <f t="shared" si="3"/>
        <v>462250.35721314896</v>
      </c>
    </row>
    <row r="153" spans="1:22" ht="15" x14ac:dyDescent="0.2">
      <c r="A153" s="59">
        <v>37407</v>
      </c>
      <c r="B153" s="197">
        <f>'[2]wholesale kWh'!P83</f>
        <v>120901842</v>
      </c>
      <c r="C153" s="51">
        <f>'[1]Monthly Summary'!B153</f>
        <v>49</v>
      </c>
      <c r="D153" s="129">
        <v>7.8</v>
      </c>
      <c r="E153" s="181">
        <v>122.9477313822845</v>
      </c>
      <c r="F153" s="63">
        <v>31</v>
      </c>
      <c r="G153" s="63">
        <f>[2]Population!F29</f>
        <v>110457.04999999968</v>
      </c>
      <c r="H153" s="63">
        <v>351.91199999999998</v>
      </c>
      <c r="I153" s="63">
        <v>0</v>
      </c>
      <c r="J153" s="111">
        <v>102.30126100273171</v>
      </c>
      <c r="K153" s="128">
        <f t="shared" ref="K153:K184" si="4">$P$129+C153*$P$130+D153*$P$131+E153*$P$132+F153*$P$133+G153*$P$134+H153*$P$135+I153*$P$136+J153*$P$137</f>
        <v>126037255.43903032</v>
      </c>
      <c r="L153" s="69"/>
      <c r="Q153" s="213"/>
      <c r="R153" s="110">
        <f>N143</f>
        <v>0</v>
      </c>
      <c r="S153" s="112" t="s">
        <v>88</v>
      </c>
      <c r="T153" s="111">
        <f>O143</f>
        <v>0</v>
      </c>
    </row>
    <row r="154" spans="1:22" x14ac:dyDescent="0.2">
      <c r="A154" s="59">
        <v>37408</v>
      </c>
      <c r="B154" s="197">
        <f>'[2]wholesale kWh'!P84</f>
        <v>123228452</v>
      </c>
      <c r="C154" s="51">
        <f>'[1]Monthly Summary'!B154</f>
        <v>0</v>
      </c>
      <c r="D154" s="129">
        <v>70</v>
      </c>
      <c r="E154" s="181">
        <v>123.31120824213403</v>
      </c>
      <c r="F154" s="63">
        <v>30</v>
      </c>
      <c r="G154" s="63">
        <f>[2]Population!F30</f>
        <v>110548.59999999969</v>
      </c>
      <c r="H154" s="63">
        <v>319.68</v>
      </c>
      <c r="I154" s="63">
        <v>0</v>
      </c>
      <c r="J154" s="111">
        <v>101.17601611434563</v>
      </c>
      <c r="K154" s="128">
        <f t="shared" si="4"/>
        <v>124154197.36902648</v>
      </c>
      <c r="L154" s="69"/>
    </row>
    <row r="155" spans="1:22" x14ac:dyDescent="0.2">
      <c r="A155" s="59">
        <v>37440</v>
      </c>
      <c r="B155" s="197">
        <f>'[2]wholesale kWh'!P85</f>
        <v>135146133</v>
      </c>
      <c r="C155" s="51">
        <f>'[1]Monthly Summary'!B155</f>
        <v>0</v>
      </c>
      <c r="D155" s="129">
        <v>192.4</v>
      </c>
      <c r="E155" s="181">
        <v>123.67575966778612</v>
      </c>
      <c r="F155" s="63">
        <v>31</v>
      </c>
      <c r="G155" s="63">
        <f>[2]Population!F31</f>
        <v>110640.14999999969</v>
      </c>
      <c r="H155" s="63">
        <v>351.91199999999998</v>
      </c>
      <c r="I155" s="63">
        <v>0</v>
      </c>
      <c r="J155" s="111">
        <v>101.92654728070418</v>
      </c>
      <c r="K155" s="128">
        <f t="shared" si="4"/>
        <v>139523629.64344928</v>
      </c>
      <c r="L155" s="69"/>
    </row>
    <row r="156" spans="1:22" x14ac:dyDescent="0.2">
      <c r="A156" s="59">
        <v>37473</v>
      </c>
      <c r="B156" s="197">
        <f>'[2]wholesale kWh'!P86</f>
        <v>132810002</v>
      </c>
      <c r="C156" s="51">
        <f>'[1]Monthly Summary'!B156</f>
        <v>0</v>
      </c>
      <c r="D156" s="129">
        <v>142.69999999999999</v>
      </c>
      <c r="E156" s="181">
        <v>124.04138883603632</v>
      </c>
      <c r="F156" s="63">
        <v>31</v>
      </c>
      <c r="G156" s="63">
        <f>[2]Population!F32</f>
        <v>110731.69999999969</v>
      </c>
      <c r="H156" s="63">
        <v>336.28800000000001</v>
      </c>
      <c r="I156" s="63">
        <v>0</v>
      </c>
      <c r="J156" s="111">
        <v>102.13680637951492</v>
      </c>
      <c r="K156" s="128">
        <f t="shared" si="4"/>
        <v>134307697.63207784</v>
      </c>
      <c r="L156" s="69"/>
    </row>
    <row r="157" spans="1:22" x14ac:dyDescent="0.2">
      <c r="A157" s="59">
        <v>37506</v>
      </c>
      <c r="B157" s="197">
        <f>'[2]wholesale kWh'!P87</f>
        <v>125737406</v>
      </c>
      <c r="C157" s="51">
        <f>'[1]Monthly Summary'!B157</f>
        <v>0</v>
      </c>
      <c r="D157" s="129">
        <v>87.6</v>
      </c>
      <c r="E157" s="181">
        <v>124.40809893307186</v>
      </c>
      <c r="F157" s="63">
        <v>30</v>
      </c>
      <c r="G157" s="63">
        <f>[2]Population!F33</f>
        <v>110823.24999999969</v>
      </c>
      <c r="H157" s="63">
        <v>319.68</v>
      </c>
      <c r="I157" s="63">
        <v>0</v>
      </c>
      <c r="J157" s="111">
        <v>100.10761292458817</v>
      </c>
      <c r="K157" s="128">
        <f t="shared" si="4"/>
        <v>125526552.15456149</v>
      </c>
      <c r="L157" s="69"/>
    </row>
    <row r="158" spans="1:22" x14ac:dyDescent="0.2">
      <c r="A158" s="59">
        <v>37539</v>
      </c>
      <c r="B158" s="197">
        <f>'[2]wholesale kWh'!P88</f>
        <v>126538624</v>
      </c>
      <c r="C158" s="51">
        <f>'[1]Monthly Summary'!B158</f>
        <v>91.800000000000011</v>
      </c>
      <c r="D158" s="129">
        <v>10</v>
      </c>
      <c r="E158" s="181">
        <v>124.7758931544995</v>
      </c>
      <c r="F158" s="63">
        <v>31</v>
      </c>
      <c r="G158" s="63">
        <f>[2]Population!F34</f>
        <v>110914.7999999997</v>
      </c>
      <c r="H158" s="63">
        <v>351.91199999999998</v>
      </c>
      <c r="I158" s="63">
        <v>0</v>
      </c>
      <c r="J158" s="111">
        <v>100.77039816782099</v>
      </c>
      <c r="K158" s="128">
        <f t="shared" si="4"/>
        <v>127556311.52721433</v>
      </c>
      <c r="L158" s="69"/>
    </row>
    <row r="159" spans="1:22" x14ac:dyDescent="0.2">
      <c r="A159" s="59">
        <v>37572</v>
      </c>
      <c r="B159" s="197">
        <f>'[2]wholesale kWh'!P89</f>
        <v>126350234</v>
      </c>
      <c r="C159" s="51">
        <f>'[1]Monthly Summary'!B159</f>
        <v>214.2</v>
      </c>
      <c r="D159" s="129">
        <v>0</v>
      </c>
      <c r="E159" s="181">
        <v>125.14477470537335</v>
      </c>
      <c r="F159" s="63">
        <v>30</v>
      </c>
      <c r="G159" s="63">
        <f>[2]Population!F35</f>
        <v>111006.3499999997</v>
      </c>
      <c r="H159" s="63">
        <v>336.24</v>
      </c>
      <c r="I159" s="63">
        <v>0</v>
      </c>
      <c r="J159" s="111">
        <v>100.24116332330786</v>
      </c>
      <c r="K159" s="128">
        <f t="shared" si="4"/>
        <v>126898159.11248221</v>
      </c>
      <c r="L159" s="69"/>
    </row>
    <row r="160" spans="1:22" x14ac:dyDescent="0.2">
      <c r="A160" s="65">
        <v>37605</v>
      </c>
      <c r="B160" s="198">
        <f>'[2]wholesale kWh'!P90</f>
        <v>126660476.88</v>
      </c>
      <c r="C160" s="51">
        <f>'[1]Monthly Summary'!B160</f>
        <v>371.40000000000003</v>
      </c>
      <c r="D160" s="129">
        <v>0</v>
      </c>
      <c r="E160" s="88">
        <v>125.51474680022261</v>
      </c>
      <c r="F160" s="61">
        <v>31</v>
      </c>
      <c r="G160" s="61">
        <f>[2]Population!F36</f>
        <v>111097.8999999997</v>
      </c>
      <c r="H160" s="61">
        <v>319.92</v>
      </c>
      <c r="I160" s="61">
        <v>0</v>
      </c>
      <c r="J160" s="111">
        <v>98.736237962528634</v>
      </c>
      <c r="K160" s="128">
        <f t="shared" si="4"/>
        <v>131596249.36826357</v>
      </c>
      <c r="L160" s="69"/>
    </row>
    <row r="161" spans="1:34" x14ac:dyDescent="0.2">
      <c r="A161" s="59">
        <v>37622</v>
      </c>
      <c r="B161" s="199">
        <f>'[2]wholesale kWh'!P91</f>
        <v>138020012.10000002</v>
      </c>
      <c r="C161" s="51">
        <f>'[1]Monthly Summary'!B161</f>
        <v>566.49999999999989</v>
      </c>
      <c r="D161" s="129">
        <v>0</v>
      </c>
      <c r="E161" s="181">
        <v>125.66024937363977</v>
      </c>
      <c r="F161" s="63">
        <v>31</v>
      </c>
      <c r="G161" s="63">
        <f>[2]Population!F37</f>
        <v>111189.44999999971</v>
      </c>
      <c r="H161" s="63">
        <v>351.91199999999998</v>
      </c>
      <c r="I161" s="63">
        <v>0</v>
      </c>
      <c r="J161" s="111">
        <v>99.238431610606767</v>
      </c>
      <c r="K161" s="128">
        <f t="shared" si="4"/>
        <v>140822032.99711028</v>
      </c>
      <c r="L161" s="69"/>
      <c r="M161" s="213"/>
      <c r="N161" s="108"/>
      <c r="O161" s="68"/>
      <c r="P161" s="68"/>
      <c r="Q161" s="68"/>
      <c r="R161" s="68"/>
      <c r="S161" s="68"/>
      <c r="T161" s="68"/>
      <c r="U161" s="68"/>
      <c r="V161" s="185"/>
      <c r="Z161" s="69"/>
    </row>
    <row r="162" spans="1:34" x14ac:dyDescent="0.2">
      <c r="A162" s="59">
        <v>37653</v>
      </c>
      <c r="B162" s="199">
        <f>'[2]wholesale kWh'!P92</f>
        <v>125285749.66</v>
      </c>
      <c r="C162" s="51">
        <f>'[1]Monthly Summary'!B162</f>
        <v>475</v>
      </c>
      <c r="D162" s="129">
        <v>0</v>
      </c>
      <c r="E162" s="181">
        <v>125.80592062045517</v>
      </c>
      <c r="F162" s="63">
        <v>28</v>
      </c>
      <c r="G162" s="63">
        <f>[2]Population!F38</f>
        <v>111280.99999999971</v>
      </c>
      <c r="H162" s="63">
        <v>319.87200000000001</v>
      </c>
      <c r="I162" s="63">
        <v>0</v>
      </c>
      <c r="J162" s="111">
        <v>99.333351728705054</v>
      </c>
      <c r="K162" s="128">
        <f t="shared" si="4"/>
        <v>129144087.07528722</v>
      </c>
      <c r="L162" s="69"/>
      <c r="M162" s="213"/>
    </row>
    <row r="163" spans="1:34" x14ac:dyDescent="0.2">
      <c r="A163" s="59">
        <v>37681</v>
      </c>
      <c r="B163" s="199">
        <f>'[2]wholesale kWh'!P93</f>
        <v>130708314.94</v>
      </c>
      <c r="C163" s="51">
        <f>'[1]Monthly Summary'!B163</f>
        <v>334.49999999999994</v>
      </c>
      <c r="D163" s="129">
        <v>0</v>
      </c>
      <c r="E163" s="181">
        <v>125.9517607362029</v>
      </c>
      <c r="F163" s="63">
        <v>31</v>
      </c>
      <c r="G163" s="63">
        <f>[2]Population!F39</f>
        <v>111372.54999999971</v>
      </c>
      <c r="H163" s="63">
        <v>336.28800000000001</v>
      </c>
      <c r="I163" s="63">
        <v>0</v>
      </c>
      <c r="J163" s="111">
        <v>99.658949808228243</v>
      </c>
      <c r="K163" s="128">
        <f t="shared" si="4"/>
        <v>132655620.62591708</v>
      </c>
      <c r="L163" s="69"/>
      <c r="M163" s="213"/>
    </row>
    <row r="164" spans="1:34" x14ac:dyDescent="0.2">
      <c r="A164" s="59">
        <v>37712</v>
      </c>
      <c r="B164" s="199">
        <f>'[2]wholesale kWh'!P94</f>
        <v>120954880.59999999</v>
      </c>
      <c r="C164" s="51">
        <f>'[1]Monthly Summary'!B164</f>
        <v>160.29999999999998</v>
      </c>
      <c r="D164" s="129">
        <v>2.4</v>
      </c>
      <c r="E164" s="181">
        <v>126.09776991664374</v>
      </c>
      <c r="F164" s="63">
        <v>30</v>
      </c>
      <c r="G164" s="63">
        <f>[2]Population!F40</f>
        <v>111464.09999999971</v>
      </c>
      <c r="H164" s="63">
        <v>336.24</v>
      </c>
      <c r="I164" s="63">
        <v>0</v>
      </c>
      <c r="J164" s="111">
        <v>99.240639055213705</v>
      </c>
      <c r="K164" s="128">
        <f t="shared" si="4"/>
        <v>125433904.89941287</v>
      </c>
      <c r="L164" s="69"/>
      <c r="M164" s="213"/>
    </row>
    <row r="165" spans="1:34" x14ac:dyDescent="0.2">
      <c r="A165" s="59">
        <v>37742</v>
      </c>
      <c r="B165" s="200">
        <f>'[2]wholesale kWh'!P95</f>
        <v>119050806.80000001</v>
      </c>
      <c r="C165" s="51">
        <f>'[1]Monthly Summary'!B165</f>
        <v>5.2000000000000011</v>
      </c>
      <c r="D165" s="129">
        <v>0</v>
      </c>
      <c r="E165" s="181">
        <v>126.2439483577654</v>
      </c>
      <c r="F165" s="63">
        <v>31</v>
      </c>
      <c r="G165" s="63">
        <f>[2]Population!F41</f>
        <v>111555.64999999972</v>
      </c>
      <c r="H165" s="63">
        <v>336.28800000000001</v>
      </c>
      <c r="I165" s="63">
        <v>0</v>
      </c>
      <c r="J165" s="111">
        <v>99.63742722331061</v>
      </c>
      <c r="K165" s="128">
        <f t="shared" si="4"/>
        <v>122799025.90412188</v>
      </c>
      <c r="L165" s="69"/>
      <c r="M165" s="213"/>
    </row>
    <row r="166" spans="1:34" ht="13.5" customHeight="1" x14ac:dyDescent="0.2">
      <c r="A166" s="59">
        <v>37773</v>
      </c>
      <c r="B166" s="200">
        <f>'[2]wholesale kWh'!P96</f>
        <v>121559458.34999999</v>
      </c>
      <c r="C166" s="51">
        <f>'[1]Monthly Summary'!B166</f>
        <v>0</v>
      </c>
      <c r="D166" s="129">
        <v>52.9</v>
      </c>
      <c r="E166" s="181">
        <v>126.3902962557828</v>
      </c>
      <c r="F166" s="63">
        <v>30</v>
      </c>
      <c r="G166" s="63">
        <f>[2]Population!F42</f>
        <v>111647.19999999972</v>
      </c>
      <c r="H166" s="63">
        <v>336.24</v>
      </c>
      <c r="I166" s="63">
        <v>0</v>
      </c>
      <c r="J166" s="111">
        <v>98.796942689219392</v>
      </c>
      <c r="K166" s="128">
        <f t="shared" si="4"/>
        <v>124571517.66917846</v>
      </c>
      <c r="L166" s="69"/>
      <c r="M166" s="213"/>
    </row>
    <row r="167" spans="1:34" s="68" customFormat="1" x14ac:dyDescent="0.2">
      <c r="A167" s="59">
        <v>37803</v>
      </c>
      <c r="B167" s="201">
        <f>'[2]wholesale kWh'!P97</f>
        <v>127839234.3</v>
      </c>
      <c r="C167" s="51">
        <f>'[1]Monthly Summary'!B167</f>
        <v>0</v>
      </c>
      <c r="D167" s="129">
        <v>118.3</v>
      </c>
      <c r="E167" s="181">
        <v>126.5368138071383</v>
      </c>
      <c r="F167" s="63">
        <v>31</v>
      </c>
      <c r="G167" s="63">
        <f>[2]Population!F43</f>
        <v>111738.74999999972</v>
      </c>
      <c r="H167" s="63">
        <v>351.91199999999998</v>
      </c>
      <c r="I167" s="63">
        <v>0</v>
      </c>
      <c r="J167" s="111">
        <v>100.00993350073122</v>
      </c>
      <c r="K167" s="128">
        <f t="shared" si="4"/>
        <v>133939039.61291358</v>
      </c>
      <c r="L167" s="69"/>
      <c r="M167" s="213"/>
      <c r="N167" s="107"/>
      <c r="O167" s="51"/>
      <c r="P167" s="51"/>
      <c r="Q167" s="51"/>
      <c r="R167" s="51"/>
      <c r="S167" s="51"/>
      <c r="T167" s="51"/>
      <c r="U167" s="51"/>
      <c r="V167" s="184"/>
      <c r="W167" s="51"/>
      <c r="X167" s="51"/>
      <c r="Y167" s="51"/>
      <c r="Z167" s="55"/>
      <c r="AA167" s="69"/>
      <c r="AB167" s="69"/>
      <c r="AC167" s="69"/>
      <c r="AD167" s="69"/>
      <c r="AE167" s="69"/>
      <c r="AF167" s="69"/>
      <c r="AG167" s="69"/>
      <c r="AH167" s="69"/>
    </row>
    <row r="168" spans="1:34" x14ac:dyDescent="0.2">
      <c r="A168" s="59">
        <v>37834</v>
      </c>
      <c r="B168" s="201">
        <f>'[2]wholesale kWh'!P98</f>
        <v>116632060.2</v>
      </c>
      <c r="C168" s="51">
        <f>'[1]Monthly Summary'!B168</f>
        <v>0</v>
      </c>
      <c r="D168" s="129">
        <v>128</v>
      </c>
      <c r="E168" s="181">
        <v>126.68350120850199</v>
      </c>
      <c r="F168" s="63">
        <v>31</v>
      </c>
      <c r="G168" s="63">
        <f>[2]Population!F44</f>
        <v>111830.29999999973</v>
      </c>
      <c r="H168" s="63">
        <v>319.92</v>
      </c>
      <c r="I168" s="63">
        <v>1</v>
      </c>
      <c r="J168" s="111">
        <v>98.038133605584832</v>
      </c>
      <c r="K168" s="128">
        <f t="shared" si="4"/>
        <v>116632060.20000005</v>
      </c>
      <c r="L168" s="69"/>
      <c r="M168" s="213"/>
    </row>
    <row r="169" spans="1:34" x14ac:dyDescent="0.2">
      <c r="A169" s="59">
        <v>37865</v>
      </c>
      <c r="B169" s="201">
        <f>'[2]wholesale kWh'!P99</f>
        <v>122466794.75999999</v>
      </c>
      <c r="C169" s="51">
        <f>'[1]Monthly Summary'!B169</f>
        <v>1.0999999999999996</v>
      </c>
      <c r="D169" s="129">
        <v>24</v>
      </c>
      <c r="E169" s="181">
        <v>126.83035865677196</v>
      </c>
      <c r="F169" s="63">
        <v>30</v>
      </c>
      <c r="G169" s="63">
        <f>[2]Population!F45</f>
        <v>111921.84999999973</v>
      </c>
      <c r="H169" s="63">
        <v>336.24</v>
      </c>
      <c r="I169" s="63">
        <v>0</v>
      </c>
      <c r="J169" s="111">
        <v>100.74446069368948</v>
      </c>
      <c r="K169" s="128">
        <f t="shared" si="4"/>
        <v>123398375.96286097</v>
      </c>
      <c r="L169" s="69"/>
      <c r="M169" s="213"/>
    </row>
    <row r="170" spans="1:34" x14ac:dyDescent="0.2">
      <c r="A170" s="59">
        <v>37895</v>
      </c>
      <c r="B170" s="201">
        <f>'[2]wholesale kWh'!P100</f>
        <v>127606741.56999999</v>
      </c>
      <c r="C170" s="51">
        <f>'[1]Monthly Summary'!B170</f>
        <v>70</v>
      </c>
      <c r="D170" s="129">
        <v>0</v>
      </c>
      <c r="E170" s="181">
        <v>126.97738634907456</v>
      </c>
      <c r="F170" s="63">
        <v>31</v>
      </c>
      <c r="G170" s="63">
        <f>[2]Population!F46</f>
        <v>112013.39999999973</v>
      </c>
      <c r="H170" s="63">
        <v>351.91199999999998</v>
      </c>
      <c r="I170" s="63">
        <v>0</v>
      </c>
      <c r="J170" s="111">
        <v>102.07279048591373</v>
      </c>
      <c r="K170" s="128">
        <f t="shared" si="4"/>
        <v>127719641.30963176</v>
      </c>
      <c r="L170" s="69"/>
      <c r="M170" s="213"/>
    </row>
    <row r="171" spans="1:34" x14ac:dyDescent="0.2">
      <c r="A171" s="59">
        <v>37926</v>
      </c>
      <c r="B171" s="201">
        <f>'[2]wholesale kWh'!P101</f>
        <v>127568437.48999999</v>
      </c>
      <c r="C171" s="51">
        <f>'[1]Monthly Summary'!B171</f>
        <v>160.6</v>
      </c>
      <c r="D171" s="129">
        <v>0</v>
      </c>
      <c r="E171" s="181">
        <v>127.12458448276465</v>
      </c>
      <c r="F171" s="63">
        <v>30</v>
      </c>
      <c r="G171" s="63">
        <f>[2]Population!F47</f>
        <v>112104.94999999974</v>
      </c>
      <c r="H171" s="63">
        <v>319.68</v>
      </c>
      <c r="I171" s="63">
        <v>0</v>
      </c>
      <c r="J171" s="111">
        <v>102.07886095858282</v>
      </c>
      <c r="K171" s="128">
        <f t="shared" si="4"/>
        <v>125515777.48597652</v>
      </c>
      <c r="L171" s="69"/>
      <c r="M171" s="213"/>
    </row>
    <row r="172" spans="1:34" x14ac:dyDescent="0.2">
      <c r="A172" s="59">
        <v>37956</v>
      </c>
      <c r="B172" s="198">
        <f>'[2]wholesale kWh'!P102</f>
        <v>130452311.21000001</v>
      </c>
      <c r="C172" s="51">
        <f>'[1]Monthly Summary'!B172</f>
        <v>313.5</v>
      </c>
      <c r="D172" s="129">
        <v>0</v>
      </c>
      <c r="E172" s="88">
        <v>127.27195325542573</v>
      </c>
      <c r="F172" s="63">
        <v>31</v>
      </c>
      <c r="G172" s="63">
        <f>[2]Population!F48</f>
        <v>112196.49999999974</v>
      </c>
      <c r="H172" s="63">
        <v>336.28800000000001</v>
      </c>
      <c r="I172" s="63">
        <v>0</v>
      </c>
      <c r="J172" s="111">
        <v>102.10369471041085</v>
      </c>
      <c r="K172" s="128">
        <f t="shared" si="4"/>
        <v>133801366.07453564</v>
      </c>
      <c r="L172" s="62"/>
      <c r="M172" s="216"/>
      <c r="N172" s="109"/>
      <c r="O172" s="70"/>
      <c r="P172" s="70"/>
      <c r="Q172" s="70"/>
      <c r="R172" s="70"/>
      <c r="S172" s="70"/>
      <c r="T172" s="70"/>
      <c r="U172" s="70"/>
      <c r="V172" s="186"/>
      <c r="Z172" s="52"/>
    </row>
    <row r="173" spans="1:34" x14ac:dyDescent="0.2">
      <c r="A173" s="59">
        <v>37987</v>
      </c>
      <c r="B173" s="200">
        <f>'[2]wholesale kWh'!P103</f>
        <v>142514374.66</v>
      </c>
      <c r="C173" s="51">
        <f>'[1]Monthly Summary'!B173</f>
        <v>601.09999999999991</v>
      </c>
      <c r="D173" s="129">
        <v>0</v>
      </c>
      <c r="E173" s="181">
        <v>127.53411264087498</v>
      </c>
      <c r="F173" s="63">
        <v>31</v>
      </c>
      <c r="G173" s="63">
        <f>[2]Population!I1</f>
        <v>112288.04999999974</v>
      </c>
      <c r="H173" s="63">
        <v>336.28800000000001</v>
      </c>
      <c r="I173" s="63">
        <v>0</v>
      </c>
      <c r="J173" s="111">
        <v>100.54413509560996</v>
      </c>
      <c r="K173" s="128">
        <f t="shared" si="4"/>
        <v>141920047.60051155</v>
      </c>
      <c r="L173" s="69"/>
      <c r="M173" s="213"/>
      <c r="Z173" s="69"/>
    </row>
    <row r="174" spans="1:34" x14ac:dyDescent="0.2">
      <c r="A174" s="59">
        <v>38018</v>
      </c>
      <c r="B174" s="200">
        <f>'[2]wholesale kWh'!P104</f>
        <v>131014897.39</v>
      </c>
      <c r="C174" s="51">
        <f>'[1]Monthly Summary'!B174</f>
        <v>399.69999999999993</v>
      </c>
      <c r="D174" s="129">
        <v>0</v>
      </c>
      <c r="E174" s="181">
        <v>127.79681203173486</v>
      </c>
      <c r="F174" s="63">
        <v>29</v>
      </c>
      <c r="G174" s="63">
        <f>[2]Population!I2</f>
        <v>112379.59999999974</v>
      </c>
      <c r="H174" s="63">
        <v>320.16000000000003</v>
      </c>
      <c r="I174" s="63">
        <v>0</v>
      </c>
      <c r="J174" s="111">
        <v>100.52868298336139</v>
      </c>
      <c r="K174" s="128">
        <f t="shared" si="4"/>
        <v>130395015.27737349</v>
      </c>
      <c r="L174" s="69"/>
      <c r="M174" s="213"/>
    </row>
    <row r="175" spans="1:34" x14ac:dyDescent="0.2">
      <c r="A175" s="59">
        <v>38047</v>
      </c>
      <c r="B175" s="200">
        <f>'[2]wholesale kWh'!P105</f>
        <v>137456783.87</v>
      </c>
      <c r="C175" s="51">
        <f>'[1]Monthly Summary'!B175</f>
        <v>245.00000000000003</v>
      </c>
      <c r="D175" s="129">
        <v>0</v>
      </c>
      <c r="E175" s="181">
        <v>128.06005254032812</v>
      </c>
      <c r="F175" s="63">
        <v>31</v>
      </c>
      <c r="G175" s="63">
        <f>[2]Population!I3</f>
        <v>112471.14999999975</v>
      </c>
      <c r="H175" s="63">
        <v>368.28</v>
      </c>
      <c r="I175" s="63">
        <v>0</v>
      </c>
      <c r="J175" s="111">
        <v>102.51979801881848</v>
      </c>
      <c r="K175" s="128">
        <f t="shared" si="4"/>
        <v>135258462.25904834</v>
      </c>
      <c r="L175" s="69"/>
      <c r="M175" s="213"/>
    </row>
    <row r="176" spans="1:34" x14ac:dyDescent="0.2">
      <c r="A176" s="59">
        <v>38078</v>
      </c>
      <c r="B176" s="200">
        <f>'[2]wholesale kWh'!P106</f>
        <v>123653699.70999999</v>
      </c>
      <c r="C176" s="51">
        <f>'[1]Monthly Summary'!B176</f>
        <v>116.39999999999999</v>
      </c>
      <c r="D176" s="129">
        <v>0</v>
      </c>
      <c r="E176" s="181">
        <v>128.32383528126866</v>
      </c>
      <c r="F176" s="63">
        <v>30</v>
      </c>
      <c r="G176" s="63">
        <f>[2]Population!I4</f>
        <v>112562.69999999975</v>
      </c>
      <c r="H176" s="63">
        <v>336.24</v>
      </c>
      <c r="I176" s="63">
        <v>0</v>
      </c>
      <c r="J176" s="111">
        <v>101.79354874313621</v>
      </c>
      <c r="K176" s="128">
        <f t="shared" si="4"/>
        <v>126124721.85805738</v>
      </c>
      <c r="L176" s="69"/>
      <c r="M176" s="213"/>
    </row>
    <row r="177" spans="1:34" x14ac:dyDescent="0.2">
      <c r="A177" s="59">
        <v>38108</v>
      </c>
      <c r="B177" s="200">
        <f>'[2]wholesale kWh'!P107</f>
        <v>125173524.8</v>
      </c>
      <c r="C177" s="51">
        <f>'[1]Monthly Summary'!B177</f>
        <v>18.899999999999999</v>
      </c>
      <c r="D177" s="129">
        <v>8.6</v>
      </c>
      <c r="E177" s="181">
        <v>128.58816137146633</v>
      </c>
      <c r="F177" s="63">
        <v>31</v>
      </c>
      <c r="G177" s="63">
        <f>[2]Population!I5</f>
        <v>112654.24999999975</v>
      </c>
      <c r="H177" s="63">
        <v>319.92</v>
      </c>
      <c r="I177" s="63">
        <v>0</v>
      </c>
      <c r="J177" s="111">
        <v>100.82889544990481</v>
      </c>
      <c r="K177" s="128">
        <f t="shared" si="4"/>
        <v>123998885.87061438</v>
      </c>
      <c r="L177" s="69"/>
      <c r="M177" s="213"/>
    </row>
    <row r="178" spans="1:34" s="70" customFormat="1" x14ac:dyDescent="0.2">
      <c r="A178" s="59">
        <v>38139</v>
      </c>
      <c r="B178" s="200">
        <f>'[2]wholesale kWh'!P108</f>
        <v>127179405.58</v>
      </c>
      <c r="C178" s="51">
        <f>'[1]Monthly Summary'!B178</f>
        <v>0</v>
      </c>
      <c r="D178" s="129">
        <v>31.6</v>
      </c>
      <c r="E178" s="181">
        <v>128.85303193013166</v>
      </c>
      <c r="F178" s="63">
        <v>30</v>
      </c>
      <c r="G178" s="63">
        <f>[2]Population!I6</f>
        <v>112745.79999999976</v>
      </c>
      <c r="H178" s="63">
        <v>352.08</v>
      </c>
      <c r="I178" s="63">
        <v>0</v>
      </c>
      <c r="J178" s="111">
        <v>102.51483126845287</v>
      </c>
      <c r="K178" s="128">
        <f t="shared" si="4"/>
        <v>127183078.04440722</v>
      </c>
      <c r="L178" s="69"/>
      <c r="M178" s="213"/>
      <c r="N178" s="107"/>
      <c r="O178" s="51"/>
      <c r="P178" s="51"/>
      <c r="Q178" s="51"/>
      <c r="R178" s="51"/>
      <c r="S178" s="51"/>
      <c r="T178" s="51"/>
      <c r="U178" s="51"/>
      <c r="V178" s="184"/>
      <c r="W178" s="51"/>
      <c r="X178" s="51"/>
      <c r="Y178" s="51"/>
      <c r="Z178" s="55"/>
      <c r="AA178" s="52"/>
      <c r="AB178" s="52"/>
      <c r="AC178" s="52"/>
      <c r="AD178" s="52"/>
      <c r="AE178" s="52"/>
      <c r="AF178" s="52"/>
      <c r="AG178" s="52"/>
      <c r="AH178" s="52"/>
    </row>
    <row r="179" spans="1:34" x14ac:dyDescent="0.2">
      <c r="A179" s="59">
        <v>38169</v>
      </c>
      <c r="B179" s="201">
        <f>'[2]wholesale kWh'!P109</f>
        <v>128976195.75999999</v>
      </c>
      <c r="C179" s="51">
        <f>'[1]Monthly Summary'!B179</f>
        <v>0</v>
      </c>
      <c r="D179" s="129">
        <v>86.4</v>
      </c>
      <c r="E179" s="181">
        <v>129.11844807878055</v>
      </c>
      <c r="F179" s="63">
        <v>31</v>
      </c>
      <c r="G179" s="63">
        <f>[2]Population!I7</f>
        <v>112837.34999999976</v>
      </c>
      <c r="H179" s="63">
        <v>336.28800000000001</v>
      </c>
      <c r="I179" s="63">
        <v>0</v>
      </c>
      <c r="J179" s="111">
        <v>101.85646091443392</v>
      </c>
      <c r="K179" s="128">
        <f t="shared" si="4"/>
        <v>131922768.705063</v>
      </c>
      <c r="L179" s="69"/>
      <c r="M179" s="213"/>
      <c r="AA179" s="69"/>
      <c r="AB179" s="69"/>
    </row>
    <row r="180" spans="1:34" x14ac:dyDescent="0.2">
      <c r="A180" s="59">
        <v>38200</v>
      </c>
      <c r="B180" s="201">
        <f>'[2]wholesale kWh'!P110</f>
        <v>130854609.5</v>
      </c>
      <c r="C180" s="51">
        <f>'[1]Monthly Summary'!B180</f>
        <v>0</v>
      </c>
      <c r="D180" s="129">
        <v>59.6</v>
      </c>
      <c r="E180" s="181">
        <v>129.38441094123903</v>
      </c>
      <c r="F180" s="63">
        <v>31</v>
      </c>
      <c r="G180" s="63">
        <f>[2]Population!I8</f>
        <v>112928.89999999976</v>
      </c>
      <c r="H180" s="63">
        <v>336.28800000000001</v>
      </c>
      <c r="I180" s="63">
        <v>0</v>
      </c>
      <c r="J180" s="111">
        <v>102.13404707375624</v>
      </c>
      <c r="K180" s="128">
        <f t="shared" si="4"/>
        <v>130010479.58209656</v>
      </c>
      <c r="L180" s="69"/>
      <c r="M180" s="213"/>
    </row>
    <row r="181" spans="1:34" x14ac:dyDescent="0.2">
      <c r="A181" s="59">
        <v>38231</v>
      </c>
      <c r="B181" s="201">
        <f>'[2]wholesale kWh'!P111</f>
        <v>131024580.69999999</v>
      </c>
      <c r="C181" s="51">
        <f>'[1]Monthly Summary'!B181</f>
        <v>0</v>
      </c>
      <c r="D181" s="129">
        <v>41.2</v>
      </c>
      <c r="E181" s="181">
        <v>129.65092164364802</v>
      </c>
      <c r="F181" s="63">
        <v>30</v>
      </c>
      <c r="G181" s="63">
        <f>[2]Population!I9</f>
        <v>113020.44999999976</v>
      </c>
      <c r="H181" s="63">
        <v>336.24</v>
      </c>
      <c r="I181" s="63">
        <v>0</v>
      </c>
      <c r="J181" s="111">
        <v>103.22838773764519</v>
      </c>
      <c r="K181" s="128">
        <f t="shared" si="4"/>
        <v>127143255.20768367</v>
      </c>
      <c r="L181" s="69"/>
      <c r="M181" s="213"/>
    </row>
    <row r="182" spans="1:34" x14ac:dyDescent="0.2">
      <c r="A182" s="59">
        <v>38261</v>
      </c>
      <c r="B182" s="201">
        <f>'[2]wholesale kWh'!P112</f>
        <v>130716809.59999999</v>
      </c>
      <c r="C182" s="51">
        <f>'[1]Monthly Summary'!B182</f>
        <v>25.700000000000003</v>
      </c>
      <c r="D182" s="129">
        <v>1.5</v>
      </c>
      <c r="E182" s="181">
        <v>129.91798131446814</v>
      </c>
      <c r="F182" s="63">
        <v>31</v>
      </c>
      <c r="G182" s="63">
        <f>[2]Population!I10</f>
        <v>113111.99999999977</v>
      </c>
      <c r="H182" s="63">
        <v>319.92</v>
      </c>
      <c r="I182" s="63">
        <v>0</v>
      </c>
      <c r="J182" s="111">
        <v>102.57222482823323</v>
      </c>
      <c r="K182" s="128">
        <f t="shared" si="4"/>
        <v>125014337.25454009</v>
      </c>
      <c r="L182" s="69"/>
      <c r="M182" s="213"/>
    </row>
    <row r="183" spans="1:34" x14ac:dyDescent="0.2">
      <c r="A183" s="59">
        <v>38292</v>
      </c>
      <c r="B183" s="201">
        <f>'[2]wholesale kWh'!P113</f>
        <v>133082346.2</v>
      </c>
      <c r="C183" s="51">
        <f>'[1]Monthly Summary'!B183</f>
        <v>140.1</v>
      </c>
      <c r="D183" s="129">
        <v>0</v>
      </c>
      <c r="E183" s="181">
        <v>130.18559108448443</v>
      </c>
      <c r="F183" s="63">
        <v>30</v>
      </c>
      <c r="G183" s="63">
        <f>[2]Population!I11</f>
        <v>113203.54999999977</v>
      </c>
      <c r="H183" s="63">
        <v>352.08</v>
      </c>
      <c r="I183" s="63">
        <v>0</v>
      </c>
      <c r="J183" s="111">
        <v>102.46681934825197</v>
      </c>
      <c r="K183" s="128">
        <f t="shared" si="4"/>
        <v>129445428.36288294</v>
      </c>
      <c r="L183" s="69"/>
      <c r="M183" s="213"/>
    </row>
    <row r="184" spans="1:34" x14ac:dyDescent="0.2">
      <c r="A184" s="59">
        <v>38322</v>
      </c>
      <c r="B184" s="66">
        <f>'[2]wholesale kWh'!P114</f>
        <v>136991696.29999998</v>
      </c>
      <c r="C184" s="51">
        <f>'[1]Monthly Summary'!B184</f>
        <v>395.40000000000003</v>
      </c>
      <c r="D184" s="129">
        <v>0</v>
      </c>
      <c r="E184" s="88">
        <v>130.45375208681136</v>
      </c>
      <c r="F184" s="63">
        <v>31</v>
      </c>
      <c r="G184" s="63">
        <f>[2]Population!I12</f>
        <v>113295.09999999977</v>
      </c>
      <c r="H184" s="63">
        <v>336.28800000000001</v>
      </c>
      <c r="I184" s="63">
        <v>0</v>
      </c>
      <c r="J184" s="111">
        <v>102.91272315885323</v>
      </c>
      <c r="K184" s="128">
        <f t="shared" si="4"/>
        <v>138035159.34144121</v>
      </c>
      <c r="L184" s="69"/>
      <c r="M184" s="213"/>
    </row>
    <row r="185" spans="1:34" x14ac:dyDescent="0.2">
      <c r="A185" s="59">
        <v>38353</v>
      </c>
      <c r="B185" s="200">
        <f>'[2]wholesale kWh'!P115</f>
        <v>145994606.49999997</v>
      </c>
      <c r="C185" s="51">
        <f>'[1]Monthly Summary'!B185</f>
        <v>522</v>
      </c>
      <c r="D185" s="129">
        <v>0</v>
      </c>
      <c r="E185" s="181">
        <v>130.74370215685079</v>
      </c>
      <c r="F185" s="63">
        <v>31</v>
      </c>
      <c r="G185" s="63">
        <f>[2]Population!I13</f>
        <v>113386.64999999978</v>
      </c>
      <c r="H185" s="63">
        <v>319.92</v>
      </c>
      <c r="I185" s="63">
        <v>0</v>
      </c>
      <c r="J185" s="111">
        <v>103.67318782594299</v>
      </c>
      <c r="K185" s="128">
        <f t="shared" ref="K185:K216" si="5">$P$129+C185*$P$130+D185*$P$131+E185*$P$132+F185*$P$133+G185*$P$134+H185*$P$135+I185*$P$136+J185*$P$137</f>
        <v>140815326.04624152</v>
      </c>
      <c r="L185" s="69"/>
      <c r="M185" s="213"/>
      <c r="Z185" s="69"/>
    </row>
    <row r="186" spans="1:34" x14ac:dyDescent="0.2">
      <c r="A186" s="59">
        <v>38384</v>
      </c>
      <c r="B186" s="200">
        <f>'[2]wholesale kWh'!P116</f>
        <v>130269322.8</v>
      </c>
      <c r="C186" s="51">
        <f>'[1]Monthly Summary'!B186</f>
        <v>392.39999999999992</v>
      </c>
      <c r="D186" s="129">
        <v>0</v>
      </c>
      <c r="E186" s="181">
        <v>131.0342966778299</v>
      </c>
      <c r="F186" s="63">
        <v>28</v>
      </c>
      <c r="G186" s="63">
        <f>[2]Population!I14</f>
        <v>113478.19999999978</v>
      </c>
      <c r="H186" s="63">
        <v>319.87200000000001</v>
      </c>
      <c r="I186" s="63">
        <v>0</v>
      </c>
      <c r="J186" s="111">
        <v>103.86247620098783</v>
      </c>
      <c r="K186" s="128">
        <f t="shared" si="5"/>
        <v>131078435.4813799</v>
      </c>
      <c r="L186" s="69"/>
      <c r="M186" s="213"/>
    </row>
    <row r="187" spans="1:34" x14ac:dyDescent="0.2">
      <c r="A187" s="59">
        <v>38412</v>
      </c>
      <c r="B187" s="200">
        <f>'[2]wholesale kWh'!P117</f>
        <v>140140932.90000001</v>
      </c>
      <c r="C187" s="51">
        <f>'[1]Monthly Summary'!B187</f>
        <v>361.1</v>
      </c>
      <c r="D187" s="129">
        <v>0</v>
      </c>
      <c r="E187" s="181">
        <v>131.32553708212293</v>
      </c>
      <c r="F187" s="63">
        <v>31</v>
      </c>
      <c r="G187" s="63">
        <f>[2]Population!I15</f>
        <v>113569.74999999978</v>
      </c>
      <c r="H187" s="63">
        <v>351.91199999999998</v>
      </c>
      <c r="I187" s="63">
        <v>0</v>
      </c>
      <c r="J187" s="111">
        <v>103.32827460610909</v>
      </c>
      <c r="K187" s="128">
        <f t="shared" si="5"/>
        <v>139023454.81291094</v>
      </c>
      <c r="L187" s="69"/>
      <c r="M187" s="213"/>
    </row>
    <row r="188" spans="1:34" x14ac:dyDescent="0.2">
      <c r="A188" s="59">
        <v>38443</v>
      </c>
      <c r="B188" s="200">
        <f>'[2]wholesale kWh'!P118</f>
        <v>123036658.3</v>
      </c>
      <c r="C188" s="51">
        <f>'[1]Monthly Summary'!B188</f>
        <v>83.2</v>
      </c>
      <c r="D188" s="129">
        <v>0</v>
      </c>
      <c r="E188" s="181">
        <v>131.61742480528775</v>
      </c>
      <c r="F188" s="63">
        <v>30</v>
      </c>
      <c r="G188" s="63">
        <f>[2]Population!I16</f>
        <v>113661.29999999978</v>
      </c>
      <c r="H188" s="63">
        <v>336.24</v>
      </c>
      <c r="I188" s="63">
        <v>0</v>
      </c>
      <c r="J188" s="111">
        <v>103.57385281863083</v>
      </c>
      <c r="K188" s="128">
        <f t="shared" si="5"/>
        <v>127354907.9469994</v>
      </c>
      <c r="L188" s="69"/>
      <c r="M188" s="213"/>
    </row>
    <row r="189" spans="1:34" x14ac:dyDescent="0.2">
      <c r="A189" s="59">
        <v>38473</v>
      </c>
      <c r="B189" s="200">
        <f>'[2]wholesale kWh'!P119</f>
        <v>125247527.40000001</v>
      </c>
      <c r="C189" s="51">
        <f>'[1]Monthly Summary'!B189</f>
        <v>28.599999999999998</v>
      </c>
      <c r="D189" s="129">
        <v>0.8</v>
      </c>
      <c r="E189" s="181">
        <v>131.90996128607298</v>
      </c>
      <c r="F189" s="63">
        <v>31</v>
      </c>
      <c r="G189" s="63">
        <f>[2]Population!I17</f>
        <v>113752.84999999979</v>
      </c>
      <c r="H189" s="63">
        <v>336.28800000000001</v>
      </c>
      <c r="I189" s="63">
        <v>0</v>
      </c>
      <c r="J189" s="111">
        <v>103.6345575453216</v>
      </c>
      <c r="K189" s="128">
        <f t="shared" si="5"/>
        <v>127923253.085289</v>
      </c>
      <c r="L189" s="69"/>
      <c r="M189" s="213"/>
    </row>
    <row r="190" spans="1:34" x14ac:dyDescent="0.2">
      <c r="A190" s="59">
        <v>38504</v>
      </c>
      <c r="B190" s="200">
        <f>'[2]wholesale kWh'!P120</f>
        <v>144685267.34</v>
      </c>
      <c r="C190" s="51">
        <f>'[1]Monthly Summary'!B190</f>
        <v>0</v>
      </c>
      <c r="D190" s="129">
        <v>146.30000000000001</v>
      </c>
      <c r="E190" s="181">
        <v>132.20314796642501</v>
      </c>
      <c r="F190" s="63">
        <v>30</v>
      </c>
      <c r="G190" s="63">
        <f>[2]Population!I18</f>
        <v>113844.39999999979</v>
      </c>
      <c r="H190" s="63">
        <v>352.08</v>
      </c>
      <c r="I190" s="63">
        <v>0</v>
      </c>
      <c r="J190" s="111">
        <v>103.4827957285947</v>
      </c>
      <c r="K190" s="128">
        <f t="shared" si="5"/>
        <v>138290214.31849715</v>
      </c>
      <c r="L190" s="69"/>
      <c r="M190" s="213"/>
    </row>
    <row r="191" spans="1:34" x14ac:dyDescent="0.2">
      <c r="A191" s="59">
        <v>38534</v>
      </c>
      <c r="B191" s="201">
        <f>'[2]wholesale kWh'!P121</f>
        <v>141797468</v>
      </c>
      <c r="C191" s="51">
        <f>'[1]Monthly Summary'!B191</f>
        <v>0</v>
      </c>
      <c r="D191" s="129">
        <v>188.7</v>
      </c>
      <c r="E191" s="181">
        <v>132.49698629149512</v>
      </c>
      <c r="F191" s="63">
        <v>31</v>
      </c>
      <c r="G191" s="63">
        <f>[2]Population!I19</f>
        <v>113935.94999999979</v>
      </c>
      <c r="H191" s="63">
        <v>319.92</v>
      </c>
      <c r="I191" s="63">
        <v>0</v>
      </c>
      <c r="J191" s="111">
        <v>103.24659915565245</v>
      </c>
      <c r="K191" s="128">
        <f t="shared" si="5"/>
        <v>140701930.16477707</v>
      </c>
      <c r="L191" s="69"/>
      <c r="M191" s="213"/>
      <c r="AA191" s="69"/>
      <c r="AB191" s="69"/>
    </row>
    <row r="192" spans="1:34" x14ac:dyDescent="0.2">
      <c r="A192" s="59">
        <v>38565</v>
      </c>
      <c r="B192" s="201">
        <f>'[2]wholesale kWh'!P122</f>
        <v>145925490.29999998</v>
      </c>
      <c r="C192" s="51">
        <f>'[1]Monthly Summary'!B192</f>
        <v>0</v>
      </c>
      <c r="D192" s="129">
        <v>140.69999999999999</v>
      </c>
      <c r="E192" s="181">
        <v>132.79147770964664</v>
      </c>
      <c r="F192" s="63">
        <v>31</v>
      </c>
      <c r="G192" s="63">
        <f>[2]Population!I20</f>
        <v>114027.4999999998</v>
      </c>
      <c r="H192" s="63">
        <v>351.91199999999998</v>
      </c>
      <c r="I192" s="63">
        <v>0</v>
      </c>
      <c r="J192" s="111">
        <v>103.92759581689246</v>
      </c>
      <c r="K192" s="128">
        <f t="shared" si="5"/>
        <v>140283168.86817479</v>
      </c>
      <c r="L192" s="69"/>
      <c r="M192" s="213"/>
    </row>
    <row r="193" spans="1:28" x14ac:dyDescent="0.2">
      <c r="A193" s="59">
        <v>38596</v>
      </c>
      <c r="B193" s="201">
        <f>'[2]wholesale kWh'!P123</f>
        <v>133831085.89999999</v>
      </c>
      <c r="C193" s="51">
        <f>'[1]Monthly Summary'!B193</f>
        <v>0</v>
      </c>
      <c r="D193" s="129">
        <v>52.1</v>
      </c>
      <c r="E193" s="181">
        <v>133.08662367246211</v>
      </c>
      <c r="F193" s="63">
        <v>30</v>
      </c>
      <c r="G193" s="63">
        <f>[2]Population!I21</f>
        <v>114119.0499999998</v>
      </c>
      <c r="H193" s="63">
        <v>336.24</v>
      </c>
      <c r="I193" s="63">
        <v>0</v>
      </c>
      <c r="J193" s="111">
        <v>103.73996302530284</v>
      </c>
      <c r="K193" s="128">
        <f t="shared" si="5"/>
        <v>129721387.33003479</v>
      </c>
      <c r="L193" s="69"/>
      <c r="M193" s="213"/>
    </row>
    <row r="194" spans="1:28" x14ac:dyDescent="0.2">
      <c r="A194" s="59">
        <v>38626</v>
      </c>
      <c r="B194" s="201">
        <f>'[2]wholesale kWh'!P124</f>
        <v>134338666.50000003</v>
      </c>
      <c r="C194" s="51">
        <f>'[1]Monthly Summary'!B194</f>
        <v>41.2</v>
      </c>
      <c r="D194" s="129">
        <v>7.6</v>
      </c>
      <c r="E194" s="181">
        <v>133.38242563475035</v>
      </c>
      <c r="F194" s="63">
        <v>31</v>
      </c>
      <c r="G194" s="63">
        <f>[2]Population!I22</f>
        <v>114210.5999999998</v>
      </c>
      <c r="H194" s="63">
        <v>319.92</v>
      </c>
      <c r="I194" s="63">
        <v>0</v>
      </c>
      <c r="J194" s="111">
        <v>103.13070831378826</v>
      </c>
      <c r="K194" s="128">
        <f t="shared" si="5"/>
        <v>127708584.51875977</v>
      </c>
      <c r="L194" s="69"/>
      <c r="M194" s="213"/>
    </row>
    <row r="195" spans="1:28" x14ac:dyDescent="0.2">
      <c r="A195" s="59">
        <v>38657</v>
      </c>
      <c r="B195" s="201">
        <f>'[2]wholesale kWh'!P125</f>
        <v>136612175.59999996</v>
      </c>
      <c r="C195" s="51">
        <f>'[1]Monthly Summary'!B195</f>
        <v>161.20000000000002</v>
      </c>
      <c r="D195" s="129">
        <v>0</v>
      </c>
      <c r="E195" s="181">
        <v>133.67888505455369</v>
      </c>
      <c r="F195" s="63">
        <v>30</v>
      </c>
      <c r="G195" s="63">
        <f>[2]Population!I23</f>
        <v>114302.14999999981</v>
      </c>
      <c r="H195" s="63">
        <v>352.08</v>
      </c>
      <c r="I195" s="63">
        <v>0</v>
      </c>
      <c r="J195" s="111">
        <v>104.09205044010928</v>
      </c>
      <c r="K195" s="128">
        <f t="shared" si="5"/>
        <v>132322317.76925969</v>
      </c>
      <c r="L195" s="69"/>
      <c r="M195" s="213"/>
    </row>
    <row r="196" spans="1:28" x14ac:dyDescent="0.2">
      <c r="A196" s="59">
        <v>38687</v>
      </c>
      <c r="B196" s="198">
        <f>'[2]wholesale kWh'!P126</f>
        <v>139563133.70000002</v>
      </c>
      <c r="C196" s="51">
        <f>'[1]Monthly Summary'!B196</f>
        <v>417.29999999999995</v>
      </c>
      <c r="D196" s="129">
        <v>0</v>
      </c>
      <c r="E196" s="88">
        <v>133.97600339315525</v>
      </c>
      <c r="F196" s="63">
        <v>31</v>
      </c>
      <c r="G196" s="63">
        <f>[2]Population!I24</f>
        <v>114393.69999999981</v>
      </c>
      <c r="H196" s="63">
        <v>319.92</v>
      </c>
      <c r="I196" s="63">
        <v>0</v>
      </c>
      <c r="J196" s="111">
        <v>104.64943020336084</v>
      </c>
      <c r="K196" s="128">
        <f t="shared" si="5"/>
        <v>139462221.69839934</v>
      </c>
      <c r="L196" s="69"/>
      <c r="M196" s="213"/>
    </row>
    <row r="197" spans="1:28" x14ac:dyDescent="0.2">
      <c r="A197" s="59">
        <v>38718</v>
      </c>
      <c r="B197" s="200">
        <f>'[2]wholesale kWh'!P127</f>
        <v>143350839.79999998</v>
      </c>
      <c r="C197" s="51">
        <f>'[1]Monthly Summary'!B197</f>
        <v>303.8</v>
      </c>
      <c r="D197" s="129">
        <v>0</v>
      </c>
      <c r="E197" s="181">
        <v>134.25197202423305</v>
      </c>
      <c r="F197" s="63">
        <v>31</v>
      </c>
      <c r="G197" s="63">
        <f>[2]Population!I25</f>
        <v>114485.24999999981</v>
      </c>
      <c r="H197" s="63">
        <v>336.28800000000001</v>
      </c>
      <c r="I197" s="63">
        <v>0</v>
      </c>
      <c r="J197" s="111">
        <v>105.25261444220635</v>
      </c>
      <c r="K197" s="128">
        <f t="shared" si="5"/>
        <v>137951657.91666865</v>
      </c>
      <c r="L197" s="69"/>
      <c r="M197" s="213"/>
      <c r="Z197" s="69"/>
    </row>
    <row r="198" spans="1:28" x14ac:dyDescent="0.2">
      <c r="A198" s="59">
        <v>38749</v>
      </c>
      <c r="B198" s="200">
        <f>'[2]wholesale kWh'!P128</f>
        <v>132539698.40000001</v>
      </c>
      <c r="C198" s="51">
        <f>'[1]Monthly Summary'!B198</f>
        <v>380.30000000000007</v>
      </c>
      <c r="D198" s="129">
        <v>0</v>
      </c>
      <c r="E198" s="181">
        <v>134.52850910550649</v>
      </c>
      <c r="F198" s="63">
        <v>28</v>
      </c>
      <c r="G198" s="63">
        <f>[2]Population!I26</f>
        <v>114576.79999999981</v>
      </c>
      <c r="H198" s="63">
        <v>319.87200000000001</v>
      </c>
      <c r="I198" s="63">
        <v>0</v>
      </c>
      <c r="J198" s="111">
        <v>104.41102618581164</v>
      </c>
      <c r="K198" s="128">
        <f t="shared" si="5"/>
        <v>132450632.93798523</v>
      </c>
      <c r="L198" s="69"/>
      <c r="M198" s="213"/>
    </row>
    <row r="199" spans="1:28" x14ac:dyDescent="0.2">
      <c r="A199" s="59">
        <v>38777</v>
      </c>
      <c r="B199" s="200">
        <f>'[2]wholesale kWh'!P129</f>
        <v>142937971</v>
      </c>
      <c r="C199" s="51">
        <f>'[1]Monthly Summary'!B199</f>
        <v>268.70000000000005</v>
      </c>
      <c r="D199" s="129">
        <v>0</v>
      </c>
      <c r="E199" s="181">
        <v>134.80561580788986</v>
      </c>
      <c r="F199" s="63">
        <v>31</v>
      </c>
      <c r="G199" s="63">
        <f>[2]Population!I27</f>
        <v>114668.34999999982</v>
      </c>
      <c r="H199" s="63">
        <v>368.28</v>
      </c>
      <c r="I199" s="63">
        <v>0</v>
      </c>
      <c r="J199" s="111">
        <v>104.424822714605</v>
      </c>
      <c r="K199" s="128">
        <f t="shared" si="5"/>
        <v>139743471.29724434</v>
      </c>
      <c r="L199" s="69"/>
      <c r="M199" s="213"/>
    </row>
    <row r="200" spans="1:28" x14ac:dyDescent="0.2">
      <c r="A200" s="59">
        <v>38808</v>
      </c>
      <c r="B200" s="200">
        <f>'[2]wholesale kWh'!P130</f>
        <v>125688889.8</v>
      </c>
      <c r="C200" s="70">
        <f>'[1]Monthly Summary'!B200</f>
        <v>77.5</v>
      </c>
      <c r="D200" s="129">
        <v>0</v>
      </c>
      <c r="E200" s="181">
        <v>135.08329330470943</v>
      </c>
      <c r="F200" s="63">
        <v>30</v>
      </c>
      <c r="G200" s="63">
        <f>[2]Population!I28</f>
        <v>114759.89999999982</v>
      </c>
      <c r="H200" s="63">
        <v>303.83999999999997</v>
      </c>
      <c r="I200" s="63">
        <v>0</v>
      </c>
      <c r="J200" s="111">
        <v>102.55456527137771</v>
      </c>
      <c r="K200" s="128">
        <f t="shared" si="5"/>
        <v>125146213.51017126</v>
      </c>
      <c r="L200" s="69"/>
      <c r="M200" s="213"/>
    </row>
    <row r="201" spans="1:28" x14ac:dyDescent="0.2">
      <c r="A201" s="59">
        <v>38838</v>
      </c>
      <c r="B201" s="200">
        <f>'[2]wholesale kWh'!P131</f>
        <v>132368028.5</v>
      </c>
      <c r="C201" s="51">
        <f>'[1]Monthly Summary'!B201</f>
        <v>9.6</v>
      </c>
      <c r="D201" s="129">
        <v>26</v>
      </c>
      <c r="E201" s="181">
        <v>135.36154277170829</v>
      </c>
      <c r="F201" s="63">
        <v>31</v>
      </c>
      <c r="G201" s="63">
        <f>[2]Population!I29</f>
        <v>114851.44999999982</v>
      </c>
      <c r="H201" s="63">
        <v>351.91199999999998</v>
      </c>
      <c r="I201" s="63">
        <v>0</v>
      </c>
      <c r="J201" s="111">
        <v>102.00767087000911</v>
      </c>
      <c r="K201" s="128">
        <f t="shared" si="5"/>
        <v>131558246.19173017</v>
      </c>
      <c r="L201" s="69"/>
      <c r="M201" s="213"/>
    </row>
    <row r="202" spans="1:28" x14ac:dyDescent="0.2">
      <c r="A202" s="59">
        <v>38869</v>
      </c>
      <c r="B202" s="200">
        <f>'[2]wholesale kWh'!P132</f>
        <v>137004145.30000001</v>
      </c>
      <c r="C202" s="51">
        <f>'[1]Monthly Summary'!B202</f>
        <v>0</v>
      </c>
      <c r="D202" s="129">
        <v>73.599999999999994</v>
      </c>
      <c r="E202" s="181">
        <v>135.64036538705133</v>
      </c>
      <c r="F202" s="63">
        <v>30</v>
      </c>
      <c r="G202" s="63">
        <f>[2]Population!I30</f>
        <v>114942.99999999983</v>
      </c>
      <c r="H202" s="63">
        <v>352.08</v>
      </c>
      <c r="I202" s="63">
        <v>0</v>
      </c>
      <c r="J202" s="111">
        <v>101.34930051599018</v>
      </c>
      <c r="K202" s="128">
        <f t="shared" si="5"/>
        <v>132922431.93874103</v>
      </c>
      <c r="L202" s="69"/>
      <c r="M202" s="213"/>
    </row>
    <row r="203" spans="1:28" x14ac:dyDescent="0.2">
      <c r="A203" s="59">
        <v>38899</v>
      </c>
      <c r="B203" s="201">
        <f>'[2]wholesale kWh'!P133</f>
        <v>143859116.19999999</v>
      </c>
      <c r="C203" s="51">
        <f>'[1]Monthly Summary'!B203</f>
        <v>0</v>
      </c>
      <c r="D203" s="129">
        <v>167.3</v>
      </c>
      <c r="E203" s="181">
        <v>135.9197623313303</v>
      </c>
      <c r="F203" s="63">
        <v>31</v>
      </c>
      <c r="G203" s="63">
        <f>[2]Population!I31</f>
        <v>115290.11666666649</v>
      </c>
      <c r="H203" s="63">
        <v>319.92</v>
      </c>
      <c r="I203" s="63">
        <v>0</v>
      </c>
      <c r="J203" s="111">
        <v>101.13793769487597</v>
      </c>
      <c r="K203" s="128">
        <f t="shared" si="5"/>
        <v>139523624.05757827</v>
      </c>
      <c r="L203" s="69"/>
      <c r="M203" s="213"/>
      <c r="AA203" s="69"/>
      <c r="AB203" s="69"/>
    </row>
    <row r="204" spans="1:28" x14ac:dyDescent="0.2">
      <c r="A204" s="59">
        <v>38930</v>
      </c>
      <c r="B204" s="201">
        <f>'[2]wholesale kWh'!P134</f>
        <v>143299189.5</v>
      </c>
      <c r="C204" s="51">
        <f>'[1]Monthly Summary'!B204</f>
        <v>0</v>
      </c>
      <c r="D204" s="129">
        <v>101.6</v>
      </c>
      <c r="E204" s="181">
        <v>136.19973478756879</v>
      </c>
      <c r="F204" s="63">
        <v>31</v>
      </c>
      <c r="G204" s="63">
        <f>[2]Population!I32</f>
        <v>115637.23333333316</v>
      </c>
      <c r="H204" s="63">
        <v>351.91199999999998</v>
      </c>
      <c r="I204" s="63">
        <v>0</v>
      </c>
      <c r="J204" s="111">
        <v>101.05957341132972</v>
      </c>
      <c r="K204" s="128">
        <f t="shared" si="5"/>
        <v>137382296.21485031</v>
      </c>
      <c r="L204" s="69"/>
      <c r="M204" s="213"/>
    </row>
    <row r="205" spans="1:28" x14ac:dyDescent="0.2">
      <c r="A205" s="59">
        <v>38961</v>
      </c>
      <c r="B205" s="201">
        <f>'[2]wholesale kWh'!P135</f>
        <v>128579498</v>
      </c>
      <c r="C205" s="51">
        <f>'[1]Monthly Summary'!B205</f>
        <v>1.5</v>
      </c>
      <c r="D205" s="129">
        <v>12.9</v>
      </c>
      <c r="E205" s="181">
        <v>136.48028394122719</v>
      </c>
      <c r="F205" s="63">
        <v>30</v>
      </c>
      <c r="G205" s="63">
        <f>[2]Population!I33</f>
        <v>115984.34999999983</v>
      </c>
      <c r="H205" s="63">
        <v>319.68</v>
      </c>
      <c r="I205" s="63">
        <v>0</v>
      </c>
      <c r="J205" s="111">
        <v>99.884109158135814</v>
      </c>
      <c r="K205" s="128">
        <f t="shared" si="5"/>
        <v>124899429.24936296</v>
      </c>
      <c r="L205" s="69"/>
      <c r="M205" s="213"/>
    </row>
    <row r="206" spans="1:28" x14ac:dyDescent="0.2">
      <c r="A206" s="59">
        <v>38991</v>
      </c>
      <c r="B206" s="201">
        <f>'[2]wholesale kWh'!P136</f>
        <v>135073907.59999999</v>
      </c>
      <c r="C206" s="51">
        <f>'[1]Monthly Summary'!B206</f>
        <v>74.900000000000006</v>
      </c>
      <c r="D206" s="129">
        <v>1.1000000000000001</v>
      </c>
      <c r="E206" s="181">
        <v>136.76141098020776</v>
      </c>
      <c r="F206" s="63">
        <v>31</v>
      </c>
      <c r="G206" s="63">
        <f>[2]Population!I34</f>
        <v>116331.4666666665</v>
      </c>
      <c r="H206" s="63">
        <v>336.28800000000001</v>
      </c>
      <c r="I206" s="63">
        <v>0</v>
      </c>
      <c r="J206" s="111">
        <v>99.219116470296072</v>
      </c>
      <c r="K206" s="128">
        <f t="shared" si="5"/>
        <v>129609626.22808012</v>
      </c>
      <c r="L206" s="69"/>
      <c r="M206" s="213"/>
    </row>
    <row r="207" spans="1:28" x14ac:dyDescent="0.2">
      <c r="A207" s="59">
        <v>39022</v>
      </c>
      <c r="B207" s="201">
        <f>'[2]wholesale kWh'!P137</f>
        <v>135688463.09999999</v>
      </c>
      <c r="C207" s="51">
        <f>'[1]Monthly Summary'!B207</f>
        <v>143.29999999999998</v>
      </c>
      <c r="D207" s="129">
        <v>0</v>
      </c>
      <c r="E207" s="181">
        <v>137.04311709485967</v>
      </c>
      <c r="F207" s="63">
        <v>30</v>
      </c>
      <c r="G207" s="63">
        <f>[2]Population!I35</f>
        <v>116678.58333333317</v>
      </c>
      <c r="H207" s="63">
        <v>352.08</v>
      </c>
      <c r="I207" s="63">
        <v>0</v>
      </c>
      <c r="J207" s="111">
        <v>99.740625258684915</v>
      </c>
      <c r="K207" s="128">
        <f t="shared" si="5"/>
        <v>131493263.25415859</v>
      </c>
      <c r="L207" s="69"/>
      <c r="M207" s="213"/>
    </row>
    <row r="208" spans="1:28" x14ac:dyDescent="0.2">
      <c r="A208" s="59">
        <v>39052</v>
      </c>
      <c r="B208" s="198">
        <f>'[2]wholesale kWh'!P138</f>
        <v>133398424.8</v>
      </c>
      <c r="C208" s="51">
        <f>'[1]Monthly Summary'!B208</f>
        <v>252.49999999999997</v>
      </c>
      <c r="D208" s="129">
        <v>0</v>
      </c>
      <c r="E208" s="88">
        <v>137.32540347798411</v>
      </c>
      <c r="F208" s="63">
        <v>31</v>
      </c>
      <c r="G208" s="63">
        <f>[2]Population!I36</f>
        <v>117025.69999999984</v>
      </c>
      <c r="H208" s="63">
        <v>304.29599999999999</v>
      </c>
      <c r="I208" s="63">
        <v>0</v>
      </c>
      <c r="J208" s="111">
        <v>101.54852239176624</v>
      </c>
      <c r="K208" s="128">
        <f t="shared" si="5"/>
        <v>133339942.59155691</v>
      </c>
      <c r="L208" s="69"/>
      <c r="M208" s="213"/>
    </row>
    <row r="209" spans="1:28" x14ac:dyDescent="0.2">
      <c r="A209" s="59">
        <v>39083</v>
      </c>
      <c r="B209" s="200">
        <f>'[2]wholesale kWh'!P139</f>
        <v>144060767.09999999</v>
      </c>
      <c r="C209" s="51">
        <f>'[1]Monthly Summary'!B209</f>
        <v>399.09999999999997</v>
      </c>
      <c r="D209" s="129">
        <v>0</v>
      </c>
      <c r="E209" s="181">
        <v>137.58587596073079</v>
      </c>
      <c r="F209" s="63">
        <v>31</v>
      </c>
      <c r="G209" s="63">
        <f>[2]Population!I37</f>
        <v>117372.81666666651</v>
      </c>
      <c r="H209" s="63">
        <v>351.91199999999998</v>
      </c>
      <c r="I209" s="63">
        <v>0</v>
      </c>
      <c r="J209" s="111">
        <v>101.46022460748875</v>
      </c>
      <c r="K209" s="128">
        <f t="shared" si="5"/>
        <v>142385296.61242881</v>
      </c>
      <c r="L209" s="69"/>
      <c r="M209" s="213"/>
      <c r="Z209" s="69"/>
    </row>
    <row r="210" spans="1:28" x14ac:dyDescent="0.2">
      <c r="A210" s="59">
        <v>39114</v>
      </c>
      <c r="B210" s="200">
        <f>'[2]wholesale kWh'!P140</f>
        <v>135868563.80000001</v>
      </c>
      <c r="C210" s="51">
        <f>'[1]Monthly Summary'!B210</f>
        <v>516.1</v>
      </c>
      <c r="D210" s="129">
        <v>0</v>
      </c>
      <c r="E210" s="181">
        <v>137.84684249565245</v>
      </c>
      <c r="F210" s="63">
        <v>28</v>
      </c>
      <c r="G210" s="63">
        <f>[2]Population!I38</f>
        <v>117719.93333333317</v>
      </c>
      <c r="H210" s="63">
        <v>319.87200000000001</v>
      </c>
      <c r="I210" s="63">
        <v>0</v>
      </c>
      <c r="J210" s="111">
        <v>101.90336911233133</v>
      </c>
      <c r="K210" s="128">
        <f t="shared" si="5"/>
        <v>137292506.98514965</v>
      </c>
      <c r="L210" s="69"/>
      <c r="M210" s="213"/>
    </row>
    <row r="211" spans="1:28" x14ac:dyDescent="0.2">
      <c r="A211" s="59">
        <v>39142</v>
      </c>
      <c r="B211" s="200">
        <f>'[2]wholesale kWh'!P141</f>
        <v>142052852.69999999</v>
      </c>
      <c r="C211" s="51">
        <f>'[1]Monthly Summary'!B211</f>
        <v>302.89999999999992</v>
      </c>
      <c r="D211" s="129">
        <v>0</v>
      </c>
      <c r="E211" s="181">
        <v>138.10830401984444</v>
      </c>
      <c r="F211" s="63">
        <v>31</v>
      </c>
      <c r="G211" s="63">
        <f>[2]Population!I39</f>
        <v>118067.04999999984</v>
      </c>
      <c r="H211" s="63">
        <v>351.91199999999998</v>
      </c>
      <c r="I211" s="63">
        <v>0</v>
      </c>
      <c r="J211" s="111">
        <v>101.82169366187468</v>
      </c>
      <c r="K211" s="128">
        <f t="shared" si="5"/>
        <v>139974282.13339978</v>
      </c>
      <c r="L211" s="69"/>
      <c r="M211" s="213"/>
    </row>
    <row r="212" spans="1:28" x14ac:dyDescent="0.2">
      <c r="A212" s="59">
        <v>39173</v>
      </c>
      <c r="B212" s="200">
        <f>'[2]wholesale kWh'!P142</f>
        <v>128480657.59999999</v>
      </c>
      <c r="C212" s="51">
        <f>'[1]Monthly Summary'!B212</f>
        <v>145.80000000000004</v>
      </c>
      <c r="D212" s="129">
        <v>0</v>
      </c>
      <c r="E212" s="181">
        <v>138.37026147217955</v>
      </c>
      <c r="F212" s="63">
        <v>30</v>
      </c>
      <c r="G212" s="63">
        <f>[2]Population!I40</f>
        <v>118414.16666666651</v>
      </c>
      <c r="H212" s="63">
        <v>319.68</v>
      </c>
      <c r="I212" s="63">
        <v>0</v>
      </c>
      <c r="J212" s="111">
        <v>101.75105543445268</v>
      </c>
      <c r="K212" s="128">
        <f t="shared" si="5"/>
        <v>130317388.48085809</v>
      </c>
      <c r="L212" s="69"/>
      <c r="M212" s="213"/>
    </row>
    <row r="213" spans="1:28" x14ac:dyDescent="0.2">
      <c r="A213" s="59">
        <v>39203</v>
      </c>
      <c r="B213" s="200">
        <f>'[2]wholesale kWh'!P143</f>
        <v>131342094.00000001</v>
      </c>
      <c r="C213" s="51">
        <f>'[1]Monthly Summary'!B213</f>
        <v>5.9</v>
      </c>
      <c r="D213" s="129">
        <v>22.4</v>
      </c>
      <c r="E213" s="181">
        <v>138.63271579331135</v>
      </c>
      <c r="F213" s="63">
        <v>31</v>
      </c>
      <c r="G213" s="63">
        <f>[2]Population!I41</f>
        <v>118761.28333333318</v>
      </c>
      <c r="H213" s="63">
        <v>351.91199999999998</v>
      </c>
      <c r="I213" s="63">
        <v>0</v>
      </c>
      <c r="J213" s="111">
        <v>101.43925388372286</v>
      </c>
      <c r="K213" s="128">
        <f t="shared" si="5"/>
        <v>132929207.56784452</v>
      </c>
      <c r="L213" s="69"/>
      <c r="M213" s="213"/>
    </row>
    <row r="214" spans="1:28" x14ac:dyDescent="0.2">
      <c r="A214" s="59">
        <v>39234</v>
      </c>
      <c r="B214" s="200">
        <f>'[2]wholesale kWh'!P144</f>
        <v>138449692.59999999</v>
      </c>
      <c r="C214" s="51">
        <f>'[1]Monthly Summary'!B214</f>
        <v>0</v>
      </c>
      <c r="D214" s="129">
        <v>99.2</v>
      </c>
      <c r="E214" s="181">
        <v>138.89566792567766</v>
      </c>
      <c r="F214" s="63">
        <v>30</v>
      </c>
      <c r="G214" s="63">
        <f>[2]Population!I42</f>
        <v>119108.39999999985</v>
      </c>
      <c r="H214" s="63">
        <v>336.24</v>
      </c>
      <c r="I214" s="63">
        <v>0</v>
      </c>
      <c r="J214" s="111">
        <v>100.99445379542506</v>
      </c>
      <c r="K214" s="128">
        <f t="shared" si="5"/>
        <v>135418052.07591388</v>
      </c>
      <c r="L214" s="69"/>
      <c r="M214" s="213"/>
    </row>
    <row r="215" spans="1:28" x14ac:dyDescent="0.2">
      <c r="A215" s="59">
        <v>39264</v>
      </c>
      <c r="B215" s="201">
        <f>'[2]wholesale kWh'!P145</f>
        <v>134837491.90000001</v>
      </c>
      <c r="C215" s="51">
        <f>'[1]Monthly Summary'!B215</f>
        <v>0</v>
      </c>
      <c r="D215" s="129">
        <v>106.1</v>
      </c>
      <c r="E215" s="181">
        <v>139.1591188135038</v>
      </c>
      <c r="F215" s="63">
        <v>31</v>
      </c>
      <c r="G215" s="63">
        <f>[2]Population!I43</f>
        <v>119455.51666666652</v>
      </c>
      <c r="H215" s="63">
        <v>336.28800000000001</v>
      </c>
      <c r="I215" s="63">
        <v>0</v>
      </c>
      <c r="J215" s="111">
        <v>100.33663530255788</v>
      </c>
      <c r="K215" s="128">
        <f t="shared" si="5"/>
        <v>137848340.64013213</v>
      </c>
      <c r="L215" s="69"/>
      <c r="M215" s="213"/>
      <c r="AA215" s="69"/>
      <c r="AB215" s="69"/>
    </row>
    <row r="216" spans="1:28" x14ac:dyDescent="0.2">
      <c r="A216" s="59">
        <v>39295</v>
      </c>
      <c r="B216" s="201">
        <f>'[2]wholesale kWh'!P146</f>
        <v>141992902.79999998</v>
      </c>
      <c r="C216" s="51">
        <f>'[1]Monthly Summary'!B216</f>
        <v>0</v>
      </c>
      <c r="D216" s="129">
        <v>141</v>
      </c>
      <c r="E216" s="181">
        <v>139.42306940280611</v>
      </c>
      <c r="F216" s="63">
        <v>31</v>
      </c>
      <c r="G216" s="63">
        <f>[2]Population!I44</f>
        <v>119802.63333333319</v>
      </c>
      <c r="H216" s="63">
        <v>351.91199999999998</v>
      </c>
      <c r="I216" s="63">
        <v>0</v>
      </c>
      <c r="J216" s="111">
        <v>100.50881598189896</v>
      </c>
      <c r="K216" s="128">
        <f t="shared" si="5"/>
        <v>142372276.71013525</v>
      </c>
      <c r="L216" s="69"/>
      <c r="M216" s="213"/>
    </row>
    <row r="217" spans="1:28" x14ac:dyDescent="0.2">
      <c r="A217" s="59">
        <v>39326</v>
      </c>
      <c r="B217" s="201">
        <f>'[2]wholesale kWh'!P147</f>
        <v>130837138.09999998</v>
      </c>
      <c r="C217" s="51">
        <f>'[1]Monthly Summary'!B217</f>
        <v>0.30000000000000071</v>
      </c>
      <c r="D217" s="129">
        <v>47.5</v>
      </c>
      <c r="E217" s="181">
        <v>139.68752064139528</v>
      </c>
      <c r="F217" s="63">
        <v>30</v>
      </c>
      <c r="G217" s="63">
        <f>[2]Population!I45</f>
        <v>120149.74999999985</v>
      </c>
      <c r="H217" s="63">
        <v>303.83999999999997</v>
      </c>
      <c r="I217" s="63">
        <v>0</v>
      </c>
      <c r="J217" s="111">
        <v>99.407301123037442</v>
      </c>
      <c r="K217" s="128">
        <f t="shared" ref="K217:K248" si="6">$P$129+C217*$P$130+D217*$P$131+E217*$P$132+F217*$P$133+G217*$P$134+H217*$P$135+I217*$P$136+J217*$P$137</f>
        <v>128009057.02375844</v>
      </c>
      <c r="L217" s="69"/>
      <c r="M217" s="213"/>
    </row>
    <row r="218" spans="1:28" x14ac:dyDescent="0.2">
      <c r="A218" s="59">
        <v>39356</v>
      </c>
      <c r="B218" s="201">
        <f>'[2]wholesale kWh'!P148</f>
        <v>134638757.59999999</v>
      </c>
      <c r="C218" s="51">
        <f>'[1]Monthly Summary'!B218</f>
        <v>15.1</v>
      </c>
      <c r="D218" s="129">
        <v>19.8</v>
      </c>
      <c r="E218" s="181">
        <v>139.95247347887977</v>
      </c>
      <c r="F218" s="63">
        <v>31</v>
      </c>
      <c r="G218" s="63">
        <f>[2]Population!I46</f>
        <v>120496.86666666652</v>
      </c>
      <c r="H218" s="63">
        <v>351.91199999999998</v>
      </c>
      <c r="I218" s="63">
        <v>0</v>
      </c>
      <c r="J218" s="111">
        <v>99.948676912888715</v>
      </c>
      <c r="K218" s="128">
        <f t="shared" si="6"/>
        <v>133166824.64716946</v>
      </c>
      <c r="L218" s="69"/>
      <c r="M218" s="213"/>
    </row>
    <row r="219" spans="1:28" x14ac:dyDescent="0.2">
      <c r="A219" s="59">
        <v>39387</v>
      </c>
      <c r="B219" s="201">
        <f>'[2]wholesale kWh'!P149</f>
        <v>135533303.70000002</v>
      </c>
      <c r="C219" s="51">
        <f>'[1]Monthly Summary'!B219</f>
        <v>222.99999999999997</v>
      </c>
      <c r="D219" s="129">
        <v>0</v>
      </c>
      <c r="E219" s="181">
        <v>140.21792886666915</v>
      </c>
      <c r="F219" s="63">
        <v>30</v>
      </c>
      <c r="G219" s="63">
        <f>[2]Population!I47</f>
        <v>120843.98333333319</v>
      </c>
      <c r="H219" s="63">
        <v>352.08</v>
      </c>
      <c r="I219" s="63">
        <v>0</v>
      </c>
      <c r="J219" s="111">
        <v>100.03587097486273</v>
      </c>
      <c r="K219" s="128">
        <f t="shared" si="6"/>
        <v>136106411.64610985</v>
      </c>
      <c r="L219" s="69"/>
      <c r="M219" s="213"/>
    </row>
    <row r="220" spans="1:28" x14ac:dyDescent="0.2">
      <c r="A220" s="59">
        <v>39417</v>
      </c>
      <c r="B220" s="198">
        <f>'[2]wholesale kWh'!P150</f>
        <v>133602881.00000001</v>
      </c>
      <c r="C220" s="51">
        <f>'[1]Monthly Summary'!B220</f>
        <v>382.7</v>
      </c>
      <c r="D220" s="129">
        <v>0</v>
      </c>
      <c r="E220" s="88">
        <v>140.48388775797773</v>
      </c>
      <c r="F220" s="63">
        <v>31</v>
      </c>
      <c r="G220" s="63">
        <f>[2]Population!I48</f>
        <v>121191.09999999986</v>
      </c>
      <c r="H220" s="63">
        <v>304.29599999999999</v>
      </c>
      <c r="I220" s="63">
        <v>0</v>
      </c>
      <c r="J220" s="111">
        <v>97.624789602935905</v>
      </c>
      <c r="K220" s="128">
        <f t="shared" si="6"/>
        <v>137529293.74238342</v>
      </c>
      <c r="L220" s="69"/>
      <c r="M220" s="213"/>
    </row>
    <row r="221" spans="1:28" x14ac:dyDescent="0.2">
      <c r="A221" s="59">
        <v>39448</v>
      </c>
      <c r="B221" s="200">
        <f>'[2]wholesale kWh'!P151</f>
        <v>144861994.29999998</v>
      </c>
      <c r="C221" s="51">
        <f>'[1]Monthly Summary'!B221</f>
        <v>379.79999999999995</v>
      </c>
      <c r="D221" s="129">
        <v>0</v>
      </c>
      <c r="E221" s="181">
        <v>140.42521823206457</v>
      </c>
      <c r="F221" s="63">
        <v>31</v>
      </c>
      <c r="G221" s="63">
        <f>[2]Population!L1</f>
        <v>121538.21666666653</v>
      </c>
      <c r="H221" s="53">
        <v>352</v>
      </c>
      <c r="I221" s="63">
        <v>0</v>
      </c>
      <c r="J221" s="111">
        <v>97.445434728622288</v>
      </c>
      <c r="K221" s="128">
        <f t="shared" si="6"/>
        <v>141891579.15643552</v>
      </c>
      <c r="L221" s="69"/>
      <c r="M221" s="213"/>
      <c r="Z221" s="69"/>
    </row>
    <row r="222" spans="1:28" x14ac:dyDescent="0.2">
      <c r="A222" s="59">
        <v>39479</v>
      </c>
      <c r="B222" s="200">
        <f>'[2]wholesale kWh'!P152</f>
        <v>137054945.90000001</v>
      </c>
      <c r="C222" s="51">
        <f>'[1]Monthly Summary'!B222</f>
        <v>442.7</v>
      </c>
      <c r="D222" s="129">
        <v>0</v>
      </c>
      <c r="E222" s="181">
        <v>140.36657320798807</v>
      </c>
      <c r="F222" s="63">
        <v>29</v>
      </c>
      <c r="G222" s="63">
        <f>[2]Population!L2</f>
        <v>121885.3333333332</v>
      </c>
      <c r="H222" s="53">
        <v>320</v>
      </c>
      <c r="I222" s="63">
        <v>0</v>
      </c>
      <c r="J222" s="111">
        <v>96.642476752848978</v>
      </c>
      <c r="K222" s="128">
        <f t="shared" si="6"/>
        <v>136475427.19849062</v>
      </c>
      <c r="L222" s="69"/>
      <c r="M222" s="213"/>
    </row>
    <row r="223" spans="1:28" x14ac:dyDescent="0.2">
      <c r="A223" s="59">
        <v>39508</v>
      </c>
      <c r="B223" s="200">
        <f>'[2]wholesale kWh'!P153</f>
        <v>138804603.89999998</v>
      </c>
      <c r="C223" s="51">
        <f>'[1]Monthly Summary'!B223</f>
        <v>362.19999999999987</v>
      </c>
      <c r="D223" s="129">
        <v>0</v>
      </c>
      <c r="E223" s="181">
        <v>140.30795267551565</v>
      </c>
      <c r="F223" s="63">
        <v>31</v>
      </c>
      <c r="G223" s="63">
        <f>[2]Population!L3</f>
        <v>122232.44999999987</v>
      </c>
      <c r="H223" s="53">
        <v>304</v>
      </c>
      <c r="I223" s="63">
        <v>0</v>
      </c>
      <c r="J223" s="111">
        <v>94.958196517756136</v>
      </c>
      <c r="K223" s="128">
        <f t="shared" si="6"/>
        <v>135817422.99303272</v>
      </c>
      <c r="L223" s="69"/>
      <c r="M223" s="213"/>
    </row>
    <row r="224" spans="1:28" x14ac:dyDescent="0.2">
      <c r="A224" s="59">
        <v>39539</v>
      </c>
      <c r="B224" s="200">
        <f>'[2]wholesale kWh'!P154</f>
        <v>127497950.8</v>
      </c>
      <c r="C224" s="51">
        <f>'[1]Monthly Summary'!B224</f>
        <v>77.899999999999991</v>
      </c>
      <c r="D224" s="129">
        <v>0</v>
      </c>
      <c r="E224" s="181">
        <v>140.24935662441902</v>
      </c>
      <c r="F224" s="63">
        <v>30</v>
      </c>
      <c r="G224" s="63">
        <f>[2]Population!L4</f>
        <v>122579.56666666653</v>
      </c>
      <c r="H224" s="53">
        <v>352</v>
      </c>
      <c r="I224" s="63">
        <v>0</v>
      </c>
      <c r="J224" s="111">
        <v>96.407935763361934</v>
      </c>
      <c r="K224" s="128">
        <f t="shared" si="6"/>
        <v>130418833.51956818</v>
      </c>
      <c r="L224" s="69"/>
      <c r="M224" s="213"/>
    </row>
    <row r="225" spans="1:28" x14ac:dyDescent="0.2">
      <c r="A225" s="65">
        <v>39569</v>
      </c>
      <c r="B225" s="200">
        <f>'[2]wholesale kWh'!P155</f>
        <v>124504897.90000001</v>
      </c>
      <c r="C225" s="51">
        <f>'[1]Monthly Summary'!B225</f>
        <v>13.899999999999997</v>
      </c>
      <c r="D225" s="129">
        <v>2.5</v>
      </c>
      <c r="E225" s="181">
        <v>140.19078504447415</v>
      </c>
      <c r="F225" s="61">
        <v>31</v>
      </c>
      <c r="G225" s="61">
        <f>[2]Population!L5</f>
        <v>122926.6833333332</v>
      </c>
      <c r="H225" s="60">
        <v>336</v>
      </c>
      <c r="I225" s="61">
        <v>0</v>
      </c>
      <c r="J225" s="111">
        <v>96.601639027620649</v>
      </c>
      <c r="K225" s="128">
        <f t="shared" si="6"/>
        <v>129326877.09346092</v>
      </c>
      <c r="L225" s="69"/>
      <c r="M225" s="213"/>
    </row>
    <row r="226" spans="1:28" x14ac:dyDescent="0.2">
      <c r="A226" s="59">
        <v>39600</v>
      </c>
      <c r="B226" s="200">
        <f>'[2]wholesale kWh'!P156</f>
        <v>131553396.60000001</v>
      </c>
      <c r="C226" s="51">
        <f>'[1]Monthly Summary'!B226</f>
        <v>0</v>
      </c>
      <c r="D226" s="129">
        <v>71.5</v>
      </c>
      <c r="E226" s="181">
        <v>140.13223792546131</v>
      </c>
      <c r="F226" s="63">
        <v>30</v>
      </c>
      <c r="G226" s="63">
        <f>[2]Population!L6</f>
        <v>123273.79999999987</v>
      </c>
      <c r="H226" s="53">
        <v>336</v>
      </c>
      <c r="I226" s="63">
        <v>0</v>
      </c>
      <c r="J226" s="111">
        <v>96.043707403217354</v>
      </c>
      <c r="K226" s="128">
        <f t="shared" si="6"/>
        <v>132249867.21966182</v>
      </c>
      <c r="L226" s="69"/>
      <c r="M226" s="213"/>
    </row>
    <row r="227" spans="1:28" x14ac:dyDescent="0.2">
      <c r="A227" s="65">
        <v>39630</v>
      </c>
      <c r="B227" s="201">
        <f>'[2]wholesale kWh'!P157</f>
        <v>137523955.29999998</v>
      </c>
      <c r="C227" s="51">
        <f>'[1]Monthly Summary'!B227</f>
        <v>0</v>
      </c>
      <c r="D227" s="129">
        <v>111</v>
      </c>
      <c r="E227" s="181">
        <v>140.07371525716499</v>
      </c>
      <c r="F227" s="61">
        <v>31</v>
      </c>
      <c r="G227" s="61">
        <f>[2]Population!L7</f>
        <v>123620.91666666654</v>
      </c>
      <c r="H227" s="60">
        <v>352</v>
      </c>
      <c r="I227" s="61">
        <v>0</v>
      </c>
      <c r="J227" s="111">
        <v>96.933859440964653</v>
      </c>
      <c r="K227" s="128">
        <f t="shared" si="6"/>
        <v>139400265.0310092</v>
      </c>
      <c r="L227" s="69"/>
      <c r="M227" s="213"/>
      <c r="AA227" s="69"/>
      <c r="AB227" s="69"/>
    </row>
    <row r="228" spans="1:28" x14ac:dyDescent="0.2">
      <c r="A228" s="65">
        <v>39661</v>
      </c>
      <c r="B228" s="201">
        <f>'[2]wholesale kWh'!P158</f>
        <v>131880826.60000001</v>
      </c>
      <c r="C228" s="51">
        <f>'[1]Monthly Summary'!B228</f>
        <v>0</v>
      </c>
      <c r="D228" s="129">
        <v>64</v>
      </c>
      <c r="E228" s="181">
        <v>140.01521702937399</v>
      </c>
      <c r="F228" s="61">
        <v>31</v>
      </c>
      <c r="G228" s="61">
        <f>[2]Population!L8</f>
        <v>123968.03333333321</v>
      </c>
      <c r="H228" s="60">
        <v>320</v>
      </c>
      <c r="I228" s="61">
        <v>0</v>
      </c>
      <c r="J228" s="111">
        <v>94.372119974614392</v>
      </c>
      <c r="K228" s="128">
        <f t="shared" si="6"/>
        <v>131490138.44604474</v>
      </c>
      <c r="L228" s="69"/>
      <c r="M228" s="213"/>
    </row>
    <row r="229" spans="1:28" x14ac:dyDescent="0.2">
      <c r="A229" s="59">
        <v>39692</v>
      </c>
      <c r="B229" s="201">
        <f>'[2]wholesale kWh'!P159</f>
        <v>129230670.40000001</v>
      </c>
      <c r="C229" s="51">
        <f>'[1]Monthly Summary'!B229</f>
        <v>0</v>
      </c>
      <c r="D229" s="129">
        <v>26.7</v>
      </c>
      <c r="E229" s="181">
        <v>139.95674323188132</v>
      </c>
      <c r="F229" s="61">
        <v>30</v>
      </c>
      <c r="G229" s="61">
        <f>[2]Population!L9</f>
        <v>124315.14999999988</v>
      </c>
      <c r="H229" s="60">
        <v>336</v>
      </c>
      <c r="I229" s="61">
        <v>0</v>
      </c>
      <c r="J229" s="111">
        <v>94.779393504594239</v>
      </c>
      <c r="K229" s="128">
        <f t="shared" si="6"/>
        <v>128232955.74344838</v>
      </c>
      <c r="L229" s="69"/>
      <c r="M229" s="213"/>
    </row>
    <row r="230" spans="1:28" x14ac:dyDescent="0.2">
      <c r="A230" s="65">
        <v>39722</v>
      </c>
      <c r="B230" s="201">
        <f>'[2]wholesale kWh'!P160</f>
        <v>130054392</v>
      </c>
      <c r="C230" s="51">
        <f>'[1]Monthly Summary'!B230</f>
        <v>61.9</v>
      </c>
      <c r="D230" s="129">
        <v>0</v>
      </c>
      <c r="E230" s="181">
        <v>139.89829385448431</v>
      </c>
      <c r="F230" s="61">
        <v>31</v>
      </c>
      <c r="G230" s="61">
        <f>[2]Population!L10</f>
        <v>124662.26666666655</v>
      </c>
      <c r="H230" s="60">
        <v>352</v>
      </c>
      <c r="I230" s="61">
        <v>0</v>
      </c>
      <c r="J230" s="111">
        <v>93.6353853370492</v>
      </c>
      <c r="K230" s="128">
        <f t="shared" si="6"/>
        <v>130996873.97545834</v>
      </c>
      <c r="L230" s="69"/>
      <c r="M230" s="213"/>
    </row>
    <row r="231" spans="1:28" x14ac:dyDescent="0.2">
      <c r="A231" s="65">
        <v>39753</v>
      </c>
      <c r="B231" s="201">
        <f>'[2]wholesale kWh'!P161</f>
        <v>129509181.7</v>
      </c>
      <c r="C231" s="51">
        <f>'[1]Monthly Summary'!B231</f>
        <v>219.39999999999998</v>
      </c>
      <c r="D231" s="129">
        <v>0</v>
      </c>
      <c r="E231" s="181">
        <v>139.83986888698453</v>
      </c>
      <c r="F231" s="61">
        <v>30</v>
      </c>
      <c r="G231" s="61">
        <f>[2]Population!L11</f>
        <v>125009.38333333321</v>
      </c>
      <c r="H231" s="60">
        <v>304</v>
      </c>
      <c r="I231" s="61">
        <v>0</v>
      </c>
      <c r="J231" s="111">
        <v>91.389310449490907</v>
      </c>
      <c r="K231" s="128">
        <f t="shared" si="6"/>
        <v>128286369.0600062</v>
      </c>
      <c r="L231" s="69"/>
      <c r="M231" s="213"/>
    </row>
    <row r="232" spans="1:28" x14ac:dyDescent="0.2">
      <c r="A232" s="65">
        <v>39783</v>
      </c>
      <c r="B232" s="202">
        <f>'[2]wholesale kWh'!P162</f>
        <v>131612522.10000001</v>
      </c>
      <c r="C232" s="70">
        <f>'[1]Monthly Summary'!B232</f>
        <v>406.6</v>
      </c>
      <c r="D232" s="240">
        <v>0</v>
      </c>
      <c r="E232" s="100">
        <v>139.78146831918784</v>
      </c>
      <c r="F232" s="61">
        <v>31</v>
      </c>
      <c r="G232" s="61">
        <f>[2]Population!L12</f>
        <v>125356.49999999988</v>
      </c>
      <c r="H232" s="60">
        <v>336</v>
      </c>
      <c r="I232" s="61">
        <v>0</v>
      </c>
      <c r="J232" s="111">
        <v>89.211114483595935</v>
      </c>
      <c r="K232" s="128">
        <f t="shared" si="6"/>
        <v>138022777.39952672</v>
      </c>
      <c r="L232" s="69"/>
      <c r="M232" s="213"/>
    </row>
    <row r="233" spans="1:28" x14ac:dyDescent="0.2">
      <c r="A233" s="59">
        <v>39814</v>
      </c>
      <c r="B233" s="200">
        <f>'[2]wholesale kWh'!P163</f>
        <v>138327763</v>
      </c>
      <c r="C233" s="51">
        <f>'[1]Monthly Summary'!B233</f>
        <v>582.20000000000005</v>
      </c>
      <c r="D233" s="241">
        <v>0</v>
      </c>
      <c r="E233" s="181">
        <v>139.37911160687111</v>
      </c>
      <c r="F233" s="63">
        <v>31</v>
      </c>
      <c r="G233" s="63">
        <f>[2]Population!L13</f>
        <v>125703.61666666655</v>
      </c>
      <c r="H233" s="53">
        <v>336</v>
      </c>
      <c r="I233" s="63">
        <v>0</v>
      </c>
      <c r="J233" s="111">
        <v>85.665958444855278</v>
      </c>
      <c r="K233" s="128">
        <f t="shared" si="6"/>
        <v>141646780.33441338</v>
      </c>
    </row>
    <row r="234" spans="1:28" x14ac:dyDescent="0.2">
      <c r="A234" s="59">
        <v>39845</v>
      </c>
      <c r="B234" s="200">
        <f>'[2]wholesale kWh'!P164</f>
        <v>122210836.89999999</v>
      </c>
      <c r="C234" s="51">
        <f>'[1]Monthly Summary'!B234</f>
        <v>382.40000000000003</v>
      </c>
      <c r="D234" s="241">
        <v>0</v>
      </c>
      <c r="E234" s="181">
        <v>138.97791306613385</v>
      </c>
      <c r="F234" s="63">
        <v>28</v>
      </c>
      <c r="G234" s="63">
        <f>[2]Population!L14</f>
        <v>126050.73333333322</v>
      </c>
      <c r="H234" s="53">
        <v>304</v>
      </c>
      <c r="I234" s="63">
        <v>0</v>
      </c>
      <c r="J234" s="111">
        <v>85.008139951988085</v>
      </c>
      <c r="K234" s="128">
        <f t="shared" si="6"/>
        <v>126201808.94034764</v>
      </c>
    </row>
    <row r="235" spans="1:28" x14ac:dyDescent="0.2">
      <c r="A235" s="59">
        <v>39873</v>
      </c>
      <c r="B235" s="200">
        <f>'[2]wholesale kWh'!P165</f>
        <v>129587427.30000001</v>
      </c>
      <c r="C235" s="51">
        <f>'[1]Monthly Summary'!B235</f>
        <v>285.89999999999998</v>
      </c>
      <c r="D235" s="241">
        <v>0</v>
      </c>
      <c r="E235" s="181">
        <v>138.57786936321438</v>
      </c>
      <c r="F235" s="63">
        <v>31</v>
      </c>
      <c r="G235" s="63">
        <f>[2]Population!L15</f>
        <v>126397.84999999989</v>
      </c>
      <c r="H235" s="53">
        <v>352</v>
      </c>
      <c r="I235" s="63">
        <v>0</v>
      </c>
      <c r="J235" s="111">
        <v>83.498799701994969</v>
      </c>
      <c r="K235" s="128">
        <f t="shared" si="6"/>
        <v>133027315.12975398</v>
      </c>
    </row>
    <row r="236" spans="1:28" x14ac:dyDescent="0.2">
      <c r="A236" s="65">
        <v>39904</v>
      </c>
      <c r="B236" s="200">
        <f>'[2]wholesale kWh'!P166</f>
        <v>117245108</v>
      </c>
      <c r="C236" s="51">
        <f>'[1]Monthly Summary'!B236</f>
        <v>95.90000000000002</v>
      </c>
      <c r="D236" s="241">
        <v>1.2</v>
      </c>
      <c r="E236" s="182">
        <v>138.17897717394706</v>
      </c>
      <c r="F236" s="61">
        <v>30</v>
      </c>
      <c r="G236" s="61">
        <f>[2]Population!L16</f>
        <v>126744.96666666656</v>
      </c>
      <c r="H236" s="60">
        <v>320</v>
      </c>
      <c r="I236" s="61">
        <v>0</v>
      </c>
      <c r="J236" s="111">
        <v>82.747164813332958</v>
      </c>
      <c r="K236" s="128">
        <f t="shared" si="6"/>
        <v>121941179.79533148</v>
      </c>
      <c r="L236" s="98"/>
    </row>
    <row r="237" spans="1:28" x14ac:dyDescent="0.2">
      <c r="A237" s="65">
        <v>39934</v>
      </c>
      <c r="B237" s="200">
        <f>'[2]wholesale kWh'!P167</f>
        <v>111133472.19999999</v>
      </c>
      <c r="C237" s="51">
        <f>'[1]Monthly Summary'!B237</f>
        <v>12.600000000000001</v>
      </c>
      <c r="D237" s="243">
        <v>6.9</v>
      </c>
      <c r="E237" s="182">
        <v>137.78123318373483</v>
      </c>
      <c r="F237" s="61">
        <v>31</v>
      </c>
      <c r="G237" s="61">
        <f>[2]Population!L17</f>
        <v>127092.08333333323</v>
      </c>
      <c r="H237" s="60">
        <v>320</v>
      </c>
      <c r="I237" s="61">
        <v>0</v>
      </c>
      <c r="J237" s="111">
        <v>81.54410750255235</v>
      </c>
      <c r="K237" s="128">
        <f t="shared" si="6"/>
        <v>121256370.32035342</v>
      </c>
      <c r="L237" s="97"/>
    </row>
    <row r="238" spans="1:28" x14ac:dyDescent="0.2">
      <c r="A238" s="59">
        <v>39965</v>
      </c>
      <c r="B238" s="200">
        <f>'[2]wholesale kWh'!P168</f>
        <v>116699840.8</v>
      </c>
      <c r="C238" s="51">
        <f>'[1]Monthly Summary'!B238</f>
        <v>0</v>
      </c>
      <c r="D238" s="244">
        <v>34.200000000000003</v>
      </c>
      <c r="E238" s="181">
        <v>137.38463408752156</v>
      </c>
      <c r="F238" s="63">
        <v>30</v>
      </c>
      <c r="G238" s="63">
        <f>[2]Population!L18</f>
        <v>127439.1999999999</v>
      </c>
      <c r="H238" s="53">
        <v>352</v>
      </c>
      <c r="I238" s="63">
        <v>0</v>
      </c>
      <c r="J238" s="111">
        <v>81.613090146519141</v>
      </c>
      <c r="K238" s="128">
        <f t="shared" si="6"/>
        <v>124037538.35903546</v>
      </c>
    </row>
    <row r="239" spans="1:28" x14ac:dyDescent="0.2">
      <c r="A239" s="59">
        <v>39995</v>
      </c>
      <c r="B239" s="200">
        <f>'[2]wholesale kWh'!P169</f>
        <v>118779479.20000002</v>
      </c>
      <c r="C239" s="51">
        <f>'[1]Monthly Summary'!B239</f>
        <v>0</v>
      </c>
      <c r="D239" s="244">
        <v>43.7</v>
      </c>
      <c r="E239" s="181">
        <v>136.98917658976464</v>
      </c>
      <c r="F239" s="63">
        <v>31</v>
      </c>
      <c r="G239" s="63">
        <f>[2]Population!L19</f>
        <v>127786.31666666656</v>
      </c>
      <c r="H239" s="53">
        <v>352</v>
      </c>
      <c r="I239" s="63">
        <v>0</v>
      </c>
      <c r="J239" s="111">
        <v>82.492756822383484</v>
      </c>
      <c r="K239" s="128">
        <f t="shared" si="6"/>
        <v>127149312.43155476</v>
      </c>
    </row>
    <row r="240" spans="1:28" ht="12.75" x14ac:dyDescent="0.25">
      <c r="A240" s="59">
        <v>40026</v>
      </c>
      <c r="B240" s="203">
        <f>'[2]wholesale kWh'!P170</f>
        <v>130895152.69999997</v>
      </c>
      <c r="C240" s="51">
        <f>'[1]Monthly Summary'!B240</f>
        <v>0</v>
      </c>
      <c r="D240" s="244">
        <v>91</v>
      </c>
      <c r="E240" s="181">
        <v>136.59485740440758</v>
      </c>
      <c r="F240" s="63">
        <v>31</v>
      </c>
      <c r="G240" s="63">
        <f>[2]Population!L20</f>
        <v>128133.43333333323</v>
      </c>
      <c r="H240" s="53">
        <v>320</v>
      </c>
      <c r="I240" s="63">
        <v>0</v>
      </c>
      <c r="J240" s="111">
        <v>82.047956734085702</v>
      </c>
      <c r="K240" s="128">
        <f t="shared" si="6"/>
        <v>127682914.93314746</v>
      </c>
    </row>
    <row r="241" spans="1:14" x14ac:dyDescent="0.2">
      <c r="A241" s="59">
        <v>40057</v>
      </c>
      <c r="B241" s="71">
        <f>'[2]wholesale kWh'!P171</f>
        <v>125105608.5</v>
      </c>
      <c r="C241" s="51">
        <f>'[1]Monthly Summary'!B241</f>
        <v>1.3000000000000007</v>
      </c>
      <c r="D241" s="244">
        <v>20.9</v>
      </c>
      <c r="E241" s="181">
        <v>136.20167325485272</v>
      </c>
      <c r="F241" s="63">
        <v>30</v>
      </c>
      <c r="G241" s="63">
        <f>[2]Population!L21</f>
        <v>128480.5499999999</v>
      </c>
      <c r="H241" s="53">
        <v>336</v>
      </c>
      <c r="I241" s="63">
        <v>0</v>
      </c>
      <c r="J241" s="111">
        <v>83.110289451174083</v>
      </c>
      <c r="K241" s="128">
        <f t="shared" si="6"/>
        <v>122011165.55918735</v>
      </c>
    </row>
    <row r="242" spans="1:14" x14ac:dyDescent="0.2">
      <c r="A242" s="59">
        <v>40087</v>
      </c>
      <c r="B242" s="71">
        <f>'[2]wholesale kWh'!P172</f>
        <v>130037167.19999999</v>
      </c>
      <c r="C242" s="51">
        <f>'[1]Monthly Summary'!B242</f>
        <v>60.899999999999991</v>
      </c>
      <c r="D242" s="244">
        <v>0</v>
      </c>
      <c r="E242" s="181">
        <v>135.80962087393394</v>
      </c>
      <c r="F242" s="63">
        <v>31</v>
      </c>
      <c r="G242" s="63">
        <f>[2]Population!L22</f>
        <v>128827.66666666657</v>
      </c>
      <c r="H242" s="53">
        <v>336</v>
      </c>
      <c r="I242" s="63">
        <v>0</v>
      </c>
      <c r="J242" s="111">
        <v>83.247702877955902</v>
      </c>
      <c r="K242" s="128">
        <f t="shared" si="6"/>
        <v>124144359.23027289</v>
      </c>
    </row>
    <row r="243" spans="1:14" x14ac:dyDescent="0.2">
      <c r="A243" s="59">
        <v>40118</v>
      </c>
      <c r="B243" s="71">
        <f>'[2]wholesale kWh'!P173</f>
        <v>128105078.99000001</v>
      </c>
      <c r="C243" s="51">
        <f>'[1]Monthly Summary'!B243</f>
        <v>124.40000000000002</v>
      </c>
      <c r="D243" s="244">
        <v>0</v>
      </c>
      <c r="E243" s="181">
        <v>135.41869700388958</v>
      </c>
      <c r="F243" s="63">
        <v>30</v>
      </c>
      <c r="G243" s="63">
        <f>[2]Population!L23</f>
        <v>129174.78333333324</v>
      </c>
      <c r="H243" s="53">
        <v>320</v>
      </c>
      <c r="I243" s="63">
        <v>0</v>
      </c>
      <c r="J243" s="111">
        <v>84.100880218537014</v>
      </c>
      <c r="K243" s="128">
        <f t="shared" si="6"/>
        <v>122899184.29478864</v>
      </c>
    </row>
    <row r="244" spans="1:14" x14ac:dyDescent="0.2">
      <c r="A244" s="65">
        <v>40148</v>
      </c>
      <c r="B244" s="162">
        <f>'[2]wholesale kWh'!P174</f>
        <v>136061860.29999998</v>
      </c>
      <c r="C244" s="51">
        <f>'[1]Monthly Summary'!B244</f>
        <v>383.30000000000007</v>
      </c>
      <c r="D244" s="244">
        <v>0</v>
      </c>
      <c r="E244" s="100">
        <v>135.02889839633545</v>
      </c>
      <c r="F244" s="61">
        <v>31</v>
      </c>
      <c r="G244" s="61">
        <f>[2]Population!L24</f>
        <v>129521.89999999991</v>
      </c>
      <c r="H244" s="60">
        <v>352</v>
      </c>
      <c r="I244" s="61">
        <v>0</v>
      </c>
      <c r="J244" s="111">
        <v>85.128445683066147</v>
      </c>
      <c r="K244" s="128">
        <f t="shared" si="6"/>
        <v>136175304.96163908</v>
      </c>
      <c r="L244" s="132"/>
      <c r="M244" s="133"/>
      <c r="N244" s="133"/>
    </row>
    <row r="245" spans="1:14" x14ac:dyDescent="0.2">
      <c r="A245" s="59">
        <v>40179</v>
      </c>
      <c r="B245" s="105">
        <f>'[2]wholesale kWh'!P175</f>
        <v>142782177.40000001</v>
      </c>
      <c r="C245" s="51">
        <f>'[1]Monthly Summary'!B245</f>
        <v>472.00000000000006</v>
      </c>
      <c r="D245" s="245">
        <v>0</v>
      </c>
      <c r="E245" s="181">
        <v>135.32901731143812</v>
      </c>
      <c r="F245" s="63">
        <v>31</v>
      </c>
      <c r="G245" s="63">
        <f>[2]Population!L25</f>
        <v>129869.01666666658</v>
      </c>
      <c r="H245" s="53">
        <v>320</v>
      </c>
      <c r="I245" s="63">
        <v>0</v>
      </c>
      <c r="J245" s="111">
        <v>86.452360586076537</v>
      </c>
      <c r="K245" s="128">
        <f t="shared" si="6"/>
        <v>136659941.85006833</v>
      </c>
      <c r="L245" s="134"/>
      <c r="M245" s="135"/>
      <c r="N245" s="133"/>
    </row>
    <row r="246" spans="1:14" x14ac:dyDescent="0.2">
      <c r="A246" s="59">
        <v>40210</v>
      </c>
      <c r="B246" s="105">
        <f>'[2]wholesale kWh'!P176</f>
        <v>131951026.90000001</v>
      </c>
      <c r="C246" s="51">
        <f>'[1]Monthly Summary'!B246</f>
        <v>374.3</v>
      </c>
      <c r="D246" s="245">
        <v>0</v>
      </c>
      <c r="E246" s="181">
        <v>135.62980327903304</v>
      </c>
      <c r="F246" s="63">
        <v>28</v>
      </c>
      <c r="G246" s="63">
        <f>[2]Population!L26</f>
        <v>130216.13333333324</v>
      </c>
      <c r="H246" s="53">
        <v>304</v>
      </c>
      <c r="I246" s="63">
        <v>0</v>
      </c>
      <c r="J246" s="111">
        <v>87.548356833420712</v>
      </c>
      <c r="K246" s="128">
        <f t="shared" si="6"/>
        <v>126873975.72923928</v>
      </c>
      <c r="L246" s="134"/>
      <c r="M246" s="135"/>
      <c r="N246" s="133"/>
    </row>
    <row r="247" spans="1:14" x14ac:dyDescent="0.2">
      <c r="A247" s="65">
        <v>40238</v>
      </c>
      <c r="B247" s="64">
        <f>'[2]wholesale kWh'!P177</f>
        <v>138355825.00000003</v>
      </c>
      <c r="C247" s="70">
        <f>'[1]Monthly Summary'!B247</f>
        <v>177.5</v>
      </c>
      <c r="D247" s="245">
        <v>0</v>
      </c>
      <c r="E247" s="182">
        <v>135.9312577817293</v>
      </c>
      <c r="F247" s="61">
        <v>31</v>
      </c>
      <c r="G247" s="61">
        <f>[2]Population!L27</f>
        <v>130563.24999999991</v>
      </c>
      <c r="H247" s="60">
        <v>368</v>
      </c>
      <c r="I247" s="61">
        <v>0</v>
      </c>
      <c r="J247" s="255">
        <v>89.097982947490408</v>
      </c>
      <c r="K247" s="128">
        <f t="shared" si="6"/>
        <v>133820600.24822143</v>
      </c>
      <c r="L247" s="134"/>
      <c r="M247" s="135"/>
      <c r="N247" s="133"/>
    </row>
    <row r="248" spans="1:14" x14ac:dyDescent="0.2">
      <c r="A248" s="59">
        <v>40269</v>
      </c>
      <c r="B248" s="204">
        <f>'[3]GHESI-WEDCO'!$H$333</f>
        <v>124831860.30000001</v>
      </c>
      <c r="C248" s="70">
        <f>'[1]Monthly Summary'!B248</f>
        <v>30.3</v>
      </c>
      <c r="D248" s="245">
        <v>0</v>
      </c>
      <c r="E248" s="182">
        <v>136.23338230543126</v>
      </c>
      <c r="F248" s="61">
        <v>30</v>
      </c>
      <c r="G248" s="61">
        <f>[2]Population!L28</f>
        <v>130910.36666666658</v>
      </c>
      <c r="H248" s="60">
        <v>320</v>
      </c>
      <c r="I248" s="61">
        <v>0</v>
      </c>
      <c r="J248" s="191">
        <f t="shared" ref="J248:J268" si="7">(J128+J140+J152+J164+J176+J188+J200+J212+J224+J236)/10</f>
        <v>99.298694848376144</v>
      </c>
      <c r="K248" s="128">
        <f t="shared" si="6"/>
        <v>127746667.74849927</v>
      </c>
      <c r="L248" s="134"/>
      <c r="M248" s="135"/>
      <c r="N248" s="135"/>
    </row>
    <row r="249" spans="1:14" x14ac:dyDescent="0.2">
      <c r="A249" s="59">
        <v>40299</v>
      </c>
      <c r="B249" s="204">
        <f>'[3]GHESI-WEDCO'!$H$334</f>
        <v>132837470.40000001</v>
      </c>
      <c r="C249" s="70">
        <f>'[1]Monthly Summary'!B249</f>
        <v>18</v>
      </c>
      <c r="D249" s="246">
        <v>45.7</v>
      </c>
      <c r="E249" s="182">
        <v>136.53617833934589</v>
      </c>
      <c r="F249" s="61">
        <v>31</v>
      </c>
      <c r="G249" s="61">
        <f>[2]Population!L29</f>
        <v>131257.48333333325</v>
      </c>
      <c r="H249" s="60">
        <v>320</v>
      </c>
      <c r="I249" s="61">
        <v>0</v>
      </c>
      <c r="J249" s="237">
        <f t="shared" si="7"/>
        <v>99.374962059545808</v>
      </c>
      <c r="K249" s="128">
        <f t="shared" ref="K249:K268" si="8">$P$129+C249*$P$130+D249*$P$131+E249*$P$132+F249*$P$133+G249*$P$134+H249*$P$135+I249*$P$136+J249*$P$137</f>
        <v>133273151.67282176</v>
      </c>
      <c r="L249" s="134"/>
      <c r="M249" s="135"/>
      <c r="N249" s="133"/>
    </row>
    <row r="250" spans="1:14" x14ac:dyDescent="0.2">
      <c r="A250" s="59">
        <v>40330</v>
      </c>
      <c r="B250" s="64">
        <f>'[2]wholesale kWh'!$P$180</f>
        <v>136237778.40000001</v>
      </c>
      <c r="C250" s="70">
        <f>'[1]Monthly Summary'!B250</f>
        <v>0</v>
      </c>
      <c r="D250" s="247">
        <v>58.7</v>
      </c>
      <c r="E250" s="182">
        <v>136.83964737599013</v>
      </c>
      <c r="F250" s="61">
        <v>30</v>
      </c>
      <c r="G250" s="61">
        <f>[2]Population!L30</f>
        <v>131604.59999999992</v>
      </c>
      <c r="H250" s="60">
        <v>352</v>
      </c>
      <c r="I250" s="61">
        <v>0</v>
      </c>
      <c r="J250" s="237">
        <f t="shared" si="7"/>
        <v>99.150133826329309</v>
      </c>
      <c r="K250" s="128">
        <f t="shared" si="8"/>
        <v>134852978.05345553</v>
      </c>
      <c r="L250" s="134"/>
      <c r="M250" s="135"/>
      <c r="N250" s="133"/>
    </row>
    <row r="251" spans="1:14" x14ac:dyDescent="0.2">
      <c r="A251" s="59">
        <v>40360</v>
      </c>
      <c r="B251" s="64">
        <f>'[2]wholesale kWh'!P181</f>
        <v>145215159.89999998</v>
      </c>
      <c r="C251" s="51">
        <f>'[1]Monthly Summary'!B251</f>
        <v>0</v>
      </c>
      <c r="D251" s="247">
        <v>164.9</v>
      </c>
      <c r="E251" s="181">
        <v>137.14379091119821</v>
      </c>
      <c r="F251" s="63">
        <v>31</v>
      </c>
      <c r="G251" s="63">
        <f>[2]Population!L31</f>
        <v>131951.71666666659</v>
      </c>
      <c r="H251" s="53">
        <v>336</v>
      </c>
      <c r="I251" s="63">
        <v>0</v>
      </c>
      <c r="J251" s="191">
        <f t="shared" si="7"/>
        <v>99.243012058166158</v>
      </c>
      <c r="K251" s="128">
        <f t="shared" si="8"/>
        <v>144125323.34411156</v>
      </c>
      <c r="L251" s="134"/>
      <c r="M251" s="135"/>
      <c r="N251" s="133"/>
    </row>
    <row r="252" spans="1:14" x14ac:dyDescent="0.2">
      <c r="A252" s="59">
        <v>40391</v>
      </c>
      <c r="B252" s="206">
        <f>'[2]wholesale kWh'!P182</f>
        <v>147893587.70000002</v>
      </c>
      <c r="C252" s="188">
        <f>'[1]Monthly Summary'!B252</f>
        <v>0</v>
      </c>
      <c r="D252" s="248">
        <v>138.80000000000001</v>
      </c>
      <c r="E252" s="207">
        <v>137.44861044412903</v>
      </c>
      <c r="F252" s="208">
        <v>31</v>
      </c>
      <c r="G252" s="208">
        <f>[2]Population!L32</f>
        <v>132298.83333333326</v>
      </c>
      <c r="H252" s="209">
        <v>336</v>
      </c>
      <c r="I252" s="208">
        <v>0</v>
      </c>
      <c r="J252" s="210">
        <f t="shared" si="7"/>
        <v>98.956761678761609</v>
      </c>
      <c r="K252" s="128">
        <f t="shared" si="8"/>
        <v>142079662.5006741</v>
      </c>
      <c r="L252" s="134"/>
      <c r="M252" s="135"/>
      <c r="N252" s="134"/>
    </row>
    <row r="253" spans="1:14" x14ac:dyDescent="0.2">
      <c r="A253" s="59">
        <v>40422</v>
      </c>
      <c r="B253" s="64">
        <f>'[2]wholesale kWh'!P183</f>
        <v>133388153.49999999</v>
      </c>
      <c r="C253" s="242">
        <f>'[1]Monthly Summary'!B253</f>
        <v>0</v>
      </c>
      <c r="D253" s="249">
        <v>31.5</v>
      </c>
      <c r="E253" s="182">
        <v>137.75410747727361</v>
      </c>
      <c r="F253" s="61">
        <v>30</v>
      </c>
      <c r="G253" s="61">
        <f>[2]Population!L33</f>
        <v>132645.94999999992</v>
      </c>
      <c r="H253" s="60">
        <v>336</v>
      </c>
      <c r="I253" s="61">
        <v>0</v>
      </c>
      <c r="J253" s="237">
        <f t="shared" si="7"/>
        <v>98.860682652244691</v>
      </c>
      <c r="K253" s="128">
        <f t="shared" si="8"/>
        <v>131587643.72718042</v>
      </c>
      <c r="L253" s="132"/>
      <c r="M253" s="135"/>
      <c r="N253" s="133"/>
    </row>
    <row r="254" spans="1:14" x14ac:dyDescent="0.2">
      <c r="A254" s="59">
        <v>40452</v>
      </c>
      <c r="C254" s="242">
        <f>'[1]Monthly Summary'!B254</f>
        <v>0</v>
      </c>
      <c r="D254" s="236">
        <f t="shared" ref="C254:D268" si="9">(D134+D146+D158+D170+D182+D194+D206+D218+D230+D242)/10</f>
        <v>4.32</v>
      </c>
      <c r="E254" s="181">
        <v>138.06028351646239</v>
      </c>
      <c r="F254" s="63">
        <v>31</v>
      </c>
      <c r="G254" s="63">
        <f>[2]Population!L34</f>
        <v>132993.06666666659</v>
      </c>
      <c r="H254" s="53">
        <v>320</v>
      </c>
      <c r="I254" s="63">
        <v>0</v>
      </c>
      <c r="J254" s="191">
        <f t="shared" si="7"/>
        <v>98.875086228304966</v>
      </c>
      <c r="K254" s="128">
        <f t="shared" si="8"/>
        <v>130096969.95796177</v>
      </c>
    </row>
    <row r="255" spans="1:14" x14ac:dyDescent="0.2">
      <c r="A255" s="59">
        <v>40483</v>
      </c>
      <c r="C255" s="242">
        <f>'[1]Monthly Summary'!B255</f>
        <v>0</v>
      </c>
      <c r="D255" s="130">
        <f t="shared" si="9"/>
        <v>0</v>
      </c>
      <c r="E255" s="181">
        <v>138.36714007087275</v>
      </c>
      <c r="F255" s="63">
        <v>30</v>
      </c>
      <c r="G255" s="63">
        <f>[2]Population!L35</f>
        <v>133340.18333333326</v>
      </c>
      <c r="H255" s="53">
        <v>336</v>
      </c>
      <c r="I255" s="63">
        <v>0</v>
      </c>
      <c r="J255" s="191">
        <f t="shared" si="7"/>
        <v>98.853784387848023</v>
      </c>
      <c r="K255" s="128">
        <f t="shared" si="8"/>
        <v>129423832.55413736</v>
      </c>
    </row>
    <row r="256" spans="1:14" x14ac:dyDescent="0.2">
      <c r="A256" s="59">
        <v>40513</v>
      </c>
      <c r="B256" s="66"/>
      <c r="C256" s="242">
        <f>'[1]Monthly Summary'!B256</f>
        <v>0</v>
      </c>
      <c r="D256" s="130">
        <f t="shared" si="9"/>
        <v>0</v>
      </c>
      <c r="E256" s="88">
        <v>138.67467865303649</v>
      </c>
      <c r="F256" s="63">
        <v>31</v>
      </c>
      <c r="G256" s="63">
        <f>[2]Population!L36</f>
        <v>133687.29999999993</v>
      </c>
      <c r="H256" s="53">
        <v>368</v>
      </c>
      <c r="I256" s="63">
        <v>0</v>
      </c>
      <c r="J256" s="191">
        <f t="shared" si="7"/>
        <v>98.310201153389826</v>
      </c>
      <c r="K256" s="128">
        <f t="shared" si="8"/>
        <v>134365863.72003606</v>
      </c>
    </row>
    <row r="257" spans="1:11" x14ac:dyDescent="0.2">
      <c r="A257" s="59">
        <v>40544</v>
      </c>
      <c r="C257" s="130">
        <f t="shared" si="9"/>
        <v>458.75999999999993</v>
      </c>
      <c r="D257" s="130">
        <f t="shared" si="9"/>
        <v>0</v>
      </c>
      <c r="E257" s="181">
        <v>139.03916243618784</v>
      </c>
      <c r="F257" s="63">
        <v>31</v>
      </c>
      <c r="G257" s="63">
        <f>[2]Population!L37</f>
        <v>134034.4166666666</v>
      </c>
      <c r="H257" s="53">
        <v>320</v>
      </c>
      <c r="I257" s="63">
        <v>0</v>
      </c>
      <c r="J257" s="191">
        <f t="shared" si="7"/>
        <v>98.315333462100938</v>
      </c>
      <c r="K257" s="128">
        <f t="shared" si="8"/>
        <v>143990355.3782717</v>
      </c>
    </row>
    <row r="258" spans="1:11" x14ac:dyDescent="0.2">
      <c r="A258" s="59">
        <v>40575</v>
      </c>
      <c r="C258" s="130">
        <f t="shared" si="9"/>
        <v>404.27</v>
      </c>
      <c r="D258" s="130">
        <f t="shared" si="9"/>
        <v>0</v>
      </c>
      <c r="E258" s="181">
        <v>139.40460420553731</v>
      </c>
      <c r="F258" s="63">
        <v>28</v>
      </c>
      <c r="G258" s="63">
        <f>[2]Population!L38</f>
        <v>134381.53333333327</v>
      </c>
      <c r="H258" s="53">
        <v>304</v>
      </c>
      <c r="I258" s="63">
        <v>0</v>
      </c>
      <c r="J258" s="191">
        <f t="shared" si="7"/>
        <v>98.304296239066247</v>
      </c>
      <c r="K258" s="128">
        <f t="shared" si="8"/>
        <v>135026642.14935872</v>
      </c>
    </row>
    <row r="259" spans="1:11" x14ac:dyDescent="0.2">
      <c r="A259" s="59">
        <v>40603</v>
      </c>
      <c r="C259" s="130">
        <f t="shared" si="9"/>
        <v>295.39999999999998</v>
      </c>
      <c r="D259" s="130">
        <f t="shared" si="9"/>
        <v>0</v>
      </c>
      <c r="E259" s="181">
        <v>139.77100647899545</v>
      </c>
      <c r="F259" s="63">
        <v>31</v>
      </c>
      <c r="G259" s="63">
        <f>[2]Population!L39</f>
        <v>134728.64999999994</v>
      </c>
      <c r="H259" s="53">
        <v>368</v>
      </c>
      <c r="I259" s="63">
        <v>0</v>
      </c>
      <c r="J259" s="191">
        <f t="shared" si="7"/>
        <v>98.102922104798424</v>
      </c>
      <c r="K259" s="128">
        <f t="shared" si="8"/>
        <v>143854799.4307332</v>
      </c>
    </row>
    <row r="260" spans="1:11" x14ac:dyDescent="0.2">
      <c r="A260" s="59">
        <v>40634</v>
      </c>
      <c r="C260" s="130">
        <f t="shared" si="9"/>
        <v>100.66</v>
      </c>
      <c r="D260" s="130">
        <f t="shared" si="9"/>
        <v>1.33</v>
      </c>
      <c r="E260" s="181">
        <v>140.13837178109071</v>
      </c>
      <c r="F260" s="63">
        <v>30</v>
      </c>
      <c r="G260" s="63">
        <f>[2]Population!L40</f>
        <v>135075.7666666666</v>
      </c>
      <c r="H260" s="53">
        <v>320</v>
      </c>
      <c r="I260" s="63">
        <v>0</v>
      </c>
      <c r="J260" s="191">
        <f t="shared" si="7"/>
        <v>98.993195551999108</v>
      </c>
      <c r="K260" s="128">
        <f t="shared" si="8"/>
        <v>132164822.56295139</v>
      </c>
    </row>
    <row r="261" spans="1:11" x14ac:dyDescent="0.2">
      <c r="A261" s="59">
        <v>40664</v>
      </c>
      <c r="C261" s="130">
        <f t="shared" si="9"/>
        <v>16.2</v>
      </c>
      <c r="D261" s="130">
        <f t="shared" si="9"/>
        <v>13.290000000000003</v>
      </c>
      <c r="E261" s="181">
        <v>140.50670264298682</v>
      </c>
      <c r="F261" s="63">
        <v>31</v>
      </c>
      <c r="G261" s="63">
        <f>[2]Population!L41</f>
        <v>135422.88333333327</v>
      </c>
      <c r="H261" s="53">
        <v>320</v>
      </c>
      <c r="I261" s="63">
        <v>0</v>
      </c>
      <c r="J261" s="191">
        <f t="shared" si="7"/>
        <v>98.899114262851455</v>
      </c>
      <c r="K261" s="128">
        <f t="shared" si="8"/>
        <v>132732776.18288103</v>
      </c>
    </row>
    <row r="262" spans="1:11" x14ac:dyDescent="0.2">
      <c r="A262" s="59">
        <v>40695</v>
      </c>
      <c r="C262" s="130">
        <f t="shared" si="9"/>
        <v>0</v>
      </c>
      <c r="D262" s="130">
        <f t="shared" si="9"/>
        <v>71.77000000000001</v>
      </c>
      <c r="E262" s="181">
        <v>140.87600160250034</v>
      </c>
      <c r="F262" s="63">
        <v>30</v>
      </c>
      <c r="G262" s="63">
        <f>[2]Population!L42</f>
        <v>135769.99999999994</v>
      </c>
      <c r="H262" s="53">
        <v>352</v>
      </c>
      <c r="I262" s="63">
        <v>0</v>
      </c>
      <c r="J262" s="191">
        <f t="shared" si="7"/>
        <v>98.597444882867478</v>
      </c>
      <c r="K262" s="128">
        <f t="shared" si="8"/>
        <v>138012915.70142454</v>
      </c>
    </row>
    <row r="263" spans="1:11" x14ac:dyDescent="0.2">
      <c r="A263" s="59">
        <v>40725</v>
      </c>
      <c r="C263" s="130">
        <f t="shared" si="9"/>
        <v>0</v>
      </c>
      <c r="D263" s="130">
        <f t="shared" si="9"/>
        <v>127.97</v>
      </c>
      <c r="E263" s="181">
        <v>141.24627120411799</v>
      </c>
      <c r="F263" s="63">
        <v>31</v>
      </c>
      <c r="G263" s="63">
        <f>[2]Population!L43</f>
        <v>135885.99999999994</v>
      </c>
      <c r="H263" s="53">
        <v>336</v>
      </c>
      <c r="I263" s="63">
        <v>0</v>
      </c>
      <c r="J263" s="191">
        <f t="shared" si="7"/>
        <v>98.669203388427476</v>
      </c>
      <c r="K263" s="128">
        <f t="shared" si="8"/>
        <v>143225868.75584161</v>
      </c>
    </row>
    <row r="264" spans="1:11" x14ac:dyDescent="0.2">
      <c r="A264" s="59">
        <v>40756</v>
      </c>
      <c r="C264" s="130">
        <f t="shared" si="9"/>
        <v>0</v>
      </c>
      <c r="D264" s="130">
        <f t="shared" si="9"/>
        <v>116.73999999999998</v>
      </c>
      <c r="E264" s="181">
        <v>141.61751399901428</v>
      </c>
      <c r="F264" s="63">
        <v>31</v>
      </c>
      <c r="G264" s="63">
        <f>[2]Population!L44</f>
        <v>136001.99999999994</v>
      </c>
      <c r="H264" s="53">
        <v>336</v>
      </c>
      <c r="I264" s="63">
        <v>0</v>
      </c>
      <c r="J264" s="191">
        <f t="shared" si="7"/>
        <v>98.246549488148773</v>
      </c>
      <c r="K264" s="128">
        <f t="shared" si="8"/>
        <v>142284985.1930925</v>
      </c>
    </row>
    <row r="265" spans="1:11" x14ac:dyDescent="0.2">
      <c r="A265" s="59">
        <v>40787</v>
      </c>
      <c r="C265" s="130">
        <f t="shared" si="9"/>
        <v>0.69000000000000017</v>
      </c>
      <c r="D265" s="130">
        <f t="shared" si="9"/>
        <v>38.01</v>
      </c>
      <c r="E265" s="181">
        <v>141.98973254506907</v>
      </c>
      <c r="F265" s="63">
        <v>30</v>
      </c>
      <c r="G265" s="63">
        <f>[2]Population!L45</f>
        <v>136117.99999999994</v>
      </c>
      <c r="H265" s="53">
        <v>336</v>
      </c>
      <c r="I265" s="63">
        <v>0</v>
      </c>
      <c r="J265" s="191">
        <f t="shared" si="7"/>
        <v>98.136833972572489</v>
      </c>
      <c r="K265" s="128">
        <f t="shared" si="8"/>
        <v>134077395.36163804</v>
      </c>
    </row>
    <row r="266" spans="1:11" x14ac:dyDescent="0.2">
      <c r="A266" s="59">
        <v>40817</v>
      </c>
      <c r="C266" s="130">
        <f t="shared" si="9"/>
        <v>49.58</v>
      </c>
      <c r="D266" s="130">
        <f t="shared" si="9"/>
        <v>4.6319999999999997</v>
      </c>
      <c r="E266" s="181">
        <v>142.3629294068852</v>
      </c>
      <c r="F266" s="63">
        <v>31</v>
      </c>
      <c r="G266" s="63">
        <f>[2]Population!L46</f>
        <v>136233.99999999994</v>
      </c>
      <c r="H266" s="53">
        <v>320</v>
      </c>
      <c r="I266" s="63">
        <v>0</v>
      </c>
      <c r="J266" s="237">
        <f t="shared" si="7"/>
        <v>98.124864104191403</v>
      </c>
      <c r="K266" s="128">
        <f t="shared" si="8"/>
        <v>133531490.78280833</v>
      </c>
    </row>
    <row r="267" spans="1:11" x14ac:dyDescent="0.2">
      <c r="A267" s="59">
        <v>40848</v>
      </c>
      <c r="C267" s="130">
        <f t="shared" si="9"/>
        <v>148.57</v>
      </c>
      <c r="D267" s="130">
        <f t="shared" si="9"/>
        <v>0</v>
      </c>
      <c r="E267" s="181">
        <v>142.73710715580614</v>
      </c>
      <c r="F267" s="63">
        <v>30</v>
      </c>
      <c r="G267" s="63">
        <f>[2]Population!L47</f>
        <v>136349.99999999994</v>
      </c>
      <c r="H267" s="53">
        <v>336</v>
      </c>
      <c r="I267" s="63">
        <v>0</v>
      </c>
      <c r="J267" s="237">
        <f t="shared" si="7"/>
        <v>98.108827019122003</v>
      </c>
      <c r="K267" s="128">
        <f t="shared" si="8"/>
        <v>135811336.98824713</v>
      </c>
    </row>
    <row r="268" spans="1:11" x14ac:dyDescent="0.2">
      <c r="A268" s="59">
        <v>40878</v>
      </c>
      <c r="C268" s="236">
        <f t="shared" si="9"/>
        <v>318.38</v>
      </c>
      <c r="D268" s="236">
        <f t="shared" si="9"/>
        <v>0</v>
      </c>
      <c r="E268" s="88">
        <v>143.11226836993367</v>
      </c>
      <c r="F268" s="63">
        <v>31</v>
      </c>
      <c r="G268" s="63">
        <f>[2]Population!L48</f>
        <v>136465.99999999994</v>
      </c>
      <c r="H268" s="53">
        <v>368</v>
      </c>
      <c r="I268" s="63">
        <v>0</v>
      </c>
      <c r="J268" s="237">
        <f t="shared" si="7"/>
        <v>97.601776992908597</v>
      </c>
      <c r="K268" s="128">
        <f t="shared" si="8"/>
        <v>145894756.66466534</v>
      </c>
    </row>
    <row r="269" spans="1:11" x14ac:dyDescent="0.2">
      <c r="A269" s="59"/>
      <c r="C269" s="235"/>
      <c r="D269" s="235"/>
      <c r="E269" s="183"/>
      <c r="F269" s="63"/>
      <c r="G269" s="63"/>
      <c r="I269" s="63"/>
      <c r="J269" s="234"/>
      <c r="K269" s="61"/>
    </row>
    <row r="270" spans="1:11" x14ac:dyDescent="0.2">
      <c r="A270" s="59"/>
      <c r="C270" s="235"/>
      <c r="D270" s="235"/>
      <c r="E270" s="183"/>
      <c r="F270" s="63"/>
      <c r="G270" s="63"/>
      <c r="I270" s="63"/>
      <c r="J270" s="234"/>
      <c r="K270" s="61"/>
    </row>
    <row r="271" spans="1:11" x14ac:dyDescent="0.2">
      <c r="A271" s="59"/>
      <c r="C271" s="235"/>
      <c r="D271" s="235"/>
      <c r="E271" s="183"/>
      <c r="F271" s="63"/>
      <c r="G271" s="63"/>
      <c r="I271" s="63"/>
      <c r="J271" s="234"/>
      <c r="K271" s="61"/>
    </row>
    <row r="272" spans="1:11" x14ac:dyDescent="0.2">
      <c r="A272" s="59"/>
      <c r="C272" s="235"/>
      <c r="D272" s="235"/>
      <c r="E272" s="183"/>
      <c r="F272" s="63"/>
      <c r="G272" s="63"/>
      <c r="I272" s="63"/>
      <c r="J272" s="234"/>
      <c r="K272" s="61"/>
    </row>
    <row r="273" spans="1:11" x14ac:dyDescent="0.2">
      <c r="A273" s="59"/>
      <c r="C273" s="235"/>
      <c r="D273" s="235"/>
      <c r="E273" s="183"/>
      <c r="F273" s="63"/>
      <c r="G273" s="63"/>
      <c r="I273" s="63"/>
      <c r="J273" s="234"/>
      <c r="K273" s="61"/>
    </row>
    <row r="274" spans="1:11" x14ac:dyDescent="0.2">
      <c r="A274" s="59"/>
      <c r="C274" s="235"/>
      <c r="D274" s="235"/>
      <c r="E274" s="183"/>
      <c r="F274" s="63"/>
      <c r="G274" s="63"/>
      <c r="I274" s="63"/>
      <c r="J274" s="234"/>
      <c r="K274" s="61"/>
    </row>
    <row r="275" spans="1:11" x14ac:dyDescent="0.2">
      <c r="A275" s="59"/>
      <c r="C275" s="235"/>
      <c r="D275" s="235"/>
      <c r="E275" s="183"/>
      <c r="F275" s="63"/>
      <c r="G275" s="63"/>
      <c r="I275" s="63"/>
      <c r="J275" s="234"/>
      <c r="K275" s="61"/>
    </row>
    <row r="276" spans="1:11" x14ac:dyDescent="0.2">
      <c r="A276" s="59"/>
      <c r="C276" s="235"/>
      <c r="D276" s="235"/>
      <c r="E276" s="183"/>
      <c r="F276" s="63"/>
      <c r="G276" s="63"/>
      <c r="I276" s="63"/>
      <c r="J276" s="234"/>
      <c r="K276" s="61"/>
    </row>
    <row r="277" spans="1:11" x14ac:dyDescent="0.2">
      <c r="A277" s="59"/>
      <c r="C277" s="235"/>
      <c r="D277" s="235"/>
      <c r="E277" s="183"/>
      <c r="F277" s="63"/>
      <c r="G277" s="63"/>
      <c r="I277" s="63"/>
      <c r="J277" s="234"/>
      <c r="K277" s="61"/>
    </row>
    <row r="278" spans="1:11" x14ac:dyDescent="0.2">
      <c r="A278" s="59"/>
      <c r="C278" s="235"/>
      <c r="D278" s="235"/>
      <c r="E278" s="183"/>
      <c r="F278" s="63"/>
      <c r="G278" s="63"/>
      <c r="I278" s="63"/>
      <c r="J278" s="234"/>
      <c r="K278" s="61"/>
    </row>
    <row r="279" spans="1:11" x14ac:dyDescent="0.2">
      <c r="A279" s="59"/>
      <c r="C279" s="235"/>
      <c r="D279" s="235"/>
      <c r="E279" s="183"/>
      <c r="F279" s="63"/>
      <c r="G279" s="63"/>
      <c r="I279" s="63"/>
      <c r="J279" s="234"/>
      <c r="K279" s="61"/>
    </row>
    <row r="280" spans="1:11" x14ac:dyDescent="0.2">
      <c r="A280" s="59"/>
      <c r="C280" s="235"/>
      <c r="D280" s="235"/>
      <c r="E280" s="183"/>
      <c r="F280" s="63"/>
      <c r="G280" s="63"/>
      <c r="I280" s="63"/>
      <c r="J280" s="234"/>
      <c r="K280" s="61"/>
    </row>
    <row r="281" spans="1:11" x14ac:dyDescent="0.2">
      <c r="E281" s="74"/>
      <c r="F281" s="75"/>
      <c r="G281" s="75"/>
    </row>
    <row r="282" spans="1:11" x14ac:dyDescent="0.2">
      <c r="E282" s="165"/>
      <c r="F282" s="76"/>
      <c r="G282" s="76"/>
      <c r="K282" s="256">
        <f>SUM(K101:K280)</f>
        <v>21668196896.444054</v>
      </c>
    </row>
    <row r="283" spans="1:11" x14ac:dyDescent="0.2">
      <c r="E283" s="74"/>
      <c r="F283" s="75"/>
      <c r="G283" s="75"/>
    </row>
    <row r="290" spans="1:13" x14ac:dyDescent="0.2">
      <c r="A290" s="59"/>
      <c r="D290" s="104" t="s">
        <v>12</v>
      </c>
    </row>
    <row r="291" spans="1:13" ht="12" thickBot="1" x14ac:dyDescent="0.25">
      <c r="A291" s="169"/>
      <c r="B291" s="204"/>
      <c r="D291" s="163"/>
      <c r="E291" s="74"/>
      <c r="F291" s="75"/>
      <c r="G291" s="75"/>
      <c r="H291" s="75"/>
      <c r="I291" s="173" t="s">
        <v>91</v>
      </c>
      <c r="J291" s="74"/>
      <c r="K291" s="75"/>
    </row>
    <row r="292" spans="1:13" ht="12" thickBot="1" x14ac:dyDescent="0.25">
      <c r="A292" s="170">
        <v>1997</v>
      </c>
      <c r="B292" s="205">
        <f>SUM(B89:B100)</f>
        <v>0</v>
      </c>
      <c r="D292" s="171"/>
      <c r="E292" s="172"/>
      <c r="F292" s="173"/>
      <c r="G292" s="173"/>
      <c r="H292" s="173"/>
      <c r="I292" s="53" t="s">
        <v>90</v>
      </c>
      <c r="J292" s="172"/>
      <c r="K292" s="175"/>
      <c r="L292" s="174"/>
      <c r="M292" s="217"/>
    </row>
    <row r="293" spans="1:13" x14ac:dyDescent="0.2">
      <c r="A293" s="51">
        <v>1998</v>
      </c>
      <c r="B293" s="64">
        <f>SUM(B101:B112)</f>
        <v>1368341834.2</v>
      </c>
      <c r="H293" s="55">
        <f>K293/1000000</f>
        <v>1337.5788840419241</v>
      </c>
      <c r="I293" s="55">
        <f>B293/1000000</f>
        <v>1368.3418342</v>
      </c>
      <c r="K293" s="52">
        <f>SUM(K101:K112)</f>
        <v>1337578884.041924</v>
      </c>
      <c r="L293" s="55">
        <f t="shared" ref="L293:L305" si="10">K293-B293</f>
        <v>-30762950.158076048</v>
      </c>
      <c r="M293" s="218">
        <f t="shared" ref="M293:M305" si="11">L293/B293</f>
        <v>-2.2481918910314966E-2</v>
      </c>
    </row>
    <row r="294" spans="1:13" x14ac:dyDescent="0.2">
      <c r="A294" s="73">
        <v>1999</v>
      </c>
      <c r="B294" s="64">
        <f>SUM(B113:B124)</f>
        <v>1419862044.4000001</v>
      </c>
      <c r="H294" s="55">
        <f t="shared" ref="H294:H307" si="12">K294/1000000</f>
        <v>1425.5002862491876</v>
      </c>
      <c r="I294" s="55">
        <f t="shared" ref="I294:I307" si="13">B294/1000000</f>
        <v>1419.8620444000001</v>
      </c>
      <c r="K294" s="52">
        <f>SUM(K113:K124)</f>
        <v>1425500286.2491877</v>
      </c>
      <c r="L294" s="55">
        <f t="shared" si="10"/>
        <v>5638241.8491876125</v>
      </c>
      <c r="M294" s="218">
        <f t="shared" si="11"/>
        <v>3.9709786393861942E-3</v>
      </c>
    </row>
    <row r="295" spans="1:13" x14ac:dyDescent="0.2">
      <c r="A295" s="51">
        <v>2000</v>
      </c>
      <c r="B295" s="64">
        <f>SUM(B125:B136)</f>
        <v>1491540734</v>
      </c>
      <c r="D295" s="163"/>
      <c r="H295" s="55">
        <f t="shared" si="12"/>
        <v>1507.9418777769606</v>
      </c>
      <c r="I295" s="55">
        <f t="shared" si="13"/>
        <v>1491.5407339999999</v>
      </c>
      <c r="K295" s="52">
        <f>SUM(K125:K136)</f>
        <v>1507941877.7769606</v>
      </c>
      <c r="L295" s="55">
        <f t="shared" si="10"/>
        <v>16401143.776960611</v>
      </c>
      <c r="M295" s="218">
        <f t="shared" si="11"/>
        <v>1.099610852261217E-2</v>
      </c>
    </row>
    <row r="296" spans="1:13" x14ac:dyDescent="0.2">
      <c r="A296" s="73">
        <v>2001</v>
      </c>
      <c r="B296" s="64">
        <f>SUM(B137:B148)</f>
        <v>1489293270</v>
      </c>
      <c r="D296" s="163"/>
      <c r="H296" s="55">
        <f t="shared" si="12"/>
        <v>1508.0750468492968</v>
      </c>
      <c r="I296" s="55">
        <f t="shared" si="13"/>
        <v>1489.2932699999999</v>
      </c>
      <c r="K296" s="52">
        <f>SUM(K137:K148)</f>
        <v>1508075046.8492968</v>
      </c>
      <c r="L296" s="55">
        <f t="shared" si="10"/>
        <v>18781776.849296808</v>
      </c>
      <c r="M296" s="218">
        <f t="shared" si="11"/>
        <v>1.2611201049271383E-2</v>
      </c>
    </row>
    <row r="297" spans="1:13" x14ac:dyDescent="0.2">
      <c r="A297" s="51">
        <v>2002</v>
      </c>
      <c r="B297" s="64">
        <f>SUM(B149:B160)</f>
        <v>1521498084.98</v>
      </c>
      <c r="D297" s="163"/>
      <c r="H297" s="55">
        <f t="shared" si="12"/>
        <v>1545.8643592675969</v>
      </c>
      <c r="I297" s="55">
        <f t="shared" si="13"/>
        <v>1521.4980849799999</v>
      </c>
      <c r="K297" s="52">
        <f>SUM(K149:K160)</f>
        <v>1545864359.267597</v>
      </c>
      <c r="L297" s="55">
        <f t="shared" si="10"/>
        <v>24366274.287596941</v>
      </c>
      <c r="M297" s="218">
        <f t="shared" si="11"/>
        <v>1.6014659846198383E-2</v>
      </c>
    </row>
    <row r="298" spans="1:13" x14ac:dyDescent="0.2">
      <c r="A298" s="73">
        <v>2003</v>
      </c>
      <c r="B298" s="64">
        <f>SUM(B161:B172)</f>
        <v>1508144801.98</v>
      </c>
      <c r="D298" s="164"/>
      <c r="H298" s="55">
        <f t="shared" si="12"/>
        <v>1536.4324498169462</v>
      </c>
      <c r="I298" s="55">
        <f t="shared" si="13"/>
        <v>1508.14480198</v>
      </c>
      <c r="K298" s="52">
        <f>SUM(K161:K172)</f>
        <v>1536432449.8169463</v>
      </c>
      <c r="L298" s="55">
        <f t="shared" si="10"/>
        <v>28287647.836946249</v>
      </c>
      <c r="M298" s="218">
        <f t="shared" si="11"/>
        <v>1.8756586104867523E-2</v>
      </c>
    </row>
    <row r="299" spans="1:13" x14ac:dyDescent="0.2">
      <c r="A299" s="51">
        <v>2004</v>
      </c>
      <c r="B299" s="64">
        <f>SUM(B173:B184)</f>
        <v>1578638924.0699999</v>
      </c>
      <c r="D299" s="164"/>
      <c r="H299" s="55">
        <f t="shared" si="12"/>
        <v>1566.4516393637198</v>
      </c>
      <c r="I299" s="55">
        <f t="shared" si="13"/>
        <v>1578.63892407</v>
      </c>
      <c r="K299" s="52">
        <f>SUM(K173:K184)</f>
        <v>1566451639.3637197</v>
      </c>
      <c r="L299" s="55">
        <f t="shared" si="10"/>
        <v>-12187284.706280231</v>
      </c>
      <c r="M299" s="218">
        <f t="shared" si="11"/>
        <v>-7.720121758343153E-3</v>
      </c>
    </row>
    <row r="300" spans="1:13" x14ac:dyDescent="0.2">
      <c r="A300" s="73">
        <v>2005</v>
      </c>
      <c r="B300" s="64">
        <f>SUM(B185:B196)</f>
        <v>1641442335.24</v>
      </c>
      <c r="D300" s="164"/>
      <c r="H300" s="55">
        <f t="shared" si="12"/>
        <v>1614.6852020407234</v>
      </c>
      <c r="I300" s="55">
        <f t="shared" si="13"/>
        <v>1641.4423352399999</v>
      </c>
      <c r="K300" s="52">
        <f>SUM(K185:K196)</f>
        <v>1614685202.0407233</v>
      </c>
      <c r="L300" s="55">
        <f t="shared" si="10"/>
        <v>-26757133.199276686</v>
      </c>
      <c r="M300" s="218">
        <f t="shared" si="11"/>
        <v>-1.6300988846717206E-2</v>
      </c>
    </row>
    <row r="301" spans="1:13" x14ac:dyDescent="0.2">
      <c r="A301" s="51">
        <v>2006</v>
      </c>
      <c r="B301" s="64">
        <f>SUM(B197:B208)</f>
        <v>1633788171.9999998</v>
      </c>
      <c r="D301" s="164"/>
      <c r="H301" s="55">
        <f t="shared" si="12"/>
        <v>1596.0208353881278</v>
      </c>
      <c r="I301" s="55">
        <f t="shared" si="13"/>
        <v>1633.7881719999998</v>
      </c>
      <c r="K301" s="52">
        <f>SUM(K197:K208)</f>
        <v>1596020835.3881278</v>
      </c>
      <c r="L301" s="55">
        <f t="shared" si="10"/>
        <v>-37767336.611871958</v>
      </c>
      <c r="M301" s="218">
        <f t="shared" si="11"/>
        <v>-2.3116421858801389E-2</v>
      </c>
    </row>
    <row r="302" spans="1:13" x14ac:dyDescent="0.2">
      <c r="A302" s="73">
        <v>2007</v>
      </c>
      <c r="B302" s="64">
        <f>SUM(B209:B220)</f>
        <v>1631697102.8999999</v>
      </c>
      <c r="D302" s="164"/>
      <c r="H302" s="55">
        <f t="shared" si="12"/>
        <v>1633.3489382652831</v>
      </c>
      <c r="I302" s="55">
        <f t="shared" si="13"/>
        <v>1631.6971028999999</v>
      </c>
      <c r="K302" s="52">
        <f>SUM(K209:K220)</f>
        <v>1633348938.2652831</v>
      </c>
      <c r="L302" s="55">
        <f t="shared" si="10"/>
        <v>1651835.3652832508</v>
      </c>
      <c r="M302" s="218">
        <f t="shared" si="11"/>
        <v>1.0123419122013879E-3</v>
      </c>
    </row>
    <row r="303" spans="1:13" x14ac:dyDescent="0.2">
      <c r="A303" s="51">
        <v>2008</v>
      </c>
      <c r="B303" s="64">
        <f>SUM(B221:B232)</f>
        <v>1594089337.5</v>
      </c>
      <c r="D303" s="164"/>
      <c r="H303" s="55">
        <f t="shared" si="12"/>
        <v>1602.6093868361436</v>
      </c>
      <c r="I303" s="55">
        <f t="shared" si="13"/>
        <v>1594.0893375000001</v>
      </c>
      <c r="K303" s="52">
        <f>SUM(K221:K232)</f>
        <v>1602609386.8361435</v>
      </c>
      <c r="L303" s="55">
        <f t="shared" si="10"/>
        <v>8520049.3361434937</v>
      </c>
      <c r="M303" s="218">
        <f t="shared" si="11"/>
        <v>5.344775311969298E-3</v>
      </c>
    </row>
    <row r="304" spans="1:13" x14ac:dyDescent="0.2">
      <c r="A304" s="73">
        <v>2009</v>
      </c>
      <c r="B304" s="64">
        <f>SUM(B233:B244)</f>
        <v>1504188795.0899999</v>
      </c>
      <c r="D304" s="105"/>
      <c r="H304" s="55">
        <f t="shared" si="12"/>
        <v>1528.1732342898254</v>
      </c>
      <c r="I304" s="55">
        <f t="shared" si="13"/>
        <v>1504.18879509</v>
      </c>
      <c r="K304" s="52">
        <f>SUM(K233:K244)</f>
        <v>1528173234.2898254</v>
      </c>
      <c r="L304" s="55">
        <f t="shared" si="10"/>
        <v>23984439.199825525</v>
      </c>
      <c r="M304" s="218">
        <f t="shared" si="11"/>
        <v>1.594509896504745E-2</v>
      </c>
    </row>
    <row r="305" spans="1:13" x14ac:dyDescent="0.2">
      <c r="A305" s="51">
        <v>2010</v>
      </c>
      <c r="B305" s="64">
        <f>SUM(B245:B252)</f>
        <v>1100104886</v>
      </c>
      <c r="D305" s="105"/>
      <c r="H305" s="55">
        <f t="shared" si="12"/>
        <v>1604.9066111064071</v>
      </c>
      <c r="I305" s="55">
        <f t="shared" si="13"/>
        <v>1100.1048860000001</v>
      </c>
      <c r="K305" s="52">
        <f>SUM(K245:K256)</f>
        <v>1604906611.1064072</v>
      </c>
      <c r="L305" s="55">
        <f t="shared" si="10"/>
        <v>504801725.10640717</v>
      </c>
      <c r="M305" s="218">
        <f t="shared" si="11"/>
        <v>0.45886690581102207</v>
      </c>
    </row>
    <row r="306" spans="1:13" x14ac:dyDescent="0.2">
      <c r="A306" s="51">
        <v>2011</v>
      </c>
      <c r="B306" s="64">
        <f>SUM(B257:B268)</f>
        <v>0</v>
      </c>
      <c r="H306" s="55">
        <f t="shared" si="12"/>
        <v>1660.6081451519137</v>
      </c>
      <c r="I306" s="55">
        <f t="shared" si="13"/>
        <v>0</v>
      </c>
      <c r="K306" s="52">
        <f>SUM(K257:K268)</f>
        <v>1660608145.1519136</v>
      </c>
      <c r="M306" s="218"/>
    </row>
    <row r="307" spans="1:13" x14ac:dyDescent="0.2">
      <c r="A307" s="51">
        <v>2012</v>
      </c>
      <c r="B307" s="64">
        <f>SUM(B269:B281)</f>
        <v>0</v>
      </c>
      <c r="H307" s="55">
        <f t="shared" si="12"/>
        <v>0</v>
      </c>
      <c r="I307" s="55">
        <f t="shared" si="13"/>
        <v>0</v>
      </c>
      <c r="K307" s="52">
        <f>SUM(K269:K281)</f>
        <v>0</v>
      </c>
      <c r="M307" s="218"/>
    </row>
    <row r="311" spans="1:13" x14ac:dyDescent="0.2">
      <c r="A311" s="51" t="s">
        <v>96</v>
      </c>
      <c r="B311" s="64">
        <f>SUM(B293:B307)</f>
        <v>19482630322.359997</v>
      </c>
      <c r="K311" s="52">
        <f>SUM(K293:K307)</f>
        <v>21668196896.444057</v>
      </c>
      <c r="L311" s="55">
        <f>K311-B311</f>
        <v>2185566574.0840607</v>
      </c>
    </row>
    <row r="312" spans="1:13" ht="12.75" x14ac:dyDescent="0.2">
      <c r="K312" s="1"/>
      <c r="L312" s="1"/>
    </row>
    <row r="313" spans="1:13" ht="12.75" x14ac:dyDescent="0.2">
      <c r="K313" s="55">
        <f>SUM(K293:K307)</f>
        <v>21668196896.444057</v>
      </c>
      <c r="L313" s="168">
        <f>K311-K282</f>
        <v>0</v>
      </c>
    </row>
    <row r="315" spans="1:13" x14ac:dyDescent="0.2">
      <c r="K315" s="55">
        <f>SUM(K293:K307)</f>
        <v>21668196896.444057</v>
      </c>
      <c r="L315" s="55">
        <f>K282-K315</f>
        <v>0</v>
      </c>
    </row>
    <row r="316" spans="1:13" x14ac:dyDescent="0.2">
      <c r="K316" s="72"/>
      <c r="L316" s="96" t="s">
        <v>67</v>
      </c>
      <c r="M316" s="219"/>
    </row>
  </sheetData>
  <sheetProtection selectLockedCells="1" selectUnlockedCells="1"/>
  <mergeCells count="1">
    <mergeCell ref="Q142:S142"/>
  </mergeCells>
  <phoneticPr fontId="0" type="noConversion"/>
  <pageMargins left="0.196850393700787" right="0.15748031496063" top="0.74803149606299202" bottom="0.74803149606299202" header="0.511811023622047" footer="0.511811023622047"/>
  <pageSetup paperSize="3" scale="65" orientation="portrait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Z69"/>
  <sheetViews>
    <sheetView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35" sqref="E35"/>
    </sheetView>
  </sheetViews>
  <sheetFormatPr defaultRowHeight="12.75" x14ac:dyDescent="0.2"/>
  <cols>
    <col min="1" max="1" width="11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10" width="14.140625" style="6" bestFit="1" customWidth="1"/>
    <col min="11" max="12" width="14.7109375" style="6" customWidth="1"/>
    <col min="13" max="13" width="12.5703125" style="6" customWidth="1"/>
    <col min="14" max="14" width="11.28515625" style="6" customWidth="1"/>
    <col min="15" max="15" width="10.42578125" style="6" customWidth="1"/>
    <col min="16" max="16" width="12.7109375" style="6" customWidth="1"/>
    <col min="17" max="17" width="12.7109375" style="44" customWidth="1"/>
    <col min="18" max="18" width="13.42578125" style="6" customWidth="1"/>
    <col min="19" max="19" width="10.7109375" style="6" customWidth="1"/>
    <col min="20" max="20" width="9.140625" style="6" customWidth="1"/>
    <col min="21" max="21" width="11.140625" style="6" customWidth="1"/>
    <col min="22" max="22" width="11.42578125" customWidth="1"/>
    <col min="23" max="23" width="11.85546875" customWidth="1"/>
    <col min="24" max="24" width="13.85546875" customWidth="1"/>
    <col min="26" max="26" width="14.7109375" customWidth="1"/>
  </cols>
  <sheetData>
    <row r="2" spans="1:26" ht="42" customHeight="1" x14ac:dyDescent="0.2">
      <c r="B2" s="2" t="s">
        <v>6</v>
      </c>
      <c r="C2" s="2" t="s">
        <v>7</v>
      </c>
      <c r="D2" s="2" t="s">
        <v>41</v>
      </c>
      <c r="E2" s="2" t="s">
        <v>8</v>
      </c>
      <c r="F2" s="2" t="s">
        <v>0</v>
      </c>
      <c r="G2" s="7" t="s">
        <v>5</v>
      </c>
      <c r="H2" s="38" t="s">
        <v>1</v>
      </c>
      <c r="I2" s="40" t="s">
        <v>117</v>
      </c>
      <c r="J2" s="40" t="s">
        <v>118</v>
      </c>
      <c r="K2" s="40" t="s">
        <v>119</v>
      </c>
      <c r="L2" s="40" t="s">
        <v>69</v>
      </c>
      <c r="M2" s="40" t="s">
        <v>4</v>
      </c>
      <c r="N2" s="40" t="s">
        <v>2</v>
      </c>
      <c r="O2" s="40" t="s">
        <v>3</v>
      </c>
      <c r="S2" s="21"/>
      <c r="T2" s="21"/>
      <c r="U2" s="21"/>
      <c r="V2" s="192"/>
      <c r="W2" s="192"/>
      <c r="X2" s="192"/>
      <c r="Y2" s="192"/>
      <c r="Z2" s="192"/>
    </row>
    <row r="3" spans="1:26" x14ac:dyDescent="0.2">
      <c r="F3" s="1" t="s">
        <v>81</v>
      </c>
      <c r="S3" s="21"/>
      <c r="T3" s="21"/>
      <c r="U3" s="21"/>
      <c r="V3" s="192"/>
      <c r="W3" s="192"/>
      <c r="X3" s="225"/>
      <c r="Y3" s="192"/>
      <c r="Z3" s="192"/>
    </row>
    <row r="4" spans="1:26" x14ac:dyDescent="0.2">
      <c r="A4" s="12"/>
      <c r="B4" s="31" t="s">
        <v>43</v>
      </c>
      <c r="S4" s="21"/>
      <c r="T4" s="21"/>
      <c r="U4" s="21"/>
      <c r="V4" s="192"/>
      <c r="W4" s="192"/>
      <c r="X4" s="225"/>
      <c r="Y4" s="226"/>
      <c r="Z4" s="192"/>
    </row>
    <row r="5" spans="1:26" x14ac:dyDescent="0.2">
      <c r="B5"/>
      <c r="C5"/>
      <c r="D5"/>
      <c r="E5"/>
      <c r="F5"/>
      <c r="G5"/>
      <c r="H5" s="176"/>
      <c r="I5"/>
      <c r="J5"/>
      <c r="K5"/>
      <c r="L5"/>
      <c r="M5"/>
      <c r="N5"/>
      <c r="O5"/>
      <c r="P5"/>
      <c r="Q5" s="45"/>
      <c r="R5"/>
      <c r="S5" s="192"/>
      <c r="T5" s="192"/>
      <c r="U5" s="192"/>
      <c r="V5" s="192"/>
      <c r="W5" s="192"/>
      <c r="X5" s="225"/>
      <c r="Y5" s="192"/>
      <c r="Z5" s="192"/>
    </row>
    <row r="6" spans="1:26" x14ac:dyDescent="0.2">
      <c r="S6" s="21"/>
      <c r="T6" s="21"/>
      <c r="U6" s="21"/>
      <c r="V6" s="192"/>
      <c r="W6" s="192"/>
      <c r="X6" s="225"/>
      <c r="Y6" s="192"/>
      <c r="Z6" s="192"/>
    </row>
    <row r="7" spans="1:26" x14ac:dyDescent="0.2">
      <c r="A7">
        <f>'Purchased Power Model'!A292</f>
        <v>1997</v>
      </c>
      <c r="B7" s="6">
        <f>'Purchased Power Model'!B292</f>
        <v>0</v>
      </c>
      <c r="C7" s="6">
        <f>'Purchased Power Model'!K292</f>
        <v>0</v>
      </c>
      <c r="D7" s="27">
        <f>C7-B7</f>
        <v>0</v>
      </c>
      <c r="E7" s="5"/>
      <c r="S7" s="21"/>
      <c r="T7" s="21"/>
      <c r="U7" s="21"/>
      <c r="V7" s="192"/>
      <c r="W7" s="192"/>
      <c r="X7" s="225"/>
      <c r="Y7" s="192"/>
      <c r="Z7" s="192"/>
    </row>
    <row r="8" spans="1:26" x14ac:dyDescent="0.2">
      <c r="A8">
        <f>'Purchased Power Model'!A293</f>
        <v>1998</v>
      </c>
      <c r="B8" s="6">
        <f>'Purchased Power Model'!B293</f>
        <v>1368341834.2</v>
      </c>
      <c r="C8" s="6">
        <f>'Purchased Power Model'!K293</f>
        <v>1337578884.041924</v>
      </c>
      <c r="D8" s="27">
        <f t="shared" ref="D8:D20" si="0">C8-B8</f>
        <v>-30762950.158076048</v>
      </c>
      <c r="E8" s="5">
        <f t="shared" ref="E8:E19" si="1">D8/B8</f>
        <v>-2.2481918910314966E-2</v>
      </c>
      <c r="S8" s="21"/>
      <c r="T8" s="21"/>
      <c r="U8" s="21"/>
      <c r="V8" s="192"/>
      <c r="W8" s="192"/>
      <c r="X8" s="225"/>
      <c r="Y8" s="192"/>
      <c r="Z8" s="192"/>
    </row>
    <row r="9" spans="1:26" x14ac:dyDescent="0.2">
      <c r="A9">
        <f>'Purchased Power Model'!A294</f>
        <v>1999</v>
      </c>
      <c r="B9" s="6">
        <f>'Purchased Power Model'!B294</f>
        <v>1419862044.4000001</v>
      </c>
      <c r="C9" s="6">
        <f>'Purchased Power Model'!K294</f>
        <v>1425500286.2491877</v>
      </c>
      <c r="D9" s="27">
        <f t="shared" si="0"/>
        <v>5638241.8491876125</v>
      </c>
      <c r="E9" s="5">
        <f t="shared" si="1"/>
        <v>3.9709786393861942E-3</v>
      </c>
      <c r="L9" s="26"/>
      <c r="S9" s="21"/>
      <c r="T9" s="21"/>
      <c r="U9" s="21"/>
      <c r="V9" s="192"/>
      <c r="W9" s="192"/>
      <c r="X9" s="225"/>
      <c r="Y9" s="192"/>
      <c r="Z9" s="192"/>
    </row>
    <row r="10" spans="1:26" x14ac:dyDescent="0.2">
      <c r="A10">
        <f>'Purchased Power Model'!A295</f>
        <v>2000</v>
      </c>
      <c r="B10" s="6">
        <f>'Purchased Power Model'!B295</f>
        <v>1491540734</v>
      </c>
      <c r="C10" s="6">
        <f>'Purchased Power Model'!K295</f>
        <v>1507941877.7769606</v>
      </c>
      <c r="D10" s="27">
        <f t="shared" si="0"/>
        <v>16401143.776960611</v>
      </c>
      <c r="E10" s="5">
        <f t="shared" si="1"/>
        <v>1.099610852261217E-2</v>
      </c>
      <c r="F10" s="18"/>
      <c r="S10" s="21"/>
      <c r="T10" s="21"/>
      <c r="U10" s="21"/>
      <c r="V10" s="192"/>
      <c r="W10" s="192"/>
      <c r="X10" s="225"/>
      <c r="Y10" s="192"/>
      <c r="Z10" s="192"/>
    </row>
    <row r="11" spans="1:26" x14ac:dyDescent="0.2">
      <c r="A11">
        <f>'Purchased Power Model'!A296</f>
        <v>2001</v>
      </c>
      <c r="B11" s="6">
        <f>'Purchased Power Model'!B296</f>
        <v>1489293270</v>
      </c>
      <c r="C11" s="6">
        <f>'Purchased Power Model'!K296</f>
        <v>1508075046.8492968</v>
      </c>
      <c r="D11" s="27">
        <f t="shared" si="0"/>
        <v>18781776.849296808</v>
      </c>
      <c r="E11" s="5">
        <f t="shared" si="1"/>
        <v>1.2611201049271383E-2</v>
      </c>
      <c r="F11" s="18"/>
      <c r="G11" s="21"/>
      <c r="H11" s="232"/>
      <c r="I11" s="150"/>
      <c r="J11" s="150"/>
      <c r="K11" s="150"/>
      <c r="L11" s="150"/>
      <c r="M11" s="150"/>
      <c r="N11" s="150"/>
      <c r="O11" s="150"/>
      <c r="S11" s="21"/>
      <c r="T11" s="21"/>
      <c r="U11" s="21"/>
      <c r="V11" s="192"/>
      <c r="W11" s="192"/>
      <c r="X11" s="225"/>
      <c r="Y11" s="192"/>
      <c r="Z11" s="192"/>
    </row>
    <row r="12" spans="1:26" x14ac:dyDescent="0.2">
      <c r="A12">
        <f>'Purchased Power Model'!A297</f>
        <v>2002</v>
      </c>
      <c r="B12" s="6">
        <f>'Purchased Power Model'!B297</f>
        <v>1521498084.98</v>
      </c>
      <c r="C12" s="6">
        <f>'Purchased Power Model'!K297</f>
        <v>1545864359.267597</v>
      </c>
      <c r="D12" s="27">
        <f t="shared" si="0"/>
        <v>24366274.287596941</v>
      </c>
      <c r="E12" s="5">
        <f t="shared" si="1"/>
        <v>1.6014659846198383E-2</v>
      </c>
      <c r="F12" s="50">
        <f>1 +(B12-G12)/G12</f>
        <v>1.064011441440891</v>
      </c>
      <c r="G12" s="21">
        <f>SUM(H12:O12)</f>
        <v>1429964026.4390182</v>
      </c>
      <c r="H12" s="160">
        <v>293799852.48899806</v>
      </c>
      <c r="I12" s="160">
        <v>136077544.65939805</v>
      </c>
      <c r="J12" s="160">
        <v>359367947.03579921</v>
      </c>
      <c r="K12" s="160">
        <v>400932784.27298337</v>
      </c>
      <c r="L12" s="160">
        <v>227961458.08013976</v>
      </c>
      <c r="M12" s="160">
        <v>9092083.0110000093</v>
      </c>
      <c r="N12" s="160">
        <v>87563.544099999956</v>
      </c>
      <c r="O12" s="160">
        <v>2644793.3466000143</v>
      </c>
      <c r="S12" s="21"/>
      <c r="T12" s="21"/>
      <c r="U12" s="21"/>
      <c r="V12" s="192"/>
      <c r="W12" s="225"/>
      <c r="X12" s="225"/>
      <c r="Y12" s="192"/>
      <c r="Z12" s="225"/>
    </row>
    <row r="13" spans="1:26" x14ac:dyDescent="0.2">
      <c r="A13">
        <f>'Purchased Power Model'!A298</f>
        <v>2003</v>
      </c>
      <c r="B13" s="6">
        <f>'Purchased Power Model'!B298</f>
        <v>1508144801.98</v>
      </c>
      <c r="C13" s="6">
        <f>'Purchased Power Model'!K298</f>
        <v>1536432449.8169463</v>
      </c>
      <c r="D13" s="27">
        <f t="shared" si="0"/>
        <v>28287647.836946249</v>
      </c>
      <c r="E13" s="5">
        <f t="shared" si="1"/>
        <v>1.8756586104867523E-2</v>
      </c>
      <c r="F13" s="50">
        <f>1 +(B13-G13)/G13</f>
        <v>1.0155402260049429</v>
      </c>
      <c r="G13" s="21">
        <f t="shared" ref="G13:G19" si="2">SUM(H13:O13)</f>
        <v>1485066532.433605</v>
      </c>
      <c r="H13" s="160">
        <v>325123192.54719889</v>
      </c>
      <c r="I13" s="160">
        <v>134877221.30839846</v>
      </c>
      <c r="J13" s="160">
        <v>418240754.07729948</v>
      </c>
      <c r="K13" s="160">
        <v>370939934.10663033</v>
      </c>
      <c r="L13" s="160">
        <v>224351881.58267787</v>
      </c>
      <c r="M13" s="160">
        <v>8140829.3700000001</v>
      </c>
      <c r="N13" s="160">
        <v>128972.43980000015</v>
      </c>
      <c r="O13" s="160">
        <v>3263747.001599981</v>
      </c>
      <c r="S13" s="21"/>
      <c r="T13" s="21"/>
      <c r="U13" s="21"/>
      <c r="V13" s="192"/>
      <c r="W13" s="225"/>
      <c r="X13" s="225"/>
      <c r="Y13" s="192"/>
      <c r="Z13" s="225"/>
    </row>
    <row r="14" spans="1:26" x14ac:dyDescent="0.2">
      <c r="A14">
        <f>'Purchased Power Model'!A299</f>
        <v>2004</v>
      </c>
      <c r="B14" s="6">
        <f>'Purchased Power Model'!B299</f>
        <v>1578638924.0699999</v>
      </c>
      <c r="C14" s="6">
        <f>'Purchased Power Model'!K299</f>
        <v>1566451639.3637197</v>
      </c>
      <c r="D14" s="27">
        <f t="shared" si="0"/>
        <v>-12187284.706280231</v>
      </c>
      <c r="E14" s="5">
        <f t="shared" si="1"/>
        <v>-7.720121758343153E-3</v>
      </c>
      <c r="F14" s="18">
        <f t="shared" ref="F14:F19" si="3">1 +(B14-G14)/G14</f>
        <v>1.0142843892000037</v>
      </c>
      <c r="G14" s="21">
        <f t="shared" si="2"/>
        <v>1556406606.3514192</v>
      </c>
      <c r="H14" s="160">
        <v>333362711.03379893</v>
      </c>
      <c r="I14" s="160">
        <v>136449757.49409857</v>
      </c>
      <c r="J14" s="160">
        <v>441567398.06522149</v>
      </c>
      <c r="K14" s="160">
        <v>372045282.21304452</v>
      </c>
      <c r="L14" s="160">
        <v>261286315.31597775</v>
      </c>
      <c r="M14" s="160">
        <v>8359777.7392780315</v>
      </c>
      <c r="N14" s="160">
        <v>127139.95199999993</v>
      </c>
      <c r="O14" s="160">
        <v>3208224.5379999974</v>
      </c>
      <c r="S14" s="21"/>
      <c r="T14" s="21"/>
      <c r="U14" s="21"/>
      <c r="V14" s="192"/>
      <c r="W14" s="225"/>
      <c r="X14" s="225"/>
      <c r="Y14" s="192"/>
      <c r="Z14" s="225"/>
    </row>
    <row r="15" spans="1:26" x14ac:dyDescent="0.2">
      <c r="A15">
        <f>'Purchased Power Model'!A300</f>
        <v>2005</v>
      </c>
      <c r="B15" s="6">
        <f>'Purchased Power Model'!B300</f>
        <v>1641442335.24</v>
      </c>
      <c r="C15" s="6">
        <f>'Purchased Power Model'!K300</f>
        <v>1614685202.0407233</v>
      </c>
      <c r="D15" s="27">
        <f t="shared" si="0"/>
        <v>-26757133.199276686</v>
      </c>
      <c r="E15" s="5">
        <f t="shared" si="1"/>
        <v>-1.6300988846717206E-2</v>
      </c>
      <c r="F15" s="18">
        <f t="shared" si="3"/>
        <v>1.0138339724252261</v>
      </c>
      <c r="G15" s="21">
        <f t="shared" si="2"/>
        <v>1619044518.0224638</v>
      </c>
      <c r="H15" s="160">
        <v>356926019.09399825</v>
      </c>
      <c r="I15" s="160">
        <v>144289566.38669905</v>
      </c>
      <c r="J15" s="160">
        <v>428032331.4692651</v>
      </c>
      <c r="K15" s="160">
        <v>424553499.37750292</v>
      </c>
      <c r="L15" s="160">
        <v>253448417.91936299</v>
      </c>
      <c r="M15" s="160">
        <v>8527564.5191355739</v>
      </c>
      <c r="N15" s="160">
        <v>127893.70089999981</v>
      </c>
      <c r="O15" s="160">
        <v>3139225.5555999791</v>
      </c>
      <c r="S15" s="227"/>
      <c r="T15" s="21"/>
      <c r="U15" s="21"/>
      <c r="V15" s="192"/>
      <c r="W15" s="225"/>
      <c r="X15" s="225"/>
      <c r="Y15" s="192"/>
      <c r="Z15" s="225"/>
    </row>
    <row r="16" spans="1:26" x14ac:dyDescent="0.2">
      <c r="A16">
        <f>'Purchased Power Model'!A301</f>
        <v>2006</v>
      </c>
      <c r="B16" s="6">
        <f>'Purchased Power Model'!B301</f>
        <v>1633788171.9999998</v>
      </c>
      <c r="C16" s="6">
        <f>'Purchased Power Model'!K301</f>
        <v>1596020835.3881278</v>
      </c>
      <c r="D16" s="27">
        <f t="shared" si="0"/>
        <v>-37767336.611871958</v>
      </c>
      <c r="E16" s="5">
        <f t="shared" si="1"/>
        <v>-2.3116421858801389E-2</v>
      </c>
      <c r="F16" s="18">
        <f t="shared" si="3"/>
        <v>1.0148198745483732</v>
      </c>
      <c r="G16" s="21">
        <f t="shared" si="2"/>
        <v>1609929222.885083</v>
      </c>
      <c r="H16" s="160">
        <v>348418729.24179751</v>
      </c>
      <c r="I16" s="160">
        <v>141613942.75719905</v>
      </c>
      <c r="J16" s="160">
        <v>427648833.07905781</v>
      </c>
      <c r="K16" s="160">
        <v>420373255.95967984</v>
      </c>
      <c r="L16" s="160">
        <v>260643976.28740698</v>
      </c>
      <c r="M16" s="160">
        <v>8759526.2004419025</v>
      </c>
      <c r="N16" s="160">
        <v>127132.6365999999</v>
      </c>
      <c r="O16" s="160">
        <v>2343826.7229000111</v>
      </c>
      <c r="Q16" s="46"/>
      <c r="S16" s="21"/>
      <c r="T16" s="21"/>
      <c r="U16" s="21"/>
      <c r="V16" s="192"/>
      <c r="W16" s="225"/>
      <c r="X16" s="225"/>
      <c r="Y16" s="192"/>
      <c r="Z16" s="225"/>
    </row>
    <row r="17" spans="1:26" x14ac:dyDescent="0.2">
      <c r="A17">
        <f>'Purchased Power Model'!A302</f>
        <v>2007</v>
      </c>
      <c r="B17" s="6">
        <f>'Purchased Power Model'!B302</f>
        <v>1631697102.8999999</v>
      </c>
      <c r="C17" s="6">
        <f>'Purchased Power Model'!K302</f>
        <v>1633348938.2652831</v>
      </c>
      <c r="D17" s="27">
        <f t="shared" si="0"/>
        <v>1651835.3652832508</v>
      </c>
      <c r="E17" s="5">
        <f t="shared" si="1"/>
        <v>1.0123419122013879E-3</v>
      </c>
      <c r="F17" s="50">
        <f t="shared" si="3"/>
        <v>1.0136812799822987</v>
      </c>
      <c r="G17" s="21">
        <f t="shared" si="2"/>
        <v>1609674692.7480927</v>
      </c>
      <c r="H17" s="160">
        <v>356617105.66369778</v>
      </c>
      <c r="I17" s="160">
        <v>145574704.42339978</v>
      </c>
      <c r="J17" s="160">
        <v>447771407.19867772</v>
      </c>
      <c r="K17" s="160">
        <v>389939013.57869577</v>
      </c>
      <c r="L17" s="160">
        <v>258415579.77789986</v>
      </c>
      <c r="M17" s="160">
        <v>8768683.9196220562</v>
      </c>
      <c r="N17" s="160">
        <v>119940.49840000004</v>
      </c>
      <c r="O17" s="160">
        <v>2468257.6877000048</v>
      </c>
      <c r="S17" s="21"/>
      <c r="T17" s="21"/>
      <c r="U17" s="21"/>
      <c r="V17" s="192"/>
      <c r="W17" s="225"/>
      <c r="X17" s="225"/>
      <c r="Y17" s="192"/>
      <c r="Z17" s="225"/>
    </row>
    <row r="18" spans="1:26" x14ac:dyDescent="0.2">
      <c r="A18">
        <f>'Purchased Power Model'!A303</f>
        <v>2008</v>
      </c>
      <c r="B18" s="6">
        <f>'Purchased Power Model'!B303</f>
        <v>1594089337.5</v>
      </c>
      <c r="C18" s="6">
        <f>'Purchased Power Model'!K303</f>
        <v>1602609386.8361435</v>
      </c>
      <c r="D18" s="27">
        <f t="shared" si="0"/>
        <v>8520049.3361434937</v>
      </c>
      <c r="E18" s="5">
        <f t="shared" si="1"/>
        <v>5.344775311969298E-3</v>
      </c>
      <c r="F18" s="18">
        <f t="shared" si="3"/>
        <v>1.0124751707778996</v>
      </c>
      <c r="G18" s="21">
        <f t="shared" si="2"/>
        <v>1574447831.9159546</v>
      </c>
      <c r="H18" s="160">
        <v>356875114.38189942</v>
      </c>
      <c r="I18" s="160">
        <v>146877567.74829936</v>
      </c>
      <c r="J18" s="160">
        <v>425057771.65110093</v>
      </c>
      <c r="K18" s="160">
        <v>385445266.45684302</v>
      </c>
      <c r="L18" s="160">
        <v>248400499.59731197</v>
      </c>
      <c r="M18" s="160">
        <v>9257879.8100000005</v>
      </c>
      <c r="N18" s="160">
        <v>101462.60599999984</v>
      </c>
      <c r="O18" s="160">
        <v>2432269.6645000074</v>
      </c>
      <c r="S18" s="21"/>
      <c r="T18" s="21"/>
      <c r="U18" s="21"/>
      <c r="V18" s="192"/>
      <c r="W18" s="225"/>
      <c r="X18" s="225"/>
      <c r="Y18" s="192"/>
      <c r="Z18" s="225"/>
    </row>
    <row r="19" spans="1:26" x14ac:dyDescent="0.2">
      <c r="A19">
        <f>'Purchased Power Model'!A304</f>
        <v>2009</v>
      </c>
      <c r="B19" s="6">
        <f>'Purchased Power Model'!B304</f>
        <v>1504188795.0899999</v>
      </c>
      <c r="C19" s="6">
        <f>'Purchased Power Model'!K304</f>
        <v>1528173234.2898254</v>
      </c>
      <c r="D19" s="27">
        <f t="shared" si="0"/>
        <v>23984439.199825525</v>
      </c>
      <c r="E19" s="5">
        <f t="shared" si="1"/>
        <v>1.594509896504745E-2</v>
      </c>
      <c r="F19" s="18">
        <f t="shared" si="3"/>
        <v>1.0125599758442745</v>
      </c>
      <c r="G19" s="21">
        <f t="shared" si="2"/>
        <v>1485530567.0518968</v>
      </c>
      <c r="H19" s="160">
        <v>352708668.56829965</v>
      </c>
      <c r="I19" s="160">
        <v>141492397.61990008</v>
      </c>
      <c r="J19" s="160">
        <v>368795356.86309993</v>
      </c>
      <c r="K19" s="160">
        <v>373502975.20099401</v>
      </c>
      <c r="L19" s="160">
        <v>237183984.18280315</v>
      </c>
      <c r="M19" s="160">
        <v>9321265.0700000003</v>
      </c>
      <c r="N19" s="160">
        <v>101501.5671</v>
      </c>
      <c r="O19" s="160">
        <v>2424417.9797000005</v>
      </c>
      <c r="S19" s="21"/>
      <c r="T19" s="21"/>
      <c r="U19" s="21"/>
      <c r="V19" s="192"/>
      <c r="W19" s="192"/>
      <c r="X19" s="225"/>
      <c r="Y19" s="192"/>
      <c r="Z19" s="225"/>
    </row>
    <row r="20" spans="1:26" x14ac:dyDescent="0.2">
      <c r="A20">
        <f>'Purchased Power Model'!A305</f>
        <v>2010</v>
      </c>
      <c r="B20" s="6">
        <f>'Purchased Power Model'!$B$305</f>
        <v>1100104886</v>
      </c>
      <c r="C20" s="6">
        <f>'Purchased Power Model'!K305</f>
        <v>1604906611.1064072</v>
      </c>
      <c r="D20" s="27">
        <f t="shared" si="0"/>
        <v>504801725.10640717</v>
      </c>
      <c r="E20" s="5">
        <f>D20/B20</f>
        <v>0.45886690581102207</v>
      </c>
      <c r="F20" s="18">
        <f>1 +(B20-G20)/G20</f>
        <v>1.0357297697490468</v>
      </c>
      <c r="G20" s="21">
        <f>SUM(H20:O20)</f>
        <v>1062154355.4421062</v>
      </c>
      <c r="H20" s="160">
        <v>252186698.02633423</v>
      </c>
      <c r="I20" s="160">
        <v>101167064.29822855</v>
      </c>
      <c r="J20" s="160">
        <v>263688680.15711644</v>
      </c>
      <c r="K20" s="160">
        <v>267054627.2687107</v>
      </c>
      <c r="L20" s="160">
        <v>169586548.69070426</v>
      </c>
      <c r="M20" s="160">
        <v>6664704.5250500003</v>
      </c>
      <c r="N20" s="160">
        <v>72573.6204765</v>
      </c>
      <c r="O20" s="160">
        <v>1733458.8554855003</v>
      </c>
      <c r="S20" s="21"/>
      <c r="T20" s="21"/>
      <c r="U20" s="21"/>
      <c r="V20" s="192"/>
      <c r="W20" s="192"/>
      <c r="X20" s="225"/>
      <c r="Y20" s="192"/>
      <c r="Z20" s="225"/>
    </row>
    <row r="21" spans="1:26" x14ac:dyDescent="0.2">
      <c r="A21">
        <f>'Purchased Power Model'!A306</f>
        <v>2011</v>
      </c>
      <c r="B21" s="6"/>
      <c r="C21" s="6">
        <f>'Purchased Power Model'!K306</f>
        <v>1660608145.1519136</v>
      </c>
      <c r="G21" s="15">
        <f>C21/$F$23</f>
        <v>1596124706.9895363</v>
      </c>
      <c r="H21" s="47" t="s">
        <v>82</v>
      </c>
      <c r="S21" s="21"/>
      <c r="T21" s="21"/>
      <c r="U21" s="21"/>
      <c r="V21" s="192"/>
      <c r="W21" s="192"/>
      <c r="X21" s="225"/>
      <c r="Y21" s="192"/>
      <c r="Z21" s="225"/>
    </row>
    <row r="22" spans="1:26" x14ac:dyDescent="0.2">
      <c r="C22" s="6"/>
      <c r="G22" s="21"/>
      <c r="H22" s="11"/>
      <c r="J22" s="26"/>
      <c r="Z22" s="48"/>
    </row>
    <row r="23" spans="1:26" x14ac:dyDescent="0.2">
      <c r="A23" s="13" t="s">
        <v>13</v>
      </c>
      <c r="E23" s="222" t="s">
        <v>116</v>
      </c>
      <c r="F23" s="18">
        <v>1.0404</v>
      </c>
      <c r="G23" s="19"/>
      <c r="H23" s="47"/>
      <c r="I23" s="26"/>
      <c r="J23" s="26"/>
      <c r="Z23" s="48"/>
    </row>
    <row r="24" spans="1:26" x14ac:dyDescent="0.2">
      <c r="G24" s="19"/>
      <c r="H24" s="26"/>
      <c r="Z24" s="48"/>
    </row>
    <row r="26" spans="1:26" x14ac:dyDescent="0.2">
      <c r="A26" s="16" t="s">
        <v>15</v>
      </c>
      <c r="B26" s="10"/>
    </row>
    <row r="27" spans="1:26" x14ac:dyDescent="0.2">
      <c r="A27">
        <f t="shared" ref="A27:A38" si="4">A10</f>
        <v>2000</v>
      </c>
    </row>
    <row r="28" spans="1:26" x14ac:dyDescent="0.2">
      <c r="A28">
        <f t="shared" si="4"/>
        <v>2001</v>
      </c>
    </row>
    <row r="29" spans="1:26" x14ac:dyDescent="0.2">
      <c r="A29">
        <f t="shared" si="4"/>
        <v>2002</v>
      </c>
      <c r="H29" s="21">
        <f>H12/'Rate Class Customer Model'!B5</f>
        <v>7973.5080871983619</v>
      </c>
      <c r="I29" s="21">
        <f>I12/'Rate Class Customer Model'!C5</f>
        <v>42355.472619842207</v>
      </c>
      <c r="J29" s="21">
        <f>J12/'Rate Class Customer Model'!D5</f>
        <v>806662.05844174908</v>
      </c>
      <c r="K29" s="21">
        <f>K12/'Rate Class Customer Model'!E5</f>
        <v>11320455.085354825</v>
      </c>
      <c r="L29" s="21">
        <f>L12/'Rate Class Customer Model'!F5</f>
        <v>56990364.520034939</v>
      </c>
      <c r="M29" s="21">
        <f>M12/'Rate Class Customer Model'!G5</f>
        <v>846.79920005588235</v>
      </c>
      <c r="N29" s="21">
        <f>N12/'Rate Class Customer Model'!H5</f>
        <v>2610.2953525745243</v>
      </c>
      <c r="O29" s="21">
        <f>O12/'Rate Class Customer Model'!I5</f>
        <v>4656.3263144366447</v>
      </c>
    </row>
    <row r="30" spans="1:26" x14ac:dyDescent="0.2">
      <c r="A30">
        <f t="shared" si="4"/>
        <v>2003</v>
      </c>
      <c r="H30" s="21">
        <f>H13/'Rate Class Customer Model'!B6</f>
        <v>8541.4130256810549</v>
      </c>
      <c r="I30" s="21">
        <f>I13/'Rate Class Customer Model'!C6</f>
        <v>41517.716388794928</v>
      </c>
      <c r="J30" s="21">
        <f>J13/'Rate Class Customer Model'!D6</f>
        <v>907246.75504837197</v>
      </c>
      <c r="K30" s="21">
        <f>K13/'Rate Class Customer Model'!E6</f>
        <v>10070767.441808967</v>
      </c>
      <c r="L30" s="21">
        <f>L13/'Rate Class Customer Model'!F6</f>
        <v>56087970.395669468</v>
      </c>
      <c r="M30" s="21">
        <f>M13/'Rate Class Customer Model'!G6</f>
        <v>748.51318223611622</v>
      </c>
      <c r="N30" s="21">
        <f>N13/'Rate Class Customer Model'!H6</f>
        <v>4347.3856112359599</v>
      </c>
      <c r="O30" s="21">
        <f>O13/'Rate Class Customer Model'!I6</f>
        <v>5550.5901387754775</v>
      </c>
    </row>
    <row r="31" spans="1:26" x14ac:dyDescent="0.2">
      <c r="A31">
        <f t="shared" si="4"/>
        <v>2004</v>
      </c>
      <c r="H31" s="21">
        <f>H14/'Rate Class Customer Model'!B7</f>
        <v>8460.8751420362423</v>
      </c>
      <c r="I31" s="21">
        <f>I14/'Rate Class Customer Model'!C7</f>
        <v>41051.925235149749</v>
      </c>
      <c r="J31" s="21">
        <f>J14/'Rate Class Customer Model'!D7</f>
        <v>905160.36501241173</v>
      </c>
      <c r="K31" s="21">
        <f>K14/'Rate Class Customer Model'!E7</f>
        <v>9790665.3213959094</v>
      </c>
      <c r="L31" s="21">
        <f>L14/'Rate Class Customer Model'!F7</f>
        <v>65321578.828994438</v>
      </c>
      <c r="M31" s="21">
        <f>M14/'Rate Class Customer Model'!G7</f>
        <v>742.89324973589544</v>
      </c>
      <c r="N31" s="21">
        <f>N14/'Rate Class Customer Model'!H7</f>
        <v>4322.0380283286095</v>
      </c>
      <c r="O31" s="21">
        <f>O14/'Rate Class Customer Model'!I7</f>
        <v>5329.2766411960092</v>
      </c>
    </row>
    <row r="32" spans="1:26" x14ac:dyDescent="0.2">
      <c r="A32">
        <f t="shared" si="4"/>
        <v>2005</v>
      </c>
      <c r="H32" s="21">
        <f>H15/'Rate Class Customer Model'!B8</f>
        <v>8771.3872049804504</v>
      </c>
      <c r="I32" s="21">
        <f>I15/'Rate Class Customer Model'!C8</f>
        <v>42166.300480734208</v>
      </c>
      <c r="J32" s="21">
        <f>J15/'Rate Class Customer Model'!D8</f>
        <v>860078.36196101492</v>
      </c>
      <c r="K32" s="21">
        <f>K15/'Rate Class Customer Model'!E8</f>
        <v>10979831.880452663</v>
      </c>
      <c r="L32" s="21">
        <f>L15/'Rate Class Customer Model'!F8</f>
        <v>63362104.479840748</v>
      </c>
      <c r="M32" s="21">
        <f>M15/'Rate Class Customer Model'!G8</f>
        <v>720.35517140864795</v>
      </c>
      <c r="N32" s="21">
        <f>N15/'Rate Class Customer Model'!H8</f>
        <v>4125.6032548387038</v>
      </c>
      <c r="O32" s="21">
        <f>O15/'Rate Class Customer Model'!I8</f>
        <v>5276.009337142822</v>
      </c>
    </row>
    <row r="33" spans="1:15" x14ac:dyDescent="0.2">
      <c r="A33">
        <f t="shared" si="4"/>
        <v>2006</v>
      </c>
      <c r="H33" s="21">
        <f>H16/'Rate Class Customer Model'!B9</f>
        <v>8366.9023051401218</v>
      </c>
      <c r="I33" s="21">
        <f>I16/'Rate Class Customer Model'!C9</f>
        <v>40829.564717003159</v>
      </c>
      <c r="J33" s="21">
        <f>J16/'Rate Class Customer Model'!D9</f>
        <v>838801.24173728249</v>
      </c>
      <c r="K33" s="21">
        <f>K16/'Rate Class Customer Model'!E9</f>
        <v>10509331.398991996</v>
      </c>
      <c r="L33" s="21">
        <f>L16/'Rate Class Customer Model'!F9</f>
        <v>65160994.071851745</v>
      </c>
      <c r="M33" s="21">
        <f>M16/'Rate Class Customer Model'!G9</f>
        <v>715.82301221229898</v>
      </c>
      <c r="N33" s="21">
        <f>N16/'Rate Class Customer Model'!H9</f>
        <v>4156.9254474114405</v>
      </c>
      <c r="O33" s="21">
        <f>O16/'Rate Class Customer Model'!I9</f>
        <v>4034.1251685026009</v>
      </c>
    </row>
    <row r="34" spans="1:15" x14ac:dyDescent="0.2">
      <c r="A34">
        <f t="shared" si="4"/>
        <v>2007</v>
      </c>
      <c r="H34" s="21">
        <f>H17/'Rate Class Customer Model'!B10</f>
        <v>8346.166895758608</v>
      </c>
      <c r="I34" s="21">
        <f>I17/'Rate Class Customer Model'!C10</f>
        <v>41193.587216280263</v>
      </c>
      <c r="J34" s="21">
        <f>J17/'Rate Class Customer Model'!D10</f>
        <v>859721.10182146111</v>
      </c>
      <c r="K34" s="21">
        <f>K17/'Rate Class Customer Model'!E10</f>
        <v>9549526.8631517328</v>
      </c>
      <c r="L34" s="21">
        <f>L17/'Rate Class Customer Model'!F10</f>
        <v>64603894.944474965</v>
      </c>
      <c r="M34" s="21">
        <f>M17/'Rate Class Customer Model'!G10</f>
        <v>697.36630504390462</v>
      </c>
      <c r="N34" s="21">
        <f>N17/'Rate Class Customer Model'!H10</f>
        <v>4135.8792551724155</v>
      </c>
      <c r="O34" s="21">
        <f>O17/'Rate Class Customer Model'!I10</f>
        <v>4262.9666454231519</v>
      </c>
    </row>
    <row r="35" spans="1:15" x14ac:dyDescent="0.2">
      <c r="A35">
        <f t="shared" si="4"/>
        <v>2008</v>
      </c>
      <c r="H35" s="21">
        <f>H18/'Rate Class Customer Model'!B11</f>
        <v>8157.7203966427969</v>
      </c>
      <c r="I35" s="21">
        <f>I18/'Rate Class Customer Model'!C11</f>
        <v>41017.705677905338</v>
      </c>
      <c r="J35" s="21">
        <f>J18/'Rate Class Customer Model'!D11</f>
        <v>788482.49494716502</v>
      </c>
      <c r="K35" s="21">
        <f>K18/'Rate Class Customer Model'!E11</f>
        <v>9420250.911368873</v>
      </c>
      <c r="L35" s="21">
        <f>L18/'Rate Class Customer Model'!F11</f>
        <v>62100124.899327993</v>
      </c>
      <c r="M35" s="21">
        <f>M18/'Rate Class Customer Model'!G11</f>
        <v>724.34706282763477</v>
      </c>
      <c r="N35" s="21">
        <f>N18/'Rate Class Customer Model'!H11</f>
        <v>3645.3630898203537</v>
      </c>
      <c r="O35" s="21">
        <f>O18/'Rate Class Customer Model'!I11</f>
        <v>4193.5683870689782</v>
      </c>
    </row>
    <row r="36" spans="1:15" x14ac:dyDescent="0.2">
      <c r="A36">
        <f t="shared" si="4"/>
        <v>2009</v>
      </c>
      <c r="H36" s="21">
        <f>H19/'Rate Class Customer Model'!B12</f>
        <v>7911.1928980071025</v>
      </c>
      <c r="I36" s="21">
        <f>I19/'Rate Class Customer Model'!C12</f>
        <v>39045.84963639878</v>
      </c>
      <c r="J36" s="21">
        <f>J19/'Rate Class Customer Model'!D12</f>
        <v>686130.89648948819</v>
      </c>
      <c r="K36" s="21">
        <f>K19/'Rate Class Customer Model'!E12</f>
        <v>9109828.663438879</v>
      </c>
      <c r="L36" s="21">
        <f>L19/'Rate Class Customer Model'!F12</f>
        <v>59295996.045700788</v>
      </c>
      <c r="M36" s="21">
        <f>M19/'Rate Class Customer Model'!G12</f>
        <v>724.82621073094867</v>
      </c>
      <c r="N36" s="21">
        <f>N19/'Rate Class Customer Model'!H12</f>
        <v>3614.299125222552</v>
      </c>
      <c r="O36" s="21">
        <f>O19/'Rate Class Customer Model'!I12</f>
        <v>4165.6666317869422</v>
      </c>
    </row>
    <row r="37" spans="1:15" x14ac:dyDescent="0.2">
      <c r="A37">
        <f t="shared" si="4"/>
        <v>2010</v>
      </c>
      <c r="H37" s="21">
        <f>H20/'Rate Class Customer Model'!B13</f>
        <v>5656.5029220750775</v>
      </c>
      <c r="I37" s="21">
        <f>I20/'Rate Class Customer Model'!C13</f>
        <v>27917.782490025125</v>
      </c>
      <c r="J37" s="21">
        <f>J20/'Rate Class Customer Model'!D13</f>
        <v>490583.59098998411</v>
      </c>
      <c r="K37" s="21">
        <f>K20/'Rate Class Customer Model'!E13</f>
        <v>6513527.4943587976</v>
      </c>
      <c r="L37" s="21">
        <f>L20/'Rate Class Customer Model'!F13</f>
        <v>42396637.172676064</v>
      </c>
      <c r="M37" s="21">
        <f>M20/'Rate Class Customer Model'!G13</f>
        <v>517.40583223740396</v>
      </c>
      <c r="N37" s="21">
        <f>N20/'Rate Class Customer Model'!H13</f>
        <v>2584.2238745341247</v>
      </c>
      <c r="O37" s="21">
        <f>O20/'Rate Class Customer Model'!I13</f>
        <v>2963.177530744445</v>
      </c>
    </row>
    <row r="38" spans="1:15" x14ac:dyDescent="0.2">
      <c r="A38">
        <f t="shared" si="4"/>
        <v>2011</v>
      </c>
      <c r="H38" s="15">
        <f t="shared" ref="H38:O38" si="5">H36*H52</f>
        <v>7578.8671800825705</v>
      </c>
      <c r="I38" s="15">
        <f t="shared" si="5"/>
        <v>37063.489114753371</v>
      </c>
      <c r="J38" s="15">
        <f t="shared" si="5"/>
        <v>644777.16666431038</v>
      </c>
      <c r="K38" s="15">
        <f t="shared" si="5"/>
        <v>8501670.2164596375</v>
      </c>
      <c r="L38" s="15">
        <f t="shared" si="5"/>
        <v>57143470.860388808</v>
      </c>
      <c r="M38" s="15">
        <f t="shared" si="5"/>
        <v>681.53827347324159</v>
      </c>
      <c r="N38" s="15">
        <f t="shared" si="5"/>
        <v>3609.7668570234332</v>
      </c>
      <c r="O38" s="15">
        <f t="shared" si="5"/>
        <v>3936.8493348728457</v>
      </c>
    </row>
    <row r="39" spans="1:15" x14ac:dyDescent="0.2">
      <c r="H39" s="21"/>
      <c r="I39" s="21"/>
      <c r="J39" s="21"/>
      <c r="K39" s="21"/>
      <c r="L39" s="21"/>
      <c r="M39" s="21"/>
      <c r="N39" s="21"/>
      <c r="O39" s="21"/>
    </row>
    <row r="41" spans="1:15" x14ac:dyDescent="0.2">
      <c r="A41" s="28">
        <v>2000</v>
      </c>
      <c r="D41" s="6"/>
      <c r="H41" s="19"/>
      <c r="I41" s="19"/>
      <c r="J41" s="19"/>
      <c r="K41" s="19"/>
      <c r="L41" s="19"/>
      <c r="M41" s="19"/>
    </row>
    <row r="42" spans="1:15" x14ac:dyDescent="0.2">
      <c r="A42" s="28">
        <v>2001</v>
      </c>
      <c r="D42" s="6"/>
      <c r="H42" s="19"/>
      <c r="I42" s="19"/>
      <c r="J42" s="19"/>
      <c r="K42" s="19"/>
      <c r="L42" s="19"/>
      <c r="M42" s="19"/>
      <c r="N42" s="19"/>
      <c r="O42" s="19"/>
    </row>
    <row r="43" spans="1:15" x14ac:dyDescent="0.2">
      <c r="A43" s="28">
        <v>2003</v>
      </c>
      <c r="D43" s="6"/>
      <c r="H43" s="19">
        <f t="shared" ref="H43:O50" si="6">H30/H29</f>
        <v>1.0712239747263161</v>
      </c>
      <c r="I43" s="19">
        <f t="shared" si="6"/>
        <v>0.98022082674967448</v>
      </c>
      <c r="J43" s="19">
        <f t="shared" si="6"/>
        <v>1.1246924849805444</v>
      </c>
      <c r="K43" s="19">
        <f t="shared" si="6"/>
        <v>0.88960800302431586</v>
      </c>
      <c r="L43" s="19">
        <f t="shared" si="6"/>
        <v>0.9841658474732472</v>
      </c>
      <c r="M43" s="19">
        <f t="shared" si="6"/>
        <v>0.88393232089345386</v>
      </c>
      <c r="N43" s="19">
        <f t="shared" si="6"/>
        <v>1.6654765166509415</v>
      </c>
      <c r="O43" s="19">
        <f t="shared" si="6"/>
        <v>1.1920535125655229</v>
      </c>
    </row>
    <row r="44" spans="1:15" x14ac:dyDescent="0.2">
      <c r="A44" s="28">
        <v>2004</v>
      </c>
      <c r="D44" s="6"/>
      <c r="H44" s="19">
        <f t="shared" si="6"/>
        <v>0.99057089460459724</v>
      </c>
      <c r="I44" s="19">
        <f t="shared" si="6"/>
        <v>0.98878090622125614</v>
      </c>
      <c r="J44" s="19">
        <f t="shared" si="6"/>
        <v>0.99770030587119707</v>
      </c>
      <c r="K44" s="19">
        <f t="shared" si="6"/>
        <v>0.9721866161609285</v>
      </c>
      <c r="L44" s="19">
        <f t="shared" si="6"/>
        <v>1.164627251943456</v>
      </c>
      <c r="M44" s="19">
        <f t="shared" si="6"/>
        <v>0.99249187237633985</v>
      </c>
      <c r="N44" s="19">
        <f t="shared" si="6"/>
        <v>0.99416946524323979</v>
      </c>
      <c r="O44" s="19">
        <f t="shared" si="6"/>
        <v>0.96012793377889494</v>
      </c>
    </row>
    <row r="45" spans="1:15" x14ac:dyDescent="0.2">
      <c r="A45" s="28">
        <v>2005</v>
      </c>
      <c r="D45" s="6"/>
      <c r="H45" s="19">
        <f t="shared" si="6"/>
        <v>1.0366997571446821</v>
      </c>
      <c r="I45" s="19">
        <f t="shared" si="6"/>
        <v>1.0271455050938829</v>
      </c>
      <c r="J45" s="19">
        <f t="shared" si="6"/>
        <v>0.9501944574751916</v>
      </c>
      <c r="K45" s="19">
        <f t="shared" si="6"/>
        <v>1.1214592185536179</v>
      </c>
      <c r="L45" s="19">
        <f t="shared" si="6"/>
        <v>0.97000264867627584</v>
      </c>
      <c r="M45" s="19">
        <f t="shared" si="6"/>
        <v>0.9696617537778679</v>
      </c>
      <c r="N45" s="19">
        <f t="shared" si="6"/>
        <v>0.95455042917198263</v>
      </c>
      <c r="O45" s="19">
        <f t="shared" si="6"/>
        <v>0.99000477782642693</v>
      </c>
    </row>
    <row r="46" spans="1:15" x14ac:dyDescent="0.2">
      <c r="A46" s="28">
        <v>2006</v>
      </c>
      <c r="D46" s="6"/>
      <c r="H46" s="19">
        <f t="shared" si="6"/>
        <v>0.95388586886112392</v>
      </c>
      <c r="I46" s="19">
        <f t="shared" si="6"/>
        <v>0.96829848128740148</v>
      </c>
      <c r="J46" s="19">
        <f t="shared" si="6"/>
        <v>0.97526141667461586</v>
      </c>
      <c r="K46" s="19">
        <f t="shared" si="6"/>
        <v>0.95714866251292097</v>
      </c>
      <c r="L46" s="19">
        <f t="shared" si="6"/>
        <v>1.0283906225460573</v>
      </c>
      <c r="M46" s="19">
        <f t="shared" si="6"/>
        <v>0.99370843803691122</v>
      </c>
      <c r="N46" s="19">
        <f t="shared" si="6"/>
        <v>1.007592148502404</v>
      </c>
      <c r="O46" s="19">
        <f t="shared" si="6"/>
        <v>0.76461676064569795</v>
      </c>
    </row>
    <row r="47" spans="1:15" x14ac:dyDescent="0.2">
      <c r="A47" s="28">
        <v>2007</v>
      </c>
      <c r="D47" s="6"/>
      <c r="H47" s="19">
        <f t="shared" si="6"/>
        <v>0.99752173401513544</v>
      </c>
      <c r="I47" s="19">
        <f t="shared" si="6"/>
        <v>1.0089156595667921</v>
      </c>
      <c r="J47" s="19">
        <f t="shared" si="6"/>
        <v>1.0249401873092729</v>
      </c>
      <c r="K47" s="19">
        <f t="shared" si="6"/>
        <v>0.90867120852880101</v>
      </c>
      <c r="L47" s="19">
        <f t="shared" si="6"/>
        <v>0.99145042006629802</v>
      </c>
      <c r="M47" s="19">
        <f t="shared" si="6"/>
        <v>0.97421610250926038</v>
      </c>
      <c r="N47" s="19">
        <f t="shared" si="6"/>
        <v>0.9949370772929953</v>
      </c>
      <c r="O47" s="19">
        <f t="shared" si="6"/>
        <v>1.056726419573514</v>
      </c>
    </row>
    <row r="48" spans="1:15" x14ac:dyDescent="0.2">
      <c r="A48" s="28">
        <v>2008</v>
      </c>
      <c r="D48" s="6"/>
      <c r="H48" s="19">
        <f t="shared" si="6"/>
        <v>0.97742119209099732</v>
      </c>
      <c r="I48" s="19">
        <f t="shared" si="6"/>
        <v>0.99573036605305854</v>
      </c>
      <c r="J48" s="19">
        <f t="shared" si="6"/>
        <v>0.91713753829775102</v>
      </c>
      <c r="K48" s="19">
        <f t="shared" si="6"/>
        <v>0.98646258043613755</v>
      </c>
      <c r="L48" s="19">
        <f t="shared" si="6"/>
        <v>0.96124428647376625</v>
      </c>
      <c r="M48" s="19">
        <f t="shared" si="6"/>
        <v>1.038689505914731</v>
      </c>
      <c r="N48" s="19">
        <f t="shared" si="6"/>
        <v>0.88139978585240075</v>
      </c>
      <c r="O48" s="19">
        <f t="shared" si="6"/>
        <v>0.98372066588213125</v>
      </c>
    </row>
    <row r="49" spans="1:16" x14ac:dyDescent="0.2">
      <c r="A49" s="28">
        <v>2009</v>
      </c>
      <c r="D49" s="6"/>
      <c r="H49" s="19">
        <f t="shared" si="6"/>
        <v>0.96977985434053982</v>
      </c>
      <c r="I49" s="19">
        <f t="shared" si="6"/>
        <v>0.95192671045546262</v>
      </c>
      <c r="J49" s="19">
        <f t="shared" si="6"/>
        <v>0.87019166676042026</v>
      </c>
      <c r="K49" s="19">
        <f t="shared" si="6"/>
        <v>0.96704734822345761</v>
      </c>
      <c r="L49" s="19">
        <f t="shared" si="6"/>
        <v>0.95484503681477217</v>
      </c>
      <c r="M49" s="19">
        <f t="shared" si="6"/>
        <v>1.0006614893990782</v>
      </c>
      <c r="N49" s="19">
        <f t="shared" si="6"/>
        <v>0.9914784991693838</v>
      </c>
      <c r="O49" s="19">
        <f t="shared" si="6"/>
        <v>0.99334653624152836</v>
      </c>
    </row>
    <row r="50" spans="1:16" x14ac:dyDescent="0.2">
      <c r="A50" s="28">
        <v>2010</v>
      </c>
      <c r="D50" s="6"/>
      <c r="H50" s="19">
        <f t="shared" si="6"/>
        <v>0.71499999999999986</v>
      </c>
      <c r="I50" s="19">
        <f t="shared" si="6"/>
        <v>0.71499999999999997</v>
      </c>
      <c r="J50" s="19">
        <f t="shared" si="6"/>
        <v>0.71500000000000008</v>
      </c>
      <c r="K50" s="19">
        <f t="shared" si="6"/>
        <v>0.71499999999999986</v>
      </c>
      <c r="L50" s="19">
        <f t="shared" si="6"/>
        <v>0.71499999999999997</v>
      </c>
      <c r="M50" s="19">
        <f t="shared" si="6"/>
        <v>0.71383432963279247</v>
      </c>
      <c r="N50" s="19">
        <f t="shared" si="6"/>
        <v>0.71499999999999997</v>
      </c>
      <c r="O50" s="19">
        <f t="shared" si="6"/>
        <v>0.71133333333333337</v>
      </c>
    </row>
    <row r="51" spans="1:16" x14ac:dyDescent="0.2">
      <c r="A51" s="3"/>
      <c r="D51" s="6"/>
      <c r="E51" s="6"/>
      <c r="F51" s="6"/>
    </row>
    <row r="52" spans="1:16" x14ac:dyDescent="0.2">
      <c r="A52" t="s">
        <v>17</v>
      </c>
      <c r="D52" s="6"/>
      <c r="H52" s="19">
        <f t="shared" ref="H52:O52" si="7">H54</f>
        <v>0.95799296993399718</v>
      </c>
      <c r="I52" s="19">
        <f t="shared" si="7"/>
        <v>0.94922992993863697</v>
      </c>
      <c r="J52" s="19">
        <f t="shared" si="7"/>
        <v>0.93972909537121918</v>
      </c>
      <c r="K52" s="19">
        <f t="shared" si="7"/>
        <v>0.93324150547199569</v>
      </c>
      <c r="L52" s="19">
        <f>L54</f>
        <v>0.96369864191752541</v>
      </c>
      <c r="M52" s="19">
        <f t="shared" si="7"/>
        <v>0.94027818445741151</v>
      </c>
      <c r="N52" s="19">
        <f t="shared" si="7"/>
        <v>0.99874601740417934</v>
      </c>
      <c r="O52" s="19">
        <f t="shared" si="7"/>
        <v>0.94507066524045369</v>
      </c>
    </row>
    <row r="53" spans="1:16" x14ac:dyDescent="0.2">
      <c r="A53" s="3"/>
      <c r="D53" s="6"/>
      <c r="H53" s="10"/>
      <c r="I53" s="10"/>
      <c r="K53" s="9"/>
      <c r="L53" s="9"/>
      <c r="M53" s="9"/>
      <c r="N53" s="9"/>
      <c r="O53" s="9"/>
    </row>
    <row r="54" spans="1:16" x14ac:dyDescent="0.2">
      <c r="A54" t="s">
        <v>14</v>
      </c>
      <c r="D54" s="6"/>
      <c r="H54" s="19">
        <f>GEOMEAN(H43:H50)</f>
        <v>0.95799296993399718</v>
      </c>
      <c r="I54" s="19">
        <f t="shared" ref="I54:O54" si="8">GEOMEAN(I43:I50)</f>
        <v>0.94922992993863697</v>
      </c>
      <c r="J54" s="19">
        <f t="shared" si="8"/>
        <v>0.93972909537121918</v>
      </c>
      <c r="K54" s="19">
        <f t="shared" si="8"/>
        <v>0.93324150547199569</v>
      </c>
      <c r="L54" s="19">
        <f t="shared" si="8"/>
        <v>0.96369864191752541</v>
      </c>
      <c r="M54" s="19">
        <f t="shared" si="8"/>
        <v>0.94027818445741151</v>
      </c>
      <c r="N54" s="19">
        <f t="shared" si="8"/>
        <v>0.99874601740417934</v>
      </c>
      <c r="O54" s="19">
        <f t="shared" si="8"/>
        <v>0.94507066524045369</v>
      </c>
    </row>
    <row r="55" spans="1:16" x14ac:dyDescent="0.2">
      <c r="D55" s="6"/>
      <c r="H55" s="19"/>
      <c r="I55" s="19"/>
      <c r="J55" s="19"/>
      <c r="K55" s="19"/>
      <c r="L55" s="19"/>
      <c r="M55" s="19"/>
      <c r="N55" s="19"/>
      <c r="O55" s="19"/>
    </row>
    <row r="56" spans="1:16" x14ac:dyDescent="0.2">
      <c r="A56" s="13" t="s">
        <v>45</v>
      </c>
    </row>
    <row r="57" spans="1:16" x14ac:dyDescent="0.2">
      <c r="A57">
        <v>2011</v>
      </c>
      <c r="G57" s="6">
        <f>SUM(H57:O57)</f>
        <v>1432151791.8946061</v>
      </c>
      <c r="H57" s="6">
        <f>H38*'Rate Class Customer Model'!B14</f>
        <v>346038928.64706957</v>
      </c>
      <c r="I57" s="6">
        <f>I38*'Rate Class Customer Model'!C14</f>
        <v>136345149.12764698</v>
      </c>
      <c r="J57" s="6">
        <f>J38*'Rate Class Customer Model'!D14</f>
        <v>354796611.24520171</v>
      </c>
      <c r="K57" s="6">
        <f>K38*'Rate Class Customer Model'!E14</f>
        <v>355005541.92071027</v>
      </c>
      <c r="L57" s="6">
        <f>L38*'Rate Class Customer Model'!F14</f>
        <v>228573883.44155523</v>
      </c>
      <c r="M57" s="6">
        <f>M38*'Rate Class Customer Model'!G14</f>
        <v>8980968.1943711117</v>
      </c>
      <c r="N57" s="6">
        <f>N38*'Rate Class Customer Model'!H14</f>
        <v>99147.023262361021</v>
      </c>
      <c r="O57" s="6">
        <f>O38*'Rate Class Customer Model'!I14</f>
        <v>2311562.2947887261</v>
      </c>
    </row>
    <row r="60" spans="1:16" x14ac:dyDescent="0.2">
      <c r="A60" s="13" t="s">
        <v>44</v>
      </c>
      <c r="P60" s="6" t="s">
        <v>16</v>
      </c>
    </row>
    <row r="61" spans="1:16" x14ac:dyDescent="0.2">
      <c r="A61">
        <f>A57</f>
        <v>2011</v>
      </c>
      <c r="G61" s="15">
        <f>G21</f>
        <v>1596124706.9895363</v>
      </c>
      <c r="H61" s="6">
        <f t="shared" ref="H61:O61" si="9">H57+H69</f>
        <v>415279852.25739372</v>
      </c>
      <c r="I61" s="6">
        <f t="shared" si="9"/>
        <v>163627235.83475944</v>
      </c>
      <c r="J61" s="6">
        <f t="shared" si="9"/>
        <v>411591250.28186703</v>
      </c>
      <c r="K61" s="6">
        <f t="shared" si="9"/>
        <v>365660807.66153854</v>
      </c>
      <c r="L61" s="6">
        <f>L57+L69</f>
        <v>228573883.44155523</v>
      </c>
      <c r="M61" s="6">
        <f t="shared" si="9"/>
        <v>8980968.1943711117</v>
      </c>
      <c r="N61" s="6">
        <f t="shared" si="9"/>
        <v>99147.023262361021</v>
      </c>
      <c r="O61" s="6">
        <f t="shared" si="9"/>
        <v>2311562.2947887261</v>
      </c>
      <c r="P61" s="6">
        <f>SUM(H61:O61)</f>
        <v>1596124706.9895363</v>
      </c>
    </row>
    <row r="62" spans="1:16" x14ac:dyDescent="0.2">
      <c r="G62" s="21"/>
    </row>
    <row r="64" spans="1:16" x14ac:dyDescent="0.2">
      <c r="A64" t="s">
        <v>46</v>
      </c>
      <c r="H64" s="37">
        <v>1</v>
      </c>
      <c r="I64" s="37">
        <v>1</v>
      </c>
      <c r="J64" s="37">
        <v>0.8</v>
      </c>
      <c r="K64" s="37">
        <v>0.15</v>
      </c>
      <c r="L64" s="37">
        <v>0</v>
      </c>
      <c r="M64" s="37">
        <v>0</v>
      </c>
      <c r="N64" s="37">
        <v>0</v>
      </c>
      <c r="O64" s="37">
        <v>0</v>
      </c>
      <c r="P64" s="6" t="s">
        <v>16</v>
      </c>
    </row>
    <row r="65" spans="1:16" x14ac:dyDescent="0.2">
      <c r="A65">
        <f>A61</f>
        <v>2011</v>
      </c>
      <c r="B65"/>
      <c r="C65"/>
      <c r="D65"/>
      <c r="G65" s="6">
        <f>G61-G57</f>
        <v>163972915.09493017</v>
      </c>
      <c r="H65" s="6">
        <f t="shared" ref="H65:O65" si="10">H57*H64</f>
        <v>346038928.64706957</v>
      </c>
      <c r="I65" s="6">
        <f t="shared" si="10"/>
        <v>136345149.12764698</v>
      </c>
      <c r="J65" s="6">
        <f t="shared" si="10"/>
        <v>283837288.9961614</v>
      </c>
      <c r="K65" s="6">
        <f t="shared" si="10"/>
        <v>53250831.288106538</v>
      </c>
      <c r="L65" s="6">
        <f t="shared" si="10"/>
        <v>0</v>
      </c>
      <c r="M65" s="6">
        <f t="shared" si="10"/>
        <v>0</v>
      </c>
      <c r="N65" s="6">
        <f t="shared" si="10"/>
        <v>0</v>
      </c>
      <c r="O65" s="6">
        <f t="shared" si="10"/>
        <v>0</v>
      </c>
      <c r="P65" s="6">
        <f>SUM(H65:O65)</f>
        <v>819472198.05898452</v>
      </c>
    </row>
    <row r="67" spans="1:16" ht="12" customHeight="1" x14ac:dyDescent="0.2"/>
    <row r="68" spans="1:16" x14ac:dyDescent="0.2">
      <c r="A68" t="s">
        <v>47</v>
      </c>
    </row>
    <row r="69" spans="1:16" x14ac:dyDescent="0.2">
      <c r="A69">
        <f>A65</f>
        <v>2011</v>
      </c>
      <c r="H69" s="6">
        <f t="shared" ref="H69:O69" si="11">H65/$P$65*$G$65</f>
        <v>69240923.610324115</v>
      </c>
      <c r="I69" s="6">
        <f t="shared" si="11"/>
        <v>27282086.707112458</v>
      </c>
      <c r="J69" s="6">
        <f t="shared" si="11"/>
        <v>56794639.036665313</v>
      </c>
      <c r="K69" s="6">
        <f t="shared" si="11"/>
        <v>10655265.740828279</v>
      </c>
      <c r="L69" s="6">
        <f>L65/$P$65*$G$65</f>
        <v>0</v>
      </c>
      <c r="M69" s="6">
        <f t="shared" si="11"/>
        <v>0</v>
      </c>
      <c r="N69" s="6">
        <f t="shared" si="11"/>
        <v>0</v>
      </c>
      <c r="O69" s="6">
        <f t="shared" si="11"/>
        <v>0</v>
      </c>
    </row>
  </sheetData>
  <sheetProtection selectLockedCells="1" selectUnlockedCells="1"/>
  <phoneticPr fontId="0" type="noConversion"/>
  <pageMargins left="0.39370078740157499" right="0.35433070866141703" top="0.74803149606299202" bottom="0.74803149606299202" header="0.511811023622047" footer="0.511811023622047"/>
  <pageSetup paperSize="3" scale="7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O8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41" sqref="D41"/>
    </sheetView>
  </sheetViews>
  <sheetFormatPr defaultRowHeight="12.75" x14ac:dyDescent="0.2"/>
  <cols>
    <col min="1" max="1" width="11" customWidth="1"/>
    <col min="2" max="2" width="12.42578125" style="6" customWidth="1"/>
    <col min="3" max="4" width="14.140625" style="6" bestFit="1" customWidth="1"/>
    <col min="5" max="5" width="17.5703125" style="6" customWidth="1"/>
    <col min="6" max="6" width="16" style="6" customWidth="1"/>
    <col min="7" max="7" width="11.140625" style="6" customWidth="1"/>
    <col min="8" max="8" width="9.28515625" style="6" customWidth="1"/>
    <col min="9" max="9" width="10.7109375" style="6" customWidth="1"/>
    <col min="10" max="10" width="10.140625" style="6" customWidth="1"/>
    <col min="11" max="11" width="12.7109375" style="6" bestFit="1" customWidth="1"/>
    <col min="12" max="12" width="11.7109375" style="6" bestFit="1" customWidth="1"/>
    <col min="13" max="13" width="10.7109375" style="6" bestFit="1" customWidth="1"/>
    <col min="14" max="15" width="9.140625" style="6"/>
  </cols>
  <sheetData>
    <row r="1" spans="1:13" ht="12.75" customHeight="1" x14ac:dyDescent="0.2"/>
    <row r="2" spans="1:13" ht="52.5" customHeight="1" x14ac:dyDescent="0.2">
      <c r="B2" s="8" t="str">
        <f>'Rate Class Energy Model'!H2</f>
        <v xml:space="preserve">Residential </v>
      </c>
      <c r="C2" s="8" t="str">
        <f>'Rate Class Energy Model'!I2</f>
        <v>General Service &lt; 50 kW</v>
      </c>
      <c r="D2" s="8" t="str">
        <f>'Rate Class Energy Model'!J2</f>
        <v>General Service &gt; 50 to 999 kW</v>
      </c>
      <c r="E2" s="8" t="str">
        <f>'Rate Class Energy Model'!K2</f>
        <v>General Service &gt; 1000 to 4999 kW</v>
      </c>
      <c r="F2" s="233" t="s">
        <v>69</v>
      </c>
      <c r="G2" s="8" t="str">
        <f>'Rate Class Energy Model'!M2</f>
        <v xml:space="preserve">Streetlights </v>
      </c>
      <c r="H2" s="8" t="str">
        <f>'Rate Class Energy Model'!N2</f>
        <v>Sentinel Lights</v>
      </c>
      <c r="I2" s="8" t="str">
        <f>'Rate Class Energy Model'!O2</f>
        <v xml:space="preserve">Unmetered Loads </v>
      </c>
      <c r="J2" s="7" t="s">
        <v>9</v>
      </c>
    </row>
    <row r="3" spans="1:13" x14ac:dyDescent="0.2">
      <c r="A3" s="4">
        <v>2000</v>
      </c>
      <c r="B3" s="30"/>
      <c r="C3" s="251" t="s">
        <v>114</v>
      </c>
      <c r="D3" s="30"/>
      <c r="E3" s="30"/>
      <c r="F3" s="30"/>
      <c r="G3" s="30"/>
      <c r="H3" s="30"/>
      <c r="I3" s="30"/>
      <c r="J3" s="29"/>
    </row>
    <row r="4" spans="1:13" x14ac:dyDescent="0.2">
      <c r="A4" s="4">
        <v>2001</v>
      </c>
      <c r="B4" s="29"/>
      <c r="C4" s="29"/>
      <c r="D4" s="29"/>
      <c r="E4" s="30"/>
      <c r="F4" s="30"/>
      <c r="G4" s="30"/>
      <c r="H4" s="30"/>
      <c r="I4" s="29"/>
      <c r="J4" s="29"/>
      <c r="L4" s="21"/>
      <c r="M4" s="21"/>
    </row>
    <row r="5" spans="1:13" x14ac:dyDescent="0.2">
      <c r="A5" s="4">
        <v>2002</v>
      </c>
      <c r="B5" s="30">
        <f>[2]Summary!$C$25</f>
        <v>36847</v>
      </c>
      <c r="C5" s="30">
        <f>[2]Summary!$C$26</f>
        <v>3212.75</v>
      </c>
      <c r="D5" s="30">
        <f>[2]Summary!$C$27</f>
        <v>445.5</v>
      </c>
      <c r="E5" s="30">
        <f>[2]Summary!$C$28</f>
        <v>35.416666666666664</v>
      </c>
      <c r="F5" s="30">
        <v>4</v>
      </c>
      <c r="G5" s="30">
        <v>10737</v>
      </c>
      <c r="H5" s="30">
        <f>[2]Summary!$C$31</f>
        <v>33.545454545454547</v>
      </c>
      <c r="I5" s="30">
        <f>+'[4]Monthly Summary'!$C$16</f>
        <v>568</v>
      </c>
      <c r="J5" s="29">
        <f>SUM(B5:I5)</f>
        <v>51883.21212121212</v>
      </c>
      <c r="L5" s="178"/>
      <c r="M5" s="21"/>
    </row>
    <row r="6" spans="1:13" x14ac:dyDescent="0.2">
      <c r="A6" s="4">
        <v>2003</v>
      </c>
      <c r="B6" s="30">
        <f>[2]Summary!$E$25</f>
        <v>38064.333333333336</v>
      </c>
      <c r="C6" s="30">
        <f>[2]Summary!$E$26</f>
        <v>3248.6666666666665</v>
      </c>
      <c r="D6" s="30">
        <f>[2]Summary!$E$27</f>
        <v>461</v>
      </c>
      <c r="E6" s="30">
        <f>[2]Summary!$E$28</f>
        <v>36.833333333333336</v>
      </c>
      <c r="F6" s="30">
        <v>4</v>
      </c>
      <c r="G6" s="30">
        <v>10876</v>
      </c>
      <c r="H6" s="30">
        <f>[2]Summary!$E$31</f>
        <v>29.666666666666668</v>
      </c>
      <c r="I6" s="30">
        <f>+'[4]Monthly Summary'!$C$31</f>
        <v>588</v>
      </c>
      <c r="J6" s="29">
        <f t="shared" ref="J6:J14" si="0">SUM(B6:I6)</f>
        <v>53308.5</v>
      </c>
      <c r="L6" s="178"/>
      <c r="M6" s="21"/>
    </row>
    <row r="7" spans="1:13" x14ac:dyDescent="0.2">
      <c r="A7" s="4">
        <v>2004</v>
      </c>
      <c r="B7" s="30">
        <f>[2]Summary!$G$25</f>
        <v>39400.5</v>
      </c>
      <c r="C7" s="30">
        <f>[2]Summary!$G$26</f>
        <v>3323.8333333333335</v>
      </c>
      <c r="D7" s="30">
        <f>[2]Summary!$G$27</f>
        <v>487.83333333333331</v>
      </c>
      <c r="E7" s="30">
        <f>[2]Summary!$G$28</f>
        <v>38</v>
      </c>
      <c r="F7" s="30">
        <v>4</v>
      </c>
      <c r="G7" s="30">
        <v>11253</v>
      </c>
      <c r="H7" s="30">
        <f>[2]Summary!$G$31</f>
        <v>29.416666666666668</v>
      </c>
      <c r="I7" s="30">
        <f>+'[4]Monthly Summary'!$C$46</f>
        <v>602</v>
      </c>
      <c r="J7" s="29">
        <f t="shared" si="0"/>
        <v>55138.583333333336</v>
      </c>
      <c r="L7" s="178"/>
      <c r="M7" s="21"/>
    </row>
    <row r="8" spans="1:13" x14ac:dyDescent="0.2">
      <c r="A8" s="4">
        <v>2005</v>
      </c>
      <c r="B8" s="30">
        <f>[2]Summary!$I$25</f>
        <v>40692.083333333336</v>
      </c>
      <c r="C8" s="30">
        <f>[2]Summary!$I$26</f>
        <v>3421.9166666666665</v>
      </c>
      <c r="D8" s="30">
        <f>[2]Summary!$I$27</f>
        <v>497.66666666666669</v>
      </c>
      <c r="E8" s="30">
        <f>[2]Summary!$I$28</f>
        <v>38.666666666666664</v>
      </c>
      <c r="F8" s="30">
        <v>4</v>
      </c>
      <c r="G8" s="30">
        <v>11838</v>
      </c>
      <c r="H8" s="30">
        <f>[2]Summary!$I$31</f>
        <v>31</v>
      </c>
      <c r="I8" s="30">
        <f>+'[4]Monthly Summary'!$C$61</f>
        <v>595</v>
      </c>
      <c r="J8" s="29">
        <f t="shared" si="0"/>
        <v>57118.333333333328</v>
      </c>
      <c r="L8" s="178"/>
      <c r="M8" s="21"/>
    </row>
    <row r="9" spans="1:13" x14ac:dyDescent="0.2">
      <c r="A9" s="4">
        <v>2006</v>
      </c>
      <c r="B9" s="30">
        <f>[2]Summary!$K$25</f>
        <v>41642.5</v>
      </c>
      <c r="C9" s="30">
        <f>[2]Summary!$K$26</f>
        <v>3468.416666666667</v>
      </c>
      <c r="D9" s="30">
        <f>[2]Summary!$K$27</f>
        <v>509.83333333333331</v>
      </c>
      <c r="E9" s="30">
        <f>[2]Summary!$K$28</f>
        <v>40</v>
      </c>
      <c r="F9" s="30">
        <v>4</v>
      </c>
      <c r="G9" s="30">
        <v>12237</v>
      </c>
      <c r="H9" s="30">
        <f>[2]Summary!$K$31</f>
        <v>30.583333333333332</v>
      </c>
      <c r="I9" s="30">
        <f>+'[4]Monthly Summary'!$C$76</f>
        <v>581</v>
      </c>
      <c r="J9" s="29">
        <f t="shared" si="0"/>
        <v>58513.333333333336</v>
      </c>
      <c r="L9" s="178"/>
      <c r="M9" s="21"/>
    </row>
    <row r="10" spans="1:13" x14ac:dyDescent="0.2">
      <c r="A10" s="4">
        <v>2007</v>
      </c>
      <c r="B10" s="30">
        <f>[2]Summary!$M$25</f>
        <v>42728.25</v>
      </c>
      <c r="C10" s="30">
        <f>[2]Summary!$M$26</f>
        <v>3533.916666666667</v>
      </c>
      <c r="D10" s="30">
        <f>[2]Summary!$M$27</f>
        <v>520.83333333333337</v>
      </c>
      <c r="E10" s="30">
        <f>[2]Summary!$M$28</f>
        <v>40.833333333333336</v>
      </c>
      <c r="F10" s="30">
        <v>4</v>
      </c>
      <c r="G10" s="30">
        <v>12574</v>
      </c>
      <c r="H10" s="30">
        <f>[2]Summary!$M$31</f>
        <v>29</v>
      </c>
      <c r="I10" s="30">
        <f>+'[4]Monthly Summary'!$C$91</f>
        <v>579</v>
      </c>
      <c r="J10" s="29">
        <f t="shared" si="0"/>
        <v>60009.833333333336</v>
      </c>
      <c r="L10" s="178"/>
      <c r="M10" s="21"/>
    </row>
    <row r="11" spans="1:13" x14ac:dyDescent="0.2">
      <c r="A11" s="4">
        <v>2008</v>
      </c>
      <c r="B11" s="30">
        <f>[2]Summary!$O$25</f>
        <v>43746.916666666672</v>
      </c>
      <c r="C11" s="30">
        <f>[2]Summary!$O$26</f>
        <v>3580.8333333333335</v>
      </c>
      <c r="D11" s="30">
        <f>[2]Summary!$O$27</f>
        <v>539.08333333333337</v>
      </c>
      <c r="E11" s="30">
        <f>[2]Summary!$O$28</f>
        <v>40.916666666666664</v>
      </c>
      <c r="F11" s="30">
        <v>4</v>
      </c>
      <c r="G11" s="30">
        <v>12781</v>
      </c>
      <c r="H11" s="30">
        <f>[2]Summary!$O$31</f>
        <v>27.833333333333332</v>
      </c>
      <c r="I11" s="30">
        <f>+'[4]Monthly Summary'!$C$106</f>
        <v>580</v>
      </c>
      <c r="J11" s="29">
        <f t="shared" si="0"/>
        <v>61300.583333333343</v>
      </c>
      <c r="L11" s="178"/>
      <c r="M11" s="21"/>
    </row>
    <row r="12" spans="1:13" x14ac:dyDescent="0.2">
      <c r="A12" s="4">
        <v>2009</v>
      </c>
      <c r="B12" s="30">
        <f>[2]Summary!$Q$25</f>
        <v>44583.5</v>
      </c>
      <c r="C12" s="30">
        <f>[2]Summary!$Q$26</f>
        <v>3623.75</v>
      </c>
      <c r="D12" s="30">
        <f>[2]Summary!$Q$27</f>
        <v>537.5</v>
      </c>
      <c r="E12" s="30">
        <f>[2]Summary!$Q$28</f>
        <v>41</v>
      </c>
      <c r="F12" s="30">
        <v>4</v>
      </c>
      <c r="G12" s="30">
        <v>12860</v>
      </c>
      <c r="H12" s="30">
        <f>[2]Summary!$Q$31</f>
        <v>28.083333333333332</v>
      </c>
      <c r="I12" s="30">
        <f>+'[4]Monthly Summary'!$C$121</f>
        <v>582</v>
      </c>
      <c r="J12" s="29">
        <f t="shared" si="0"/>
        <v>62259.833333333336</v>
      </c>
      <c r="L12" s="178"/>
      <c r="M12" s="21"/>
    </row>
    <row r="13" spans="1:13" x14ac:dyDescent="0.2">
      <c r="A13" s="4">
        <v>2010</v>
      </c>
      <c r="B13" s="30">
        <v>44583.5</v>
      </c>
      <c r="C13" s="30">
        <v>3623.75</v>
      </c>
      <c r="D13" s="30">
        <v>537.5</v>
      </c>
      <c r="E13" s="30">
        <v>41</v>
      </c>
      <c r="F13" s="30">
        <v>4</v>
      </c>
      <c r="G13" s="30">
        <v>12881</v>
      </c>
      <c r="H13" s="30">
        <v>28.083333333333332</v>
      </c>
      <c r="I13" s="30">
        <f>+'[4]Monthly Summary'!$C$136</f>
        <v>585</v>
      </c>
      <c r="J13" s="29">
        <f t="shared" si="0"/>
        <v>62283.833333333336</v>
      </c>
      <c r="L13" s="178"/>
      <c r="M13" s="21"/>
    </row>
    <row r="14" spans="1:13" x14ac:dyDescent="0.2">
      <c r="A14" s="4">
        <v>2011</v>
      </c>
      <c r="B14" s="15">
        <f>B13*B28</f>
        <v>45658.397280858473</v>
      </c>
      <c r="C14" s="15">
        <f t="shared" ref="C14:I14" si="1">C13*C28</f>
        <v>3678.6916824129726</v>
      </c>
      <c r="D14" s="15">
        <f t="shared" si="1"/>
        <v>550.26236906109159</v>
      </c>
      <c r="E14" s="15">
        <f t="shared" si="1"/>
        <v>41.757152757278526</v>
      </c>
      <c r="F14" s="15">
        <f t="shared" si="1"/>
        <v>4</v>
      </c>
      <c r="G14" s="15">
        <f t="shared" si="1"/>
        <v>13177.496472212018</v>
      </c>
      <c r="H14" s="15">
        <f t="shared" si="1"/>
        <v>27.466323225128274</v>
      </c>
      <c r="I14" s="15">
        <f t="shared" si="1"/>
        <v>587.16046720730958</v>
      </c>
      <c r="J14" s="252">
        <f t="shared" si="0"/>
        <v>63725.231747734273</v>
      </c>
    </row>
    <row r="15" spans="1:13" x14ac:dyDescent="0.2">
      <c r="A15" s="4"/>
      <c r="B15" s="15"/>
      <c r="C15" s="15"/>
      <c r="D15" s="15"/>
      <c r="E15" s="15"/>
      <c r="F15" s="15"/>
      <c r="G15" s="15"/>
      <c r="H15" s="15"/>
      <c r="I15" s="15"/>
      <c r="J15" s="15"/>
    </row>
    <row r="16" spans="1:13" x14ac:dyDescent="0.2">
      <c r="A16" s="13" t="s">
        <v>42</v>
      </c>
      <c r="B16" s="5"/>
      <c r="C16" s="5"/>
      <c r="D16" s="5"/>
      <c r="E16" s="5"/>
      <c r="F16" s="5"/>
      <c r="G16" s="5"/>
      <c r="H16" s="5"/>
      <c r="I16" s="5"/>
    </row>
    <row r="17" spans="1:10" x14ac:dyDescent="0.2">
      <c r="A17" s="4">
        <v>2000</v>
      </c>
      <c r="B17" s="18"/>
      <c r="C17" s="18"/>
      <c r="D17" s="18"/>
      <c r="E17" s="18"/>
      <c r="F17" s="18"/>
      <c r="G17" s="18"/>
      <c r="H17" s="18"/>
      <c r="I17" s="18"/>
    </row>
    <row r="18" spans="1:10" x14ac:dyDescent="0.2">
      <c r="A18" s="4">
        <v>2001</v>
      </c>
      <c r="B18" s="18"/>
      <c r="C18" s="18"/>
      <c r="D18" s="18"/>
      <c r="E18" s="18"/>
      <c r="F18" s="18"/>
      <c r="G18" s="18"/>
      <c r="H18" s="18"/>
      <c r="I18" s="18"/>
    </row>
    <row r="19" spans="1:10" x14ac:dyDescent="0.2">
      <c r="A19" s="4">
        <v>2002</v>
      </c>
      <c r="B19" s="18"/>
      <c r="C19" s="18"/>
      <c r="D19" s="18"/>
      <c r="E19" s="18"/>
      <c r="F19" s="18"/>
      <c r="G19" s="18"/>
      <c r="H19" s="18"/>
      <c r="I19" s="18"/>
    </row>
    <row r="20" spans="1:10" x14ac:dyDescent="0.2">
      <c r="A20" s="4">
        <v>2003</v>
      </c>
      <c r="B20" s="18">
        <f t="shared" ref="B20:I27" si="2">B6/B5</f>
        <v>1.0330375154919895</v>
      </c>
      <c r="C20" s="18">
        <f t="shared" si="2"/>
        <v>1.0111794153502969</v>
      </c>
      <c r="D20" s="18">
        <f t="shared" si="2"/>
        <v>1.0347923681257014</v>
      </c>
      <c r="E20" s="18">
        <f t="shared" ref="E20:F27" si="3">E6/E5</f>
        <v>1.04</v>
      </c>
      <c r="F20" s="18">
        <f t="shared" si="3"/>
        <v>1</v>
      </c>
      <c r="G20" s="18">
        <f t="shared" si="2"/>
        <v>1.0129458880506659</v>
      </c>
      <c r="H20" s="18">
        <f t="shared" si="2"/>
        <v>0.88437217705510385</v>
      </c>
      <c r="I20" s="18">
        <f t="shared" si="2"/>
        <v>1.0352112676056338</v>
      </c>
      <c r="J20" s="18">
        <f t="shared" ref="J20:J27" si="4">J6/J5</f>
        <v>1.0274710801532112</v>
      </c>
    </row>
    <row r="21" spans="1:10" x14ac:dyDescent="0.2">
      <c r="A21" s="4">
        <v>2004</v>
      </c>
      <c r="B21" s="18">
        <f t="shared" si="2"/>
        <v>1.0351028521888381</v>
      </c>
      <c r="C21" s="18">
        <f t="shared" si="2"/>
        <v>1.0231376975169302</v>
      </c>
      <c r="D21" s="18">
        <f t="shared" si="2"/>
        <v>1.0582067968185105</v>
      </c>
      <c r="E21" s="18">
        <f t="shared" si="3"/>
        <v>1.0316742081447963</v>
      </c>
      <c r="F21" s="18">
        <f t="shared" si="3"/>
        <v>1</v>
      </c>
      <c r="G21" s="18">
        <f t="shared" si="2"/>
        <v>1.0346634792203016</v>
      </c>
      <c r="H21" s="18">
        <f t="shared" si="2"/>
        <v>0.9915730337078652</v>
      </c>
      <c r="I21" s="18">
        <f t="shared" si="2"/>
        <v>1.0238095238095237</v>
      </c>
      <c r="J21" s="18">
        <f t="shared" si="4"/>
        <v>1.0343300474283339</v>
      </c>
    </row>
    <row r="22" spans="1:10" x14ac:dyDescent="0.2">
      <c r="A22" s="4">
        <v>2005</v>
      </c>
      <c r="B22" s="18">
        <f t="shared" si="2"/>
        <v>1.0327808868753781</v>
      </c>
      <c r="C22" s="18">
        <f t="shared" si="2"/>
        <v>1.0295091009376722</v>
      </c>
      <c r="D22" s="18">
        <f t="shared" si="2"/>
        <v>1.0201571574991459</v>
      </c>
      <c r="E22" s="18">
        <f t="shared" si="3"/>
        <v>1.0175438596491226</v>
      </c>
      <c r="F22" s="18">
        <f t="shared" si="3"/>
        <v>1</v>
      </c>
      <c r="G22" s="18">
        <f t="shared" si="2"/>
        <v>1.0519861370301253</v>
      </c>
      <c r="H22" s="18">
        <f t="shared" si="2"/>
        <v>1.0538243626062322</v>
      </c>
      <c r="I22" s="18">
        <f t="shared" si="2"/>
        <v>0.98837209302325579</v>
      </c>
      <c r="J22" s="18">
        <f t="shared" si="4"/>
        <v>1.0359049848638959</v>
      </c>
    </row>
    <row r="23" spans="1:10" x14ac:dyDescent="0.2">
      <c r="A23" s="4">
        <v>2006</v>
      </c>
      <c r="B23" s="18">
        <f t="shared" si="2"/>
        <v>1.0233563039493758</v>
      </c>
      <c r="C23" s="18">
        <f t="shared" si="2"/>
        <v>1.0135888756301294</v>
      </c>
      <c r="D23" s="18">
        <f t="shared" si="2"/>
        <v>1.024447421299397</v>
      </c>
      <c r="E23" s="18">
        <f t="shared" si="3"/>
        <v>1.0344827586206897</v>
      </c>
      <c r="F23" s="18">
        <f t="shared" si="3"/>
        <v>1</v>
      </c>
      <c r="G23" s="18">
        <f t="shared" si="2"/>
        <v>1.0337050177394831</v>
      </c>
      <c r="H23" s="18">
        <f t="shared" si="2"/>
        <v>0.98655913978494625</v>
      </c>
      <c r="I23" s="18">
        <f t="shared" si="2"/>
        <v>0.97647058823529409</v>
      </c>
      <c r="J23" s="18">
        <f t="shared" si="4"/>
        <v>1.0244229815295733</v>
      </c>
    </row>
    <row r="24" spans="1:10" x14ac:dyDescent="0.2">
      <c r="A24" s="4">
        <v>2007</v>
      </c>
      <c r="B24" s="18">
        <f t="shared" si="2"/>
        <v>1.0260731224109985</v>
      </c>
      <c r="C24" s="18">
        <f t="shared" si="2"/>
        <v>1.018884697628601</v>
      </c>
      <c r="D24" s="18">
        <f t="shared" si="2"/>
        <v>1.0215756783262506</v>
      </c>
      <c r="E24" s="18">
        <f t="shared" si="3"/>
        <v>1.0208333333333335</v>
      </c>
      <c r="F24" s="18">
        <f t="shared" si="3"/>
        <v>1</v>
      </c>
      <c r="G24" s="18">
        <f t="shared" si="2"/>
        <v>1.0275394295987579</v>
      </c>
      <c r="H24" s="18">
        <f t="shared" si="2"/>
        <v>0.94822888283378748</v>
      </c>
      <c r="I24" s="18">
        <f t="shared" si="2"/>
        <v>0.99655765920826167</v>
      </c>
      <c r="J24" s="18">
        <f t="shared" si="4"/>
        <v>1.0255753674376211</v>
      </c>
    </row>
    <row r="25" spans="1:10" x14ac:dyDescent="0.2">
      <c r="A25" s="4">
        <v>2008</v>
      </c>
      <c r="B25" s="18">
        <f t="shared" si="2"/>
        <v>1.0238405894616951</v>
      </c>
      <c r="C25" s="18">
        <f t="shared" si="2"/>
        <v>1.0132761100761667</v>
      </c>
      <c r="D25" s="18">
        <f t="shared" si="2"/>
        <v>1.03504</v>
      </c>
      <c r="E25" s="18">
        <f t="shared" si="3"/>
        <v>1.0020408163265304</v>
      </c>
      <c r="F25" s="18">
        <f t="shared" si="3"/>
        <v>1</v>
      </c>
      <c r="G25" s="18">
        <f t="shared" si="2"/>
        <v>1.0164625417528232</v>
      </c>
      <c r="H25" s="18">
        <f t="shared" si="2"/>
        <v>0.95977011494252873</v>
      </c>
      <c r="I25" s="18">
        <f t="shared" si="2"/>
        <v>1.0017271157167531</v>
      </c>
      <c r="J25" s="18">
        <f t="shared" si="4"/>
        <v>1.0215089749179997</v>
      </c>
    </row>
    <row r="26" spans="1:10" x14ac:dyDescent="0.2">
      <c r="A26" s="4">
        <v>2009</v>
      </c>
      <c r="B26" s="18">
        <f t="shared" si="2"/>
        <v>1.01912325249589</v>
      </c>
      <c r="C26" s="18">
        <f t="shared" si="2"/>
        <v>1.0119851058878286</v>
      </c>
      <c r="D26" s="18">
        <f t="shared" si="2"/>
        <v>0.99706291544288139</v>
      </c>
      <c r="E26" s="18">
        <f t="shared" si="3"/>
        <v>1.0020366598778006</v>
      </c>
      <c r="F26" s="18">
        <f t="shared" si="3"/>
        <v>1</v>
      </c>
      <c r="G26" s="18">
        <f t="shared" si="2"/>
        <v>1.0061810499960879</v>
      </c>
      <c r="H26" s="18">
        <f t="shared" si="2"/>
        <v>1.0089820359281436</v>
      </c>
      <c r="I26" s="18">
        <f t="shared" si="2"/>
        <v>1.0034482758620689</v>
      </c>
      <c r="J26" s="18">
        <f t="shared" si="4"/>
        <v>1.0156483013348159</v>
      </c>
    </row>
    <row r="27" spans="1:10" x14ac:dyDescent="0.2">
      <c r="A27" s="4">
        <v>2010</v>
      </c>
      <c r="B27" s="18">
        <f t="shared" si="2"/>
        <v>1</v>
      </c>
      <c r="C27" s="18">
        <f t="shared" si="2"/>
        <v>1</v>
      </c>
      <c r="D27" s="18">
        <f t="shared" si="2"/>
        <v>1</v>
      </c>
      <c r="E27" s="18">
        <f t="shared" si="3"/>
        <v>1</v>
      </c>
      <c r="F27" s="18">
        <f t="shared" si="3"/>
        <v>1</v>
      </c>
      <c r="G27" s="18">
        <f t="shared" si="2"/>
        <v>1.001632970451011</v>
      </c>
      <c r="H27" s="18">
        <f t="shared" si="2"/>
        <v>1</v>
      </c>
      <c r="I27" s="18">
        <f t="shared" si="2"/>
        <v>1.0051546391752577</v>
      </c>
      <c r="J27" s="18">
        <f t="shared" si="4"/>
        <v>1.0003854812760502</v>
      </c>
    </row>
    <row r="28" spans="1:10" x14ac:dyDescent="0.2">
      <c r="A28" t="s">
        <v>62</v>
      </c>
      <c r="B28" s="19">
        <f>B30</f>
        <v>1.0241097554220389</v>
      </c>
      <c r="C28" s="19">
        <f t="shared" ref="C28:I28" si="5">C30</f>
        <v>1.0151615543050632</v>
      </c>
      <c r="D28" s="19">
        <f t="shared" si="5"/>
        <v>1.0237439424392403</v>
      </c>
      <c r="E28" s="19">
        <f t="shared" si="5"/>
        <v>1.0184671404214274</v>
      </c>
      <c r="F28" s="19">
        <f>F30</f>
        <v>1</v>
      </c>
      <c r="G28" s="19">
        <f t="shared" si="5"/>
        <v>1.0230181253172905</v>
      </c>
      <c r="H28" s="19">
        <f t="shared" si="5"/>
        <v>0.97802931365441936</v>
      </c>
      <c r="I28" s="19">
        <f t="shared" si="5"/>
        <v>1.0036931063372814</v>
      </c>
      <c r="J28" s="19">
        <f>J30</f>
        <v>1.0231011192548802</v>
      </c>
    </row>
    <row r="29" spans="1:10" x14ac:dyDescent="0.2">
      <c r="B29" s="19"/>
      <c r="C29" s="19"/>
      <c r="D29" s="19"/>
      <c r="E29" s="19"/>
      <c r="F29" s="19"/>
      <c r="G29" s="19"/>
      <c r="H29" s="19"/>
      <c r="I29" s="19"/>
      <c r="J29" s="19"/>
    </row>
    <row r="30" spans="1:10" x14ac:dyDescent="0.2">
      <c r="A30" t="s">
        <v>14</v>
      </c>
      <c r="B30" s="19">
        <f>GEOMEAN(B17:B27)</f>
        <v>1.0241097554220389</v>
      </c>
      <c r="C30" s="19">
        <f t="shared" ref="C30:J30" si="6">GEOMEAN(C17:C27)</f>
        <v>1.0151615543050632</v>
      </c>
      <c r="D30" s="19">
        <f t="shared" si="6"/>
        <v>1.0237439424392403</v>
      </c>
      <c r="E30" s="19">
        <f t="shared" si="6"/>
        <v>1.0184671404214274</v>
      </c>
      <c r="F30" s="19">
        <f t="shared" si="6"/>
        <v>1</v>
      </c>
      <c r="G30" s="19">
        <f t="shared" si="6"/>
        <v>1.0230181253172905</v>
      </c>
      <c r="H30" s="19">
        <f t="shared" si="6"/>
        <v>0.97802931365441936</v>
      </c>
      <c r="I30" s="19">
        <f t="shared" si="6"/>
        <v>1.0036931063372814</v>
      </c>
      <c r="J30" s="19">
        <f t="shared" si="6"/>
        <v>1.0231011192548802</v>
      </c>
    </row>
    <row r="31" spans="1:10" x14ac:dyDescent="0.2">
      <c r="A31" s="4"/>
      <c r="B31" s="19"/>
      <c r="C31" s="19"/>
      <c r="D31" s="19"/>
      <c r="E31" s="19"/>
      <c r="F31" s="19"/>
      <c r="G31" s="19"/>
      <c r="H31" s="19"/>
      <c r="I31" s="19"/>
    </row>
    <row r="32" spans="1:10" x14ac:dyDescent="0.2">
      <c r="A32" s="4"/>
      <c r="B32" s="19"/>
      <c r="C32" s="19"/>
      <c r="D32" s="19"/>
      <c r="E32" s="19"/>
      <c r="F32" s="19"/>
      <c r="G32" s="19"/>
      <c r="H32" s="19"/>
      <c r="I32" s="19"/>
    </row>
    <row r="33" spans="1:9" x14ac:dyDescent="0.2">
      <c r="A33" s="4"/>
      <c r="B33" s="19"/>
      <c r="C33" s="19"/>
      <c r="D33" s="19"/>
      <c r="E33" s="19"/>
      <c r="F33" s="19"/>
      <c r="G33" s="19"/>
      <c r="H33" s="19"/>
      <c r="I33" s="19"/>
    </row>
    <row r="34" spans="1:9" x14ac:dyDescent="0.2">
      <c r="A34" s="4"/>
      <c r="B34" s="19"/>
      <c r="C34" s="19"/>
      <c r="D34" s="19"/>
      <c r="E34" s="19"/>
      <c r="F34" s="19"/>
      <c r="G34" s="19"/>
      <c r="H34" s="19"/>
      <c r="I34" s="19"/>
    </row>
    <row r="35" spans="1:9" x14ac:dyDescent="0.2">
      <c r="A35" s="4"/>
      <c r="B35" s="19"/>
      <c r="C35" s="19"/>
      <c r="D35" s="19"/>
      <c r="E35" s="19"/>
      <c r="F35" s="19"/>
      <c r="G35" s="19"/>
      <c r="H35" s="19"/>
      <c r="I35" s="19"/>
    </row>
    <row r="36" spans="1:9" x14ac:dyDescent="0.2">
      <c r="A36" s="4"/>
      <c r="B36" s="19"/>
      <c r="C36" s="19"/>
      <c r="D36" s="19"/>
      <c r="E36" s="19"/>
      <c r="F36" s="19"/>
      <c r="G36" s="19"/>
      <c r="H36" s="19"/>
      <c r="I36" s="19"/>
    </row>
    <row r="37" spans="1:9" x14ac:dyDescent="0.2">
      <c r="A37" s="4"/>
      <c r="B37" s="19"/>
      <c r="C37" s="19"/>
      <c r="D37" s="19"/>
      <c r="E37" s="19"/>
      <c r="F37" s="19"/>
      <c r="G37" s="19"/>
      <c r="H37" s="19"/>
      <c r="I37" s="19"/>
    </row>
    <row r="38" spans="1:9" x14ac:dyDescent="0.2">
      <c r="A38" s="4"/>
      <c r="B38" s="19"/>
      <c r="C38" s="19"/>
      <c r="D38" s="19"/>
      <c r="E38" s="19"/>
      <c r="F38" s="19"/>
      <c r="G38" s="19"/>
      <c r="H38" s="19"/>
      <c r="I38" s="19"/>
    </row>
    <row r="39" spans="1:9" x14ac:dyDescent="0.2">
      <c r="B39" s="19"/>
      <c r="C39" s="19"/>
      <c r="D39" s="19"/>
      <c r="E39" s="19"/>
      <c r="F39" s="19"/>
      <c r="G39" s="19"/>
      <c r="H39" s="19"/>
      <c r="I39" s="19"/>
    </row>
    <row r="40" spans="1:9" x14ac:dyDescent="0.2">
      <c r="B40" s="19"/>
      <c r="C40" s="19"/>
      <c r="D40" s="19"/>
      <c r="E40" s="19"/>
      <c r="F40" s="19"/>
      <c r="G40" s="19"/>
      <c r="H40" s="19"/>
      <c r="I40" s="19"/>
    </row>
    <row r="41" spans="1:9" x14ac:dyDescent="0.2">
      <c r="B41" s="19"/>
      <c r="C41" s="19"/>
      <c r="D41" s="19"/>
      <c r="E41" s="19"/>
      <c r="F41" s="19"/>
      <c r="G41" s="19"/>
      <c r="H41" s="19"/>
      <c r="I41" s="19"/>
    </row>
    <row r="42" spans="1:9" x14ac:dyDescent="0.2">
      <c r="B42" s="19"/>
      <c r="C42" s="19"/>
      <c r="D42" s="19"/>
      <c r="E42" s="19"/>
      <c r="F42" s="19"/>
      <c r="G42" s="19"/>
      <c r="H42" s="19"/>
      <c r="I42" s="19"/>
    </row>
    <row r="43" spans="1:9" x14ac:dyDescent="0.2">
      <c r="B43" s="250"/>
      <c r="C43" s="19"/>
      <c r="D43" s="19"/>
      <c r="E43" s="19"/>
      <c r="F43" s="19"/>
      <c r="G43" s="19"/>
      <c r="H43" s="19"/>
      <c r="I43" s="19"/>
    </row>
    <row r="44" spans="1:9" x14ac:dyDescent="0.2">
      <c r="B44" s="19"/>
      <c r="C44" s="19"/>
      <c r="D44" s="19"/>
      <c r="E44" s="19"/>
      <c r="F44" s="19"/>
      <c r="G44" s="19"/>
      <c r="H44" s="19"/>
      <c r="I44" s="19"/>
    </row>
    <row r="45" spans="1:9" x14ac:dyDescent="0.2">
      <c r="B45" s="19"/>
      <c r="C45" s="19"/>
      <c r="D45" s="19"/>
      <c r="E45" s="19"/>
      <c r="F45" s="19"/>
      <c r="G45" s="19"/>
      <c r="H45" s="19"/>
      <c r="I45" s="19"/>
    </row>
    <row r="46" spans="1:9" x14ac:dyDescent="0.2">
      <c r="B46" s="19"/>
      <c r="C46" s="19"/>
      <c r="D46" s="19"/>
      <c r="E46" s="19"/>
      <c r="F46" s="19"/>
      <c r="G46" s="19"/>
      <c r="H46" s="19"/>
      <c r="I46" s="19"/>
    </row>
    <row r="47" spans="1:9" x14ac:dyDescent="0.2">
      <c r="B47" s="19"/>
      <c r="C47" s="19"/>
      <c r="D47" s="19"/>
      <c r="E47" s="19"/>
      <c r="F47" s="19"/>
      <c r="G47" s="19"/>
      <c r="H47" s="19"/>
      <c r="I47" s="19"/>
    </row>
    <row r="48" spans="1:9" x14ac:dyDescent="0.2">
      <c r="B48" s="19"/>
      <c r="C48" s="19"/>
      <c r="D48" s="19"/>
      <c r="E48" s="19"/>
      <c r="F48" s="19"/>
      <c r="G48" s="19"/>
      <c r="H48" s="19"/>
      <c r="I48" s="19"/>
    </row>
    <row r="49" spans="2:9" x14ac:dyDescent="0.2">
      <c r="B49" s="19"/>
      <c r="C49" s="19"/>
      <c r="D49" s="19"/>
      <c r="E49" s="19"/>
      <c r="F49" s="19"/>
      <c r="G49" s="19"/>
      <c r="H49" s="19"/>
      <c r="I49" s="19"/>
    </row>
    <row r="50" spans="2:9" x14ac:dyDescent="0.2">
      <c r="B50" s="19"/>
      <c r="C50" s="19"/>
      <c r="D50" s="19"/>
      <c r="E50" s="19"/>
      <c r="F50" s="19"/>
      <c r="G50" s="19"/>
      <c r="H50" s="19"/>
      <c r="I50" s="19"/>
    </row>
    <row r="51" spans="2:9" x14ac:dyDescent="0.2">
      <c r="B51" s="19"/>
      <c r="C51" s="19"/>
      <c r="D51" s="19"/>
      <c r="E51" s="19"/>
      <c r="F51" s="19"/>
      <c r="G51" s="19"/>
      <c r="H51" s="19"/>
      <c r="I51" s="19"/>
    </row>
    <row r="52" spans="2:9" x14ac:dyDescent="0.2">
      <c r="B52" s="19"/>
      <c r="C52" s="19"/>
      <c r="D52" s="19"/>
      <c r="E52" s="19"/>
      <c r="F52" s="19"/>
      <c r="G52" s="19"/>
      <c r="H52" s="19"/>
      <c r="I52" s="19"/>
    </row>
    <row r="53" spans="2:9" x14ac:dyDescent="0.2">
      <c r="B53" s="19"/>
      <c r="C53" s="19"/>
      <c r="D53" s="19"/>
      <c r="E53" s="19"/>
      <c r="F53" s="19"/>
      <c r="G53" s="19"/>
      <c r="H53" s="19"/>
      <c r="I53" s="19"/>
    </row>
    <row r="54" spans="2:9" x14ac:dyDescent="0.2">
      <c r="B54" s="19"/>
      <c r="C54" s="19"/>
      <c r="D54" s="19"/>
      <c r="E54" s="19"/>
      <c r="F54" s="19"/>
      <c r="G54" s="19"/>
      <c r="H54" s="19"/>
      <c r="I54" s="19"/>
    </row>
    <row r="55" spans="2:9" x14ac:dyDescent="0.2">
      <c r="B55" s="19"/>
      <c r="C55" s="19"/>
      <c r="D55" s="19"/>
      <c r="E55" s="19"/>
      <c r="F55" s="19"/>
      <c r="G55" s="19"/>
      <c r="H55" s="19"/>
      <c r="I55" s="19"/>
    </row>
    <row r="56" spans="2:9" x14ac:dyDescent="0.2">
      <c r="B56" s="19"/>
      <c r="C56" s="19"/>
      <c r="D56" s="19"/>
      <c r="E56" s="19"/>
      <c r="F56" s="19"/>
      <c r="G56" s="19"/>
      <c r="H56" s="19"/>
      <c r="I56" s="19"/>
    </row>
    <row r="57" spans="2:9" x14ac:dyDescent="0.2">
      <c r="B57" s="19"/>
      <c r="C57" s="19"/>
      <c r="E57" s="19"/>
      <c r="F57" s="19"/>
      <c r="G57" s="19"/>
      <c r="H57" s="19"/>
      <c r="I57" s="19"/>
    </row>
    <row r="63" spans="2:9" x14ac:dyDescent="0.2">
      <c r="D63" s="20"/>
    </row>
    <row r="64" spans="2:9" x14ac:dyDescent="0.2">
      <c r="B64" s="20"/>
      <c r="C64" s="20"/>
      <c r="D64" s="20"/>
      <c r="E64" s="20"/>
      <c r="F64" s="20"/>
      <c r="G64" s="20"/>
      <c r="H64" s="20"/>
      <c r="I64" s="20"/>
    </row>
    <row r="65" spans="2:9" x14ac:dyDescent="0.2">
      <c r="B65" s="20"/>
      <c r="C65" s="20"/>
      <c r="E65" s="20"/>
      <c r="F65" s="20"/>
      <c r="G65" s="20"/>
      <c r="H65" s="20"/>
      <c r="I65" s="20"/>
    </row>
    <row r="83" spans="2:9" x14ac:dyDescent="0.2">
      <c r="D83" s="11"/>
    </row>
    <row r="84" spans="2:9" x14ac:dyDescent="0.2">
      <c r="B84" s="11"/>
      <c r="C84" s="11"/>
      <c r="D84" s="11"/>
      <c r="E84" s="11"/>
      <c r="F84" s="11"/>
      <c r="G84" s="11"/>
      <c r="H84" s="11"/>
      <c r="I84" s="11"/>
    </row>
    <row r="85" spans="2:9" x14ac:dyDescent="0.2">
      <c r="B85" s="11"/>
      <c r="C85" s="11"/>
      <c r="E85" s="11"/>
      <c r="F85" s="11"/>
      <c r="G85" s="11"/>
      <c r="H85" s="11"/>
      <c r="I85" s="11"/>
    </row>
  </sheetData>
  <sheetProtection selectLockedCells="1" selectUnlockedCells="1"/>
  <phoneticPr fontId="0" type="noConversion"/>
  <pageMargins left="0.38" right="0.75" top="0.73" bottom="0.74" header="0.5" footer="0.5"/>
  <pageSetup orientation="landscape" verticalDpi="300" r:id="rId1"/>
  <headerFooter alignWithMargins="0">
    <oddFooter>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L55"/>
  <sheetViews>
    <sheetView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J21" sqref="J21"/>
    </sheetView>
  </sheetViews>
  <sheetFormatPr defaultRowHeight="12.75" x14ac:dyDescent="0.2"/>
  <cols>
    <col min="1" max="1" width="11" customWidth="1"/>
    <col min="2" max="2" width="14.140625" style="6" bestFit="1" customWidth="1"/>
    <col min="3" max="4" width="17.7109375" style="6" customWidth="1"/>
    <col min="5" max="6" width="12.5703125" style="6" customWidth="1"/>
    <col min="7" max="8" width="12.7109375" style="6" bestFit="1" customWidth="1"/>
    <col min="9" max="9" width="11.7109375" style="6" bestFit="1" customWidth="1"/>
    <col min="10" max="10" width="10.7109375" style="6" bestFit="1" customWidth="1"/>
    <col min="11" max="12" width="9.140625" style="6"/>
  </cols>
  <sheetData>
    <row r="1" spans="1:12" ht="42" customHeight="1" x14ac:dyDescent="0.2">
      <c r="B1" s="8" t="str">
        <f>'Rate Class Customer Model'!D2</f>
        <v>General Service &gt; 50 to 999 kW</v>
      </c>
      <c r="C1" s="8" t="str">
        <f>'Rate Class Customer Model'!E2</f>
        <v>General Service &gt; 1000 to 4999 kW</v>
      </c>
      <c r="D1" s="233" t="s">
        <v>69</v>
      </c>
      <c r="E1" s="8" t="str">
        <f>'Rate Class Customer Model'!G2</f>
        <v xml:space="preserve">Streetlights </v>
      </c>
      <c r="F1" s="8" t="str">
        <f>'Rate Class Customer Model'!H2</f>
        <v>Sentinel Lights</v>
      </c>
      <c r="G1" s="7" t="s">
        <v>9</v>
      </c>
    </row>
    <row r="2" spans="1:12" x14ac:dyDescent="0.2">
      <c r="A2" s="24">
        <v>2001</v>
      </c>
      <c r="B2" s="17"/>
      <c r="C2" s="177" t="s">
        <v>115</v>
      </c>
      <c r="D2" s="17"/>
      <c r="E2" s="17"/>
      <c r="F2" s="17"/>
      <c r="G2" s="21"/>
      <c r="H2" s="21"/>
      <c r="I2" s="21"/>
    </row>
    <row r="3" spans="1:12" x14ac:dyDescent="0.2">
      <c r="A3" s="24">
        <v>2002</v>
      </c>
      <c r="B3" s="161">
        <v>948602.66430000076</v>
      </c>
      <c r="C3" s="161">
        <v>793258.45819999964</v>
      </c>
      <c r="D3" s="161">
        <v>370270.70199999982</v>
      </c>
      <c r="E3" s="161">
        <v>22445.929999999993</v>
      </c>
      <c r="F3" s="161">
        <v>275.5741000000001</v>
      </c>
      <c r="G3" s="6">
        <f>SUM(B3:F3)</f>
        <v>2134853.3286000001</v>
      </c>
    </row>
    <row r="4" spans="1:12" x14ac:dyDescent="0.2">
      <c r="A4" s="24">
        <v>2003</v>
      </c>
      <c r="B4" s="161">
        <v>1100317.7629999998</v>
      </c>
      <c r="C4" s="161">
        <v>809727.15460000187</v>
      </c>
      <c r="D4" s="161">
        <v>402533.99649999954</v>
      </c>
      <c r="E4" s="161">
        <v>22768.45</v>
      </c>
      <c r="F4" s="161">
        <v>359.47550000000007</v>
      </c>
      <c r="G4" s="6">
        <f t="shared" ref="G4:G12" si="0">SUM(B4:F4)</f>
        <v>2335706.8396000015</v>
      </c>
    </row>
    <row r="5" spans="1:12" x14ac:dyDescent="0.2">
      <c r="A5" s="24">
        <v>2004</v>
      </c>
      <c r="B5" s="161">
        <v>1152315.3665000005</v>
      </c>
      <c r="C5" s="161">
        <v>799327.66439999896</v>
      </c>
      <c r="D5" s="161">
        <v>467895.27969999879</v>
      </c>
      <c r="E5" s="161">
        <v>23321.570000000003</v>
      </c>
      <c r="F5" s="161">
        <v>439.47959999999944</v>
      </c>
      <c r="G5" s="6">
        <f t="shared" si="0"/>
        <v>2443299.3601999981</v>
      </c>
    </row>
    <row r="6" spans="1:12" x14ac:dyDescent="0.2">
      <c r="A6" s="24">
        <v>2005</v>
      </c>
      <c r="B6" s="161">
        <v>1130150.1184999989</v>
      </c>
      <c r="C6" s="161">
        <v>896362.63029999833</v>
      </c>
      <c r="D6" s="161">
        <v>463386.09369999979</v>
      </c>
      <c r="E6" s="161">
        <v>23860.239999999994</v>
      </c>
      <c r="F6" s="161">
        <v>355.2281000000001</v>
      </c>
      <c r="G6" s="6">
        <f t="shared" si="0"/>
        <v>2514114.3105999972</v>
      </c>
    </row>
    <row r="7" spans="1:12" x14ac:dyDescent="0.2">
      <c r="A7" s="24">
        <v>2006</v>
      </c>
      <c r="B7" s="161">
        <v>1098433.2123999987</v>
      </c>
      <c r="C7" s="161">
        <v>893594.83669999754</v>
      </c>
      <c r="D7" s="161">
        <v>474726.49750000075</v>
      </c>
      <c r="E7" s="161">
        <v>24506.899999999998</v>
      </c>
      <c r="F7" s="161">
        <v>345.69029999999992</v>
      </c>
      <c r="G7" s="6">
        <f t="shared" si="0"/>
        <v>2491607.136899997</v>
      </c>
    </row>
    <row r="8" spans="1:12" x14ac:dyDescent="0.2">
      <c r="A8" s="24">
        <v>2007</v>
      </c>
      <c r="B8" s="161">
        <v>1146097.7437000005</v>
      </c>
      <c r="C8" s="161">
        <v>839674.43239999993</v>
      </c>
      <c r="D8" s="161">
        <v>469789.69319999934</v>
      </c>
      <c r="E8" s="161">
        <v>25377.259999999995</v>
      </c>
      <c r="F8" s="161">
        <v>325.67619999999988</v>
      </c>
      <c r="G8" s="6">
        <f t="shared" si="0"/>
        <v>2481264.8054999993</v>
      </c>
    </row>
    <row r="9" spans="1:12" x14ac:dyDescent="0.2">
      <c r="A9" s="24">
        <v>2008</v>
      </c>
      <c r="B9" s="161">
        <v>1096290.6696000022</v>
      </c>
      <c r="C9" s="161">
        <v>869193.21660000109</v>
      </c>
      <c r="D9" s="161">
        <v>450554.89610000036</v>
      </c>
      <c r="E9" s="161">
        <v>25810.41</v>
      </c>
      <c r="F9" s="161">
        <v>280.50209999999998</v>
      </c>
      <c r="G9" s="6">
        <f t="shared" si="0"/>
        <v>2442129.6944000041</v>
      </c>
    </row>
    <row r="10" spans="1:12" x14ac:dyDescent="0.2">
      <c r="A10" s="24">
        <v>2009</v>
      </c>
      <c r="B10" s="161">
        <v>1000754.316</v>
      </c>
      <c r="C10" s="161">
        <v>893555.00979999977</v>
      </c>
      <c r="D10" s="161">
        <v>439420.60050000006</v>
      </c>
      <c r="E10" s="161">
        <v>26051.770000000004</v>
      </c>
      <c r="F10" s="161">
        <v>274.84120000000001</v>
      </c>
      <c r="G10" s="6">
        <f t="shared" si="0"/>
        <v>2360056.5375000001</v>
      </c>
    </row>
    <row r="11" spans="1:12" x14ac:dyDescent="0.2">
      <c r="A11" s="24">
        <v>2010</v>
      </c>
      <c r="B11" s="161">
        <v>715539.33594000002</v>
      </c>
      <c r="C11" s="161">
        <v>638891.83200699976</v>
      </c>
      <c r="D11" s="161">
        <v>314185.72935750004</v>
      </c>
      <c r="E11" s="161">
        <v>18627.015550000004</v>
      </c>
      <c r="F11" s="161">
        <v>196.511458</v>
      </c>
      <c r="G11" s="6">
        <f t="shared" si="0"/>
        <v>1687440.4243124998</v>
      </c>
    </row>
    <row r="12" spans="1:12" x14ac:dyDescent="0.2">
      <c r="A12" s="24">
        <v>2011</v>
      </c>
      <c r="B12" s="25">
        <f>'Rate Class Energy Model'!J61*'Rate Class Load Model'!B27</f>
        <v>1081790.5789162391</v>
      </c>
      <c r="C12" s="25">
        <f>'Rate Class Energy Model'!K61*'Rate Class Load Model'!C27</f>
        <v>802017.83254549874</v>
      </c>
      <c r="D12" s="25">
        <f>'Rate Class Energy Model'!L61*'Rate Class Load Model'!D27</f>
        <v>411331.41664470354</v>
      </c>
      <c r="E12" s="25">
        <f>'Rate Class Energy Model'!M61*'Rate Class Load Model'!E27</f>
        <v>24870.1122593363</v>
      </c>
      <c r="F12" s="25">
        <f>'Rate Class Energy Model'!N61*'Rate Class Load Model'!F27</f>
        <v>284.03512104279747</v>
      </c>
      <c r="G12" s="6">
        <f t="shared" si="0"/>
        <v>2320293.9754868206</v>
      </c>
    </row>
    <row r="13" spans="1:12" s="43" customFormat="1" x14ac:dyDescent="0.2">
      <c r="A13" s="223"/>
      <c r="B13" s="158"/>
      <c r="C13" s="158"/>
      <c r="D13" s="158"/>
      <c r="E13" s="158"/>
      <c r="F13" s="158"/>
      <c r="G13" s="224"/>
      <c r="H13" s="224"/>
      <c r="I13" s="224"/>
      <c r="J13" s="224"/>
      <c r="K13" s="224"/>
      <c r="L13" s="224"/>
    </row>
    <row r="14" spans="1:12" x14ac:dyDescent="0.2">
      <c r="A14" s="14"/>
      <c r="C14" s="26"/>
    </row>
    <row r="15" spans="1:12" x14ac:dyDescent="0.2">
      <c r="A15" s="13" t="s">
        <v>66</v>
      </c>
      <c r="B15" s="5"/>
      <c r="C15" s="5"/>
      <c r="D15" s="5"/>
      <c r="E15" s="5"/>
      <c r="F15" s="5"/>
    </row>
    <row r="16" spans="1:12" x14ac:dyDescent="0.2">
      <c r="A16" s="4">
        <v>2000</v>
      </c>
      <c r="B16" s="22"/>
      <c r="C16" s="22"/>
      <c r="D16" s="22"/>
      <c r="E16" s="5"/>
      <c r="F16" s="5"/>
    </row>
    <row r="17" spans="1:6" x14ac:dyDescent="0.2">
      <c r="A17" s="24">
        <v>2002</v>
      </c>
      <c r="B17" s="22">
        <f>B3/'Rate Class Energy Model'!J12</f>
        <v>2.6396418270589494E-3</v>
      </c>
      <c r="C17" s="22">
        <f>C3/'Rate Class Energy Model'!K12</f>
        <v>1.9785322860000724E-3</v>
      </c>
      <c r="D17" s="22">
        <f>D3/'Rate Class Energy Model'!L12</f>
        <v>1.6242688791270642E-3</v>
      </c>
      <c r="E17" s="22">
        <f>E3/'Rate Class Energy Model'!M12</f>
        <v>2.4687335094547534E-3</v>
      </c>
      <c r="F17" s="22">
        <f>F3/'Rate Class Energy Model'!N12</f>
        <v>3.1471327803416337E-3</v>
      </c>
    </row>
    <row r="18" spans="1:6" x14ac:dyDescent="0.2">
      <c r="A18" s="24">
        <v>2003</v>
      </c>
      <c r="B18" s="22">
        <f>B4/'Rate Class Energy Model'!J13</f>
        <v>2.6308238790059145E-3</v>
      </c>
      <c r="C18" s="22">
        <f>C4/'Rate Class Energy Model'!K13</f>
        <v>2.1829063957488001E-3</v>
      </c>
      <c r="D18" s="22">
        <f>D4/'Rate Class Energy Model'!L13</f>
        <v>1.7942082484904778E-3</v>
      </c>
      <c r="E18" s="22">
        <f>E4/'Rate Class Energy Model'!M13</f>
        <v>2.7968219164382266E-3</v>
      </c>
      <c r="F18" s="22">
        <f>F4/'Rate Class Energy Model'!N13</f>
        <v>2.7872272600056656E-3</v>
      </c>
    </row>
    <row r="19" spans="1:6" x14ac:dyDescent="0.2">
      <c r="A19" s="24">
        <v>2004</v>
      </c>
      <c r="B19" s="22">
        <f>B5/'Rate Class Energy Model'!J14</f>
        <v>2.6096024560440904E-3</v>
      </c>
      <c r="C19" s="22">
        <f>C5/'Rate Class Energy Model'!K14</f>
        <v>2.1484687553228522E-3</v>
      </c>
      <c r="D19" s="22">
        <f>D5/'Rate Class Energy Model'!L14</f>
        <v>1.7907377932677626E-3</v>
      </c>
      <c r="E19" s="22">
        <f>E5/'Rate Class Energy Model'!M14</f>
        <v>2.7897356517535962E-3</v>
      </c>
      <c r="F19" s="22">
        <f>F5/'Rate Class Energy Model'!N14</f>
        <v>3.456660106336989E-3</v>
      </c>
    </row>
    <row r="20" spans="1:6" x14ac:dyDescent="0.2">
      <c r="A20" s="24">
        <v>2005</v>
      </c>
      <c r="B20" s="22">
        <f>B6/'Rate Class Energy Model'!J15</f>
        <v>2.6403382067439678E-3</v>
      </c>
      <c r="C20" s="22">
        <f>C6/'Rate Class Energy Model'!K15</f>
        <v>2.1113066589117284E-3</v>
      </c>
      <c r="D20" s="22">
        <f>D6/'Rate Class Energy Model'!L15</f>
        <v>1.8283250592135496E-3</v>
      </c>
      <c r="E20" s="22">
        <f>E6/'Rate Class Energy Model'!M15</f>
        <v>2.7980134241679909E-3</v>
      </c>
      <c r="F20" s="22">
        <f>F6/'Rate Class Energy Model'!N15</f>
        <v>2.7775261603990432E-3</v>
      </c>
    </row>
    <row r="21" spans="1:6" x14ac:dyDescent="0.2">
      <c r="A21" s="24">
        <v>2006</v>
      </c>
      <c r="B21" s="22">
        <f>B7/'Rate Class Energy Model'!J16</f>
        <v>2.5685401839900157E-3</v>
      </c>
      <c r="C21" s="22">
        <f>C7/'Rate Class Energy Model'!K16</f>
        <v>2.1257176188813182E-3</v>
      </c>
      <c r="D21" s="22">
        <f>D7/'Rate Class Energy Model'!L16</f>
        <v>1.8213599418715482E-3</v>
      </c>
      <c r="E21" s="22">
        <f>E7/'Rate Class Energy Model'!M16</f>
        <v>2.7977426448891345E-3</v>
      </c>
      <c r="F21" s="22">
        <f>F7/'Rate Class Energy Model'!N16</f>
        <v>2.719131052773275E-3</v>
      </c>
    </row>
    <row r="22" spans="1:6" x14ac:dyDescent="0.2">
      <c r="A22" s="24">
        <v>2007</v>
      </c>
      <c r="B22" s="22">
        <f>B8/'Rate Class Energy Model'!J17</f>
        <v>2.5595599122109039E-3</v>
      </c>
      <c r="C22" s="22">
        <f>C8/'Rate Class Energy Model'!K17</f>
        <v>2.1533480958825387E-3</v>
      </c>
      <c r="D22" s="22">
        <f>D8/'Rate Class Energy Model'!L17</f>
        <v>1.8179619572618994E-3</v>
      </c>
      <c r="E22" s="22">
        <f>E8/'Rate Class Energy Model'!M17</f>
        <v>2.8940785450382381E-3</v>
      </c>
      <c r="F22" s="22">
        <f>F8/'Rate Class Energy Model'!N17</f>
        <v>2.7153147130827646E-3</v>
      </c>
    </row>
    <row r="23" spans="1:6" x14ac:dyDescent="0.2">
      <c r="A23" s="24">
        <v>2008</v>
      </c>
      <c r="B23" s="22">
        <f>B9/'Rate Class Energy Model'!J18</f>
        <v>2.5791568645870278E-3</v>
      </c>
      <c r="C23" s="22">
        <f>C9/'Rate Class Energy Model'!K18</f>
        <v>2.2550366867647646E-3</v>
      </c>
      <c r="D23" s="22">
        <f>D9/'Rate Class Energy Model'!L18</f>
        <v>1.8138244360635576E-3</v>
      </c>
      <c r="E23" s="22">
        <f>E9/'Rate Class Energy Model'!M18</f>
        <v>2.7879396286956113E-3</v>
      </c>
      <c r="F23" s="22">
        <f>F9/'Rate Class Energy Model'!N18</f>
        <v>2.7645859992990957E-3</v>
      </c>
    </row>
    <row r="24" spans="1:6" x14ac:dyDescent="0.2">
      <c r="A24" s="24">
        <v>2009</v>
      </c>
      <c r="B24" s="22">
        <f>B10/'Rate Class Energy Model'!J19</f>
        <v>2.7135762351028969E-3</v>
      </c>
      <c r="C24" s="22">
        <f>C10/'Rate Class Energy Model'!K19</f>
        <v>2.392363834101051E-3</v>
      </c>
      <c r="D24" s="22">
        <f>D10/'Rate Class Energy Model'!L19</f>
        <v>1.8526571345615331E-3</v>
      </c>
      <c r="E24" s="22">
        <f>E10/'Rate Class Energy Model'!M19</f>
        <v>2.7948749235601348E-3</v>
      </c>
      <c r="F24" s="22">
        <f>F10/'Rate Class Energy Model'!N19</f>
        <v>2.7077532677818135E-3</v>
      </c>
    </row>
    <row r="25" spans="1:6" x14ac:dyDescent="0.2">
      <c r="A25" s="24">
        <v>2010</v>
      </c>
      <c r="B25" s="22">
        <f>B11/'Rate Class Energy Model'!J20</f>
        <v>2.7135762351028969E-3</v>
      </c>
      <c r="C25" s="22">
        <f>C11/'Rate Class Energy Model'!K20</f>
        <v>2.3923638341010506E-3</v>
      </c>
      <c r="D25" s="22">
        <f>D11/'Rate Class Energy Model'!L20</f>
        <v>1.8526571345615329E-3</v>
      </c>
      <c r="E25" s="22">
        <f>E11/'Rate Class Energy Model'!M20</f>
        <v>2.7948749235601348E-3</v>
      </c>
      <c r="F25" s="22">
        <f>F11/'Rate Class Energy Model'!N20</f>
        <v>2.7077532677818135E-3</v>
      </c>
    </row>
    <row r="26" spans="1:6" x14ac:dyDescent="0.2">
      <c r="D26" s="21"/>
    </row>
    <row r="27" spans="1:6" x14ac:dyDescent="0.2">
      <c r="A27" t="s">
        <v>13</v>
      </c>
      <c r="B27" s="22">
        <f>AVERAGE(B17:B25)</f>
        <v>2.6283128666496295E-3</v>
      </c>
      <c r="C27" s="22">
        <f>AVERAGE(C17:C25)</f>
        <v>2.1933382406349087E-3</v>
      </c>
      <c r="D27" s="22">
        <f>AVERAGE(D17:D25)</f>
        <v>1.7995556204909917E-3</v>
      </c>
      <c r="E27" s="22">
        <f>AVERAGE(E17:E25)</f>
        <v>2.769201685284202E-3</v>
      </c>
      <c r="F27" s="22">
        <f>AVERAGE(F17:F25)</f>
        <v>2.8647871786446778E-3</v>
      </c>
    </row>
    <row r="34" spans="2:6" x14ac:dyDescent="0.2">
      <c r="B34" s="20"/>
      <c r="C34" s="20"/>
      <c r="D34" s="20"/>
      <c r="E34" s="20"/>
      <c r="F34" s="20"/>
    </row>
    <row r="35" spans="2:6" x14ac:dyDescent="0.2">
      <c r="B35" s="20"/>
      <c r="C35" s="20"/>
      <c r="D35" s="20"/>
      <c r="E35" s="20"/>
      <c r="F35" s="20"/>
    </row>
    <row r="54" spans="2:6" x14ac:dyDescent="0.2">
      <c r="B54" s="11"/>
      <c r="C54" s="11"/>
      <c r="D54" s="11"/>
      <c r="E54" s="11"/>
      <c r="F54" s="11"/>
    </row>
    <row r="55" spans="2:6" x14ac:dyDescent="0.2">
      <c r="B55" s="11"/>
      <c r="C55" s="11"/>
      <c r="D55" s="11"/>
      <c r="E55" s="11"/>
      <c r="F55" s="11"/>
    </row>
  </sheetData>
  <sheetProtection selectLockedCells="1" selectUnlockedCells="1"/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C20"/>
  <sheetViews>
    <sheetView topLeftCell="B1" workbookViewId="0">
      <selection sqref="A1:M27"/>
    </sheetView>
  </sheetViews>
  <sheetFormatPr defaultRowHeight="12.75" x14ac:dyDescent="0.2"/>
  <cols>
    <col min="2" max="3" width="12.7109375" bestFit="1" customWidth="1"/>
    <col min="4" max="4" width="12.140625" customWidth="1"/>
  </cols>
  <sheetData>
    <row r="1" spans="1:3" ht="50.25" customHeight="1" x14ac:dyDescent="0.2">
      <c r="A1" s="276" t="s">
        <v>99</v>
      </c>
      <c r="B1" s="276"/>
      <c r="C1" s="276"/>
    </row>
    <row r="2" spans="1:3" s="41" customFormat="1" ht="25.5" x14ac:dyDescent="0.2">
      <c r="B2" s="83" t="s">
        <v>83</v>
      </c>
      <c r="C2" s="83" t="s">
        <v>84</v>
      </c>
    </row>
    <row r="3" spans="1:3" x14ac:dyDescent="0.2">
      <c r="A3" s="73">
        <v>1998</v>
      </c>
      <c r="B3" s="48">
        <f>'Purchased Power Model'!I293</f>
        <v>1368.3418342</v>
      </c>
      <c r="C3" s="48">
        <f>'Purchased Power Model'!H293</f>
        <v>1337.5788840419241</v>
      </c>
    </row>
    <row r="4" spans="1:3" x14ac:dyDescent="0.2">
      <c r="A4" s="51">
        <v>1999</v>
      </c>
      <c r="B4" s="48">
        <f>'Purchased Power Model'!I294</f>
        <v>1419.8620444000001</v>
      </c>
      <c r="C4" s="48">
        <f>'Purchased Power Model'!H294</f>
        <v>1425.5002862491876</v>
      </c>
    </row>
    <row r="5" spans="1:3" x14ac:dyDescent="0.2">
      <c r="A5" s="73">
        <v>2000</v>
      </c>
      <c r="B5" s="48">
        <f>'Purchased Power Model'!I295</f>
        <v>1491.5407339999999</v>
      </c>
      <c r="C5" s="48">
        <f>'Purchased Power Model'!H295</f>
        <v>1507.9418777769606</v>
      </c>
    </row>
    <row r="6" spans="1:3" x14ac:dyDescent="0.2">
      <c r="A6" s="51">
        <v>2001</v>
      </c>
      <c r="B6" s="48">
        <f>'Purchased Power Model'!I296</f>
        <v>1489.2932699999999</v>
      </c>
      <c r="C6" s="48">
        <f>'Purchased Power Model'!H296</f>
        <v>1508.0750468492968</v>
      </c>
    </row>
    <row r="7" spans="1:3" x14ac:dyDescent="0.2">
      <c r="A7" s="73">
        <v>2002</v>
      </c>
      <c r="B7" s="48">
        <f>'Purchased Power Model'!I297</f>
        <v>1521.4980849799999</v>
      </c>
      <c r="C7" s="48">
        <f>'Purchased Power Model'!H297</f>
        <v>1545.8643592675969</v>
      </c>
    </row>
    <row r="8" spans="1:3" x14ac:dyDescent="0.2">
      <c r="A8" s="51">
        <v>2003</v>
      </c>
      <c r="B8" s="48">
        <f>'Purchased Power Model'!I298</f>
        <v>1508.14480198</v>
      </c>
      <c r="C8" s="48">
        <f>'Purchased Power Model'!H298</f>
        <v>1536.4324498169462</v>
      </c>
    </row>
    <row r="9" spans="1:3" x14ac:dyDescent="0.2">
      <c r="A9" s="73">
        <v>2004</v>
      </c>
      <c r="B9" s="48">
        <f>'Purchased Power Model'!I299</f>
        <v>1578.63892407</v>
      </c>
      <c r="C9" s="48">
        <f>'Purchased Power Model'!H299</f>
        <v>1566.4516393637198</v>
      </c>
    </row>
    <row r="10" spans="1:3" x14ac:dyDescent="0.2">
      <c r="A10" s="51">
        <v>2005</v>
      </c>
      <c r="B10" s="48">
        <f>'Purchased Power Model'!I300</f>
        <v>1641.4423352399999</v>
      </c>
      <c r="C10" s="48">
        <f>'Purchased Power Model'!H300</f>
        <v>1614.6852020407234</v>
      </c>
    </row>
    <row r="11" spans="1:3" x14ac:dyDescent="0.2">
      <c r="A11" s="73">
        <v>2006</v>
      </c>
      <c r="B11" s="48">
        <f>'Purchased Power Model'!I301</f>
        <v>1633.7881719999998</v>
      </c>
      <c r="C11" s="48">
        <f>'Purchased Power Model'!H301</f>
        <v>1596.0208353881278</v>
      </c>
    </row>
    <row r="12" spans="1:3" x14ac:dyDescent="0.2">
      <c r="A12" s="51">
        <v>2007</v>
      </c>
      <c r="B12" s="48">
        <f>'Purchased Power Model'!I302</f>
        <v>1631.6971028999999</v>
      </c>
      <c r="C12" s="48">
        <f>'Purchased Power Model'!H302</f>
        <v>1633.3489382652831</v>
      </c>
    </row>
    <row r="13" spans="1:3" x14ac:dyDescent="0.2">
      <c r="A13" s="73">
        <v>2008</v>
      </c>
      <c r="B13" s="48">
        <f>'Purchased Power Model'!I303</f>
        <v>1594.0893375000001</v>
      </c>
      <c r="C13" s="48">
        <f>'Purchased Power Model'!H303</f>
        <v>1602.6093868361436</v>
      </c>
    </row>
    <row r="14" spans="1:3" x14ac:dyDescent="0.2">
      <c r="A14" s="51">
        <v>2009</v>
      </c>
      <c r="B14" s="48">
        <f>'Purchased Power Model'!I304</f>
        <v>1504.18879509</v>
      </c>
      <c r="C14" s="48">
        <f>'Purchased Power Model'!H304</f>
        <v>1528.1732342898254</v>
      </c>
    </row>
    <row r="15" spans="1:3" x14ac:dyDescent="0.2">
      <c r="A15" s="73">
        <v>2010</v>
      </c>
      <c r="B15" s="48">
        <f>'Purchased Power Model'!I305</f>
        <v>1100.1048860000001</v>
      </c>
      <c r="C15" s="48">
        <f>'Purchased Power Model'!H305</f>
        <v>1604.9066111064071</v>
      </c>
    </row>
    <row r="16" spans="1:3" x14ac:dyDescent="0.2">
      <c r="A16" s="51">
        <v>2011</v>
      </c>
      <c r="C16" s="48">
        <f>'Purchased Power Model'!H306</f>
        <v>1660.6081451519137</v>
      </c>
    </row>
    <row r="17" spans="1:3" x14ac:dyDescent="0.2">
      <c r="A17" s="73">
        <v>2012</v>
      </c>
      <c r="C17" s="48">
        <f>'Purchased Power Model'!H307</f>
        <v>0</v>
      </c>
    </row>
    <row r="20" spans="1:3" x14ac:dyDescent="0.2">
      <c r="B20" s="48">
        <v>1000000</v>
      </c>
    </row>
  </sheetData>
  <mergeCells count="1">
    <mergeCell ref="A1:C1"/>
  </mergeCells>
  <phoneticPr fontId="7" type="noConversion"/>
  <pageMargins left="0.75" right="0.75" top="1" bottom="1" header="0.5" footer="0.5"/>
  <pageSetup scale="9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20"/>
  <sheetViews>
    <sheetView zoomScaleNormal="100" zoomScaleSheetLayoutView="110" workbookViewId="0">
      <selection activeCell="Q17" sqref="Q17"/>
    </sheetView>
  </sheetViews>
  <sheetFormatPr defaultRowHeight="12.75" x14ac:dyDescent="0.2"/>
  <cols>
    <col min="2" max="2" width="9.28515625" bestFit="1" customWidth="1"/>
    <col min="3" max="3" width="8.28515625" customWidth="1"/>
    <col min="4" max="4" width="10.140625" bestFit="1" customWidth="1"/>
    <col min="5" max="6" width="12.7109375" bestFit="1" customWidth="1"/>
    <col min="7" max="7" width="10.140625" customWidth="1"/>
    <col min="8" max="8" width="9.28515625" bestFit="1" customWidth="1"/>
    <col min="9" max="9" width="10.42578125" customWidth="1"/>
  </cols>
  <sheetData>
    <row r="1" spans="1:9" x14ac:dyDescent="0.2">
      <c r="B1" s="16" t="s">
        <v>79</v>
      </c>
    </row>
    <row r="2" spans="1:9" ht="51" x14ac:dyDescent="0.2">
      <c r="B2" s="38" t="s">
        <v>1</v>
      </c>
      <c r="C2" s="39" t="s">
        <v>63</v>
      </c>
      <c r="D2" s="39" t="s">
        <v>64</v>
      </c>
      <c r="E2" s="39" t="s">
        <v>65</v>
      </c>
      <c r="F2" s="40" t="s">
        <v>69</v>
      </c>
      <c r="G2" s="40" t="s">
        <v>4</v>
      </c>
      <c r="H2" s="40" t="s">
        <v>2</v>
      </c>
      <c r="I2" s="40" t="s">
        <v>3</v>
      </c>
    </row>
    <row r="3" spans="1:9" x14ac:dyDescent="0.2">
      <c r="A3">
        <v>2002</v>
      </c>
      <c r="B3" s="48">
        <f>+'Rate Class Energy Model'!H29</f>
        <v>7973.5080871983619</v>
      </c>
      <c r="C3" s="48">
        <f>+'Rate Class Energy Model'!I29</f>
        <v>42355.472619842207</v>
      </c>
      <c r="D3" s="48">
        <f>+'Rate Class Energy Model'!J29</f>
        <v>806662.05844174908</v>
      </c>
      <c r="E3" s="48">
        <f>+'Rate Class Energy Model'!K29</f>
        <v>11320455.085354825</v>
      </c>
      <c r="F3" s="48">
        <f>+'Rate Class Energy Model'!L29</f>
        <v>56990364.520034939</v>
      </c>
      <c r="G3" s="48">
        <f>+'Rate Class Energy Model'!M29</f>
        <v>846.79920005588235</v>
      </c>
      <c r="H3" s="48">
        <f>+'Rate Class Energy Model'!N29</f>
        <v>2610.2953525745243</v>
      </c>
      <c r="I3" s="48">
        <f>+'Rate Class Energy Model'!O29</f>
        <v>4656.3263144366447</v>
      </c>
    </row>
    <row r="4" spans="1:9" x14ac:dyDescent="0.2">
      <c r="A4">
        <v>2003</v>
      </c>
      <c r="B4" s="48">
        <f>+'Rate Class Energy Model'!H30</f>
        <v>8541.4130256810549</v>
      </c>
      <c r="C4" s="48">
        <f>+'Rate Class Energy Model'!I30</f>
        <v>41517.716388794928</v>
      </c>
      <c r="D4" s="48">
        <f>+'Rate Class Energy Model'!J30</f>
        <v>907246.75504837197</v>
      </c>
      <c r="E4" s="48">
        <f>+'Rate Class Energy Model'!K30</f>
        <v>10070767.441808967</v>
      </c>
      <c r="F4" s="48">
        <f>+'Rate Class Energy Model'!L30</f>
        <v>56087970.395669468</v>
      </c>
      <c r="G4" s="48">
        <f>+'Rate Class Energy Model'!M30</f>
        <v>748.51318223611622</v>
      </c>
      <c r="H4" s="48">
        <f>+'Rate Class Energy Model'!N30</f>
        <v>4347.3856112359599</v>
      </c>
      <c r="I4" s="48">
        <f>+'Rate Class Energy Model'!O30</f>
        <v>5550.5901387754775</v>
      </c>
    </row>
    <row r="5" spans="1:9" x14ac:dyDescent="0.2">
      <c r="A5">
        <v>2004</v>
      </c>
      <c r="B5" s="48">
        <f>+'Rate Class Energy Model'!H31</f>
        <v>8460.8751420362423</v>
      </c>
      <c r="C5" s="48">
        <f>+'Rate Class Energy Model'!I31</f>
        <v>41051.925235149749</v>
      </c>
      <c r="D5" s="48">
        <f>+'Rate Class Energy Model'!J31</f>
        <v>905160.36501241173</v>
      </c>
      <c r="E5" s="48">
        <f>+'Rate Class Energy Model'!K31</f>
        <v>9790665.3213959094</v>
      </c>
      <c r="F5" s="48">
        <f>+'Rate Class Energy Model'!L31</f>
        <v>65321578.828994438</v>
      </c>
      <c r="G5" s="48">
        <f>+'Rate Class Energy Model'!M31</f>
        <v>742.89324973589544</v>
      </c>
      <c r="H5" s="48">
        <f>+'Rate Class Energy Model'!N31</f>
        <v>4322.0380283286095</v>
      </c>
      <c r="I5" s="48">
        <f>+'Rate Class Energy Model'!O31</f>
        <v>5329.2766411960092</v>
      </c>
    </row>
    <row r="6" spans="1:9" x14ac:dyDescent="0.2">
      <c r="A6">
        <v>2005</v>
      </c>
      <c r="B6" s="48">
        <f>+'Rate Class Energy Model'!H32</f>
        <v>8771.3872049804504</v>
      </c>
      <c r="C6" s="48">
        <f>+'Rate Class Energy Model'!I32</f>
        <v>42166.300480734208</v>
      </c>
      <c r="D6" s="48">
        <f>+'Rate Class Energy Model'!J32</f>
        <v>860078.36196101492</v>
      </c>
      <c r="E6" s="48">
        <f>+'Rate Class Energy Model'!K32</f>
        <v>10979831.880452663</v>
      </c>
      <c r="F6" s="48">
        <f>+'Rate Class Energy Model'!L32</f>
        <v>63362104.479840748</v>
      </c>
      <c r="G6" s="48">
        <f>+'Rate Class Energy Model'!M32</f>
        <v>720.35517140864795</v>
      </c>
      <c r="H6" s="48">
        <f>+'Rate Class Energy Model'!N32</f>
        <v>4125.6032548387038</v>
      </c>
      <c r="I6" s="48">
        <f>+'Rate Class Energy Model'!O32</f>
        <v>5276.009337142822</v>
      </c>
    </row>
    <row r="7" spans="1:9" x14ac:dyDescent="0.2">
      <c r="A7">
        <v>2006</v>
      </c>
      <c r="B7" s="48">
        <f>+'Rate Class Energy Model'!H33</f>
        <v>8366.9023051401218</v>
      </c>
      <c r="C7" s="48">
        <f>+'Rate Class Energy Model'!I33</f>
        <v>40829.564717003159</v>
      </c>
      <c r="D7" s="48">
        <f>+'Rate Class Energy Model'!J33</f>
        <v>838801.24173728249</v>
      </c>
      <c r="E7" s="48">
        <f>+'Rate Class Energy Model'!K33</f>
        <v>10509331.398991996</v>
      </c>
      <c r="F7" s="48">
        <f>+'Rate Class Energy Model'!L33</f>
        <v>65160994.071851745</v>
      </c>
      <c r="G7" s="48">
        <f>+'Rate Class Energy Model'!M33</f>
        <v>715.82301221229898</v>
      </c>
      <c r="H7" s="48">
        <f>+'Rate Class Energy Model'!N33</f>
        <v>4156.9254474114405</v>
      </c>
      <c r="I7" s="48">
        <f>+'Rate Class Energy Model'!O33</f>
        <v>4034.1251685026009</v>
      </c>
    </row>
    <row r="8" spans="1:9" x14ac:dyDescent="0.2">
      <c r="A8">
        <v>2007</v>
      </c>
      <c r="B8" s="48">
        <f>+'Rate Class Energy Model'!H34</f>
        <v>8346.166895758608</v>
      </c>
      <c r="C8" s="48">
        <f>+'Rate Class Energy Model'!I34</f>
        <v>41193.587216280263</v>
      </c>
      <c r="D8" s="48">
        <f>+'Rate Class Energy Model'!J34</f>
        <v>859721.10182146111</v>
      </c>
      <c r="E8" s="48">
        <f>+'Rate Class Energy Model'!K34</f>
        <v>9549526.8631517328</v>
      </c>
      <c r="F8" s="48">
        <f>+'Rate Class Energy Model'!L34</f>
        <v>64603894.944474965</v>
      </c>
      <c r="G8" s="48">
        <f>+'Rate Class Energy Model'!M34</f>
        <v>697.36630504390462</v>
      </c>
      <c r="H8" s="48">
        <f>+'Rate Class Energy Model'!N34</f>
        <v>4135.8792551724155</v>
      </c>
      <c r="I8" s="48">
        <f>+'Rate Class Energy Model'!O34</f>
        <v>4262.9666454231519</v>
      </c>
    </row>
    <row r="9" spans="1:9" x14ac:dyDescent="0.2">
      <c r="A9">
        <v>2008</v>
      </c>
      <c r="B9" s="48">
        <f>+'Rate Class Energy Model'!H35</f>
        <v>8157.7203966427969</v>
      </c>
      <c r="C9" s="48">
        <f>+'Rate Class Energy Model'!I35</f>
        <v>41017.705677905338</v>
      </c>
      <c r="D9" s="48">
        <f>+'Rate Class Energy Model'!J35</f>
        <v>788482.49494716502</v>
      </c>
      <c r="E9" s="48">
        <f>+'Rate Class Energy Model'!K35</f>
        <v>9420250.911368873</v>
      </c>
      <c r="F9" s="48">
        <f>+'Rate Class Energy Model'!L35</f>
        <v>62100124.899327993</v>
      </c>
      <c r="G9" s="48">
        <f>+'Rate Class Energy Model'!M35</f>
        <v>724.34706282763477</v>
      </c>
      <c r="H9" s="48">
        <f>+'Rate Class Energy Model'!N35</f>
        <v>3645.3630898203537</v>
      </c>
      <c r="I9" s="48">
        <f>+'Rate Class Energy Model'!O35</f>
        <v>4193.5683870689782</v>
      </c>
    </row>
    <row r="10" spans="1:9" x14ac:dyDescent="0.2">
      <c r="A10">
        <v>2009</v>
      </c>
      <c r="B10" s="48">
        <f>+'Rate Class Energy Model'!H36</f>
        <v>7911.1928980071025</v>
      </c>
      <c r="C10" s="48">
        <f>+'Rate Class Energy Model'!I36</f>
        <v>39045.84963639878</v>
      </c>
      <c r="D10" s="48">
        <f>+'Rate Class Energy Model'!J36</f>
        <v>686130.89648948819</v>
      </c>
      <c r="E10" s="48">
        <f>+'Rate Class Energy Model'!K36</f>
        <v>9109828.663438879</v>
      </c>
      <c r="F10" s="48">
        <f>+'Rate Class Energy Model'!L36</f>
        <v>59295996.045700788</v>
      </c>
      <c r="G10" s="48">
        <f>+'Rate Class Energy Model'!M36</f>
        <v>724.82621073094867</v>
      </c>
      <c r="H10" s="48">
        <f>+'Rate Class Energy Model'!N36</f>
        <v>3614.299125222552</v>
      </c>
      <c r="I10" s="48">
        <f>+'Rate Class Energy Model'!O36</f>
        <v>4165.6666317869422</v>
      </c>
    </row>
    <row r="11" spans="1:9" x14ac:dyDescent="0.2">
      <c r="A11">
        <v>2010</v>
      </c>
      <c r="B11" s="48">
        <f>'Rate Class Energy Model'!H37</f>
        <v>5656.5029220750775</v>
      </c>
      <c r="C11" s="48">
        <f>'Rate Class Energy Model'!I37</f>
        <v>27917.782490025125</v>
      </c>
      <c r="D11" s="48">
        <f>'Rate Class Energy Model'!J37</f>
        <v>490583.59098998411</v>
      </c>
      <c r="E11" s="48">
        <f>'Rate Class Energy Model'!K37</f>
        <v>6513527.4943587976</v>
      </c>
      <c r="F11" s="48">
        <f>'Rate Class Energy Model'!L37</f>
        <v>42396637.172676064</v>
      </c>
      <c r="G11" s="48">
        <f>'Rate Class Energy Model'!M37</f>
        <v>517.40583223740396</v>
      </c>
      <c r="H11" s="48">
        <f>'Rate Class Energy Model'!N37</f>
        <v>2584.2238745341247</v>
      </c>
      <c r="I11" s="48">
        <f>'Rate Class Energy Model'!O37</f>
        <v>2963.177530744445</v>
      </c>
    </row>
    <row r="12" spans="1:9" x14ac:dyDescent="0.2">
      <c r="B12" s="16" t="s">
        <v>80</v>
      </c>
    </row>
    <row r="13" spans="1:9" ht="51" x14ac:dyDescent="0.2">
      <c r="B13" s="38" t="s">
        <v>1</v>
      </c>
      <c r="C13" s="39" t="s">
        <v>63</v>
      </c>
      <c r="D13" s="39" t="s">
        <v>64</v>
      </c>
      <c r="E13" s="39" t="s">
        <v>65</v>
      </c>
      <c r="F13" s="40" t="s">
        <v>69</v>
      </c>
      <c r="G13" s="40" t="s">
        <v>4</v>
      </c>
      <c r="H13" s="40" t="s">
        <v>2</v>
      </c>
      <c r="I13" s="40" t="s">
        <v>3</v>
      </c>
    </row>
    <row r="14" spans="1:9" x14ac:dyDescent="0.2">
      <c r="A14">
        <v>2003</v>
      </c>
      <c r="B14" s="49">
        <f t="shared" ref="B14:I15" si="0">(B4-B3)/B3</f>
        <v>7.1223974726316086E-2</v>
      </c>
      <c r="C14" s="49">
        <f t="shared" si="0"/>
        <v>-1.9779173250325535E-2</v>
      </c>
      <c r="D14" s="49">
        <f t="shared" si="0"/>
        <v>0.12469248498054449</v>
      </c>
      <c r="E14" s="49">
        <f t="shared" si="0"/>
        <v>-0.11039199697568419</v>
      </c>
      <c r="F14" s="49">
        <f t="shared" si="0"/>
        <v>-1.5834152526752746E-2</v>
      </c>
      <c r="G14" s="49">
        <f t="shared" si="0"/>
        <v>-0.11606767910654615</v>
      </c>
      <c r="H14" s="49">
        <f t="shared" si="0"/>
        <v>0.66547651665094154</v>
      </c>
      <c r="I14" s="49">
        <f t="shared" si="0"/>
        <v>0.19205351256552283</v>
      </c>
    </row>
    <row r="15" spans="1:9" x14ac:dyDescent="0.2">
      <c r="A15">
        <v>2004</v>
      </c>
      <c r="B15" s="49">
        <f t="shared" si="0"/>
        <v>-9.4291053954027558E-3</v>
      </c>
      <c r="C15" s="49">
        <f t="shared" si="0"/>
        <v>-1.1219093778743815E-2</v>
      </c>
      <c r="D15" s="49">
        <f t="shared" si="0"/>
        <v>-2.2996941288029194E-3</v>
      </c>
      <c r="E15" s="49">
        <f t="shared" si="0"/>
        <v>-2.7813383839071556E-2</v>
      </c>
      <c r="F15" s="49">
        <f t="shared" si="0"/>
        <v>0.16462725194345584</v>
      </c>
      <c r="G15" s="49">
        <f t="shared" si="0"/>
        <v>-7.508127623660198E-3</v>
      </c>
      <c r="H15" s="49">
        <f t="shared" si="0"/>
        <v>-5.830534756760198E-3</v>
      </c>
      <c r="I15" s="49">
        <f t="shared" si="0"/>
        <v>-3.9872066221105007E-2</v>
      </c>
    </row>
    <row r="16" spans="1:9" x14ac:dyDescent="0.2">
      <c r="A16">
        <v>2005</v>
      </c>
      <c r="B16" s="49">
        <f t="shared" ref="B16:I20" si="1">(B6-B5)/B5</f>
        <v>3.6699757144682141E-2</v>
      </c>
      <c r="C16" s="49">
        <f t="shared" si="1"/>
        <v>2.714550509388293E-2</v>
      </c>
      <c r="D16" s="49">
        <f t="shared" si="1"/>
        <v>-4.9805542524808448E-2</v>
      </c>
      <c r="E16" s="49">
        <f t="shared" si="1"/>
        <v>0.1214592185536179</v>
      </c>
      <c r="F16" s="49">
        <f t="shared" si="1"/>
        <v>-2.9997351323724185E-2</v>
      </c>
      <c r="G16" s="49">
        <f t="shared" si="1"/>
        <v>-3.0338246222132128E-2</v>
      </c>
      <c r="H16" s="49">
        <f t="shared" si="1"/>
        <v>-4.5449570828017358E-2</v>
      </c>
      <c r="I16" s="49">
        <f t="shared" si="1"/>
        <v>-9.9952221735730429E-3</v>
      </c>
    </row>
    <row r="17" spans="1:9" x14ac:dyDescent="0.2">
      <c r="A17">
        <v>2006</v>
      </c>
      <c r="B17" s="49">
        <f t="shared" si="1"/>
        <v>-4.6114131138876122E-2</v>
      </c>
      <c r="C17" s="49">
        <f t="shared" si="1"/>
        <v>-3.1701518712598555E-2</v>
      </c>
      <c r="D17" s="49">
        <f t="shared" si="1"/>
        <v>-2.47385833253841E-2</v>
      </c>
      <c r="E17" s="49">
        <f t="shared" si="1"/>
        <v>-4.2851337487078998E-2</v>
      </c>
      <c r="F17" s="49">
        <f t="shared" si="1"/>
        <v>2.8390622546057176E-2</v>
      </c>
      <c r="G17" s="49">
        <f t="shared" si="1"/>
        <v>-6.291561963088812E-3</v>
      </c>
      <c r="H17" s="49">
        <f t="shared" si="1"/>
        <v>7.5921485024039777E-3</v>
      </c>
      <c r="I17" s="49">
        <f t="shared" si="1"/>
        <v>-0.235383239354302</v>
      </c>
    </row>
    <row r="18" spans="1:9" x14ac:dyDescent="0.2">
      <c r="A18">
        <v>2007</v>
      </c>
      <c r="B18" s="49">
        <f t="shared" si="1"/>
        <v>-2.4782659848645813E-3</v>
      </c>
      <c r="C18" s="49">
        <f t="shared" si="1"/>
        <v>8.9156595667920328E-3</v>
      </c>
      <c r="D18" s="49">
        <f t="shared" si="1"/>
        <v>2.4940187309273023E-2</v>
      </c>
      <c r="E18" s="49">
        <f t="shared" si="1"/>
        <v>-9.1328791471198947E-2</v>
      </c>
      <c r="F18" s="49">
        <f t="shared" si="1"/>
        <v>-8.5495799337020201E-3</v>
      </c>
      <c r="G18" s="49">
        <f t="shared" si="1"/>
        <v>-2.5783897490739602E-2</v>
      </c>
      <c r="H18" s="49">
        <f t="shared" si="1"/>
        <v>-5.0629227070046884E-3</v>
      </c>
      <c r="I18" s="49">
        <f t="shared" si="1"/>
        <v>5.672641957351391E-2</v>
      </c>
    </row>
    <row r="19" spans="1:9" x14ac:dyDescent="0.2">
      <c r="A19">
        <v>2008</v>
      </c>
      <c r="B19" s="49">
        <f t="shared" si="1"/>
        <v>-2.2578807909002716E-2</v>
      </c>
      <c r="C19" s="49">
        <f t="shared" si="1"/>
        <v>-4.2696339469414672E-3</v>
      </c>
      <c r="D19" s="49">
        <f t="shared" si="1"/>
        <v>-8.2862461702248952E-2</v>
      </c>
      <c r="E19" s="49">
        <f t="shared" si="1"/>
        <v>-1.3537419563862407E-2</v>
      </c>
      <c r="F19" s="49">
        <f t="shared" si="1"/>
        <v>-3.8755713526233741E-2</v>
      </c>
      <c r="G19" s="49">
        <f t="shared" si="1"/>
        <v>3.8689505914730866E-2</v>
      </c>
      <c r="H19" s="49">
        <f t="shared" si="1"/>
        <v>-0.11860021414759925</v>
      </c>
      <c r="I19" s="49">
        <f t="shared" si="1"/>
        <v>-1.6279334117868787E-2</v>
      </c>
    </row>
    <row r="20" spans="1:9" x14ac:dyDescent="0.2">
      <c r="A20">
        <v>2009</v>
      </c>
      <c r="B20" s="49">
        <f t="shared" si="1"/>
        <v>-3.022014565946016E-2</v>
      </c>
      <c r="C20" s="49">
        <f t="shared" si="1"/>
        <v>-4.8073289544537386E-2</v>
      </c>
      <c r="D20" s="49">
        <f t="shared" si="1"/>
        <v>-0.12980833323957972</v>
      </c>
      <c r="E20" s="49">
        <f t="shared" si="1"/>
        <v>-3.295265177654233E-2</v>
      </c>
      <c r="F20" s="49">
        <f t="shared" si="1"/>
        <v>-4.5154963185227819E-2</v>
      </c>
      <c r="G20" s="49">
        <f t="shared" si="1"/>
        <v>6.614893990781861E-4</v>
      </c>
      <c r="H20" s="49">
        <f t="shared" si="1"/>
        <v>-8.5215008306161813E-3</v>
      </c>
      <c r="I20" s="49">
        <f t="shared" si="1"/>
        <v>-6.6534637584716822E-3</v>
      </c>
    </row>
  </sheetData>
  <phoneticPr fontId="7" type="noConversion"/>
  <pageMargins left="0.55118110236220497" right="0.35433070866141703" top="0.98425196850393704" bottom="0.98425196850393704" header="0.511811023622047" footer="0.511811023622047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Summary</vt:lpstr>
      <vt:lpstr>Purchased Power Model</vt:lpstr>
      <vt:lpstr>Rate Class Energy Model</vt:lpstr>
      <vt:lpstr>Rate Class Customer Model</vt:lpstr>
      <vt:lpstr>Rate Class Load Model</vt:lpstr>
      <vt:lpstr>Purchased vs Forecast</vt:lpstr>
      <vt:lpstr>Customer growth</vt:lpstr>
      <vt:lpstr>Chart3</vt:lpstr>
      <vt:lpstr>Chart4</vt:lpstr>
      <vt:lpstr>'Customer growth'!Print_Area</vt:lpstr>
      <vt:lpstr>'Purchased Power Model'!Print_Area</vt:lpstr>
      <vt:lpstr>'Purchased vs Forecast'!Print_Area</vt:lpstr>
      <vt:lpstr>'Rate Class Customer Model'!Print_Area</vt:lpstr>
      <vt:lpstr>'Rate Class Energy Model'!Print_Area</vt:lpstr>
      <vt:lpstr>'Rate Class Load Model'!Print_Area</vt:lpstr>
      <vt:lpstr>Summary!Print_Area</vt:lpstr>
    </vt:vector>
  </TitlesOfParts>
  <Company>Oakville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Birceanu</dc:creator>
  <cp:lastModifiedBy>COOPAC2</cp:lastModifiedBy>
  <cp:lastPrinted>2010-11-26T17:02:34Z</cp:lastPrinted>
  <dcterms:created xsi:type="dcterms:W3CDTF">2008-02-06T18:24:44Z</dcterms:created>
  <dcterms:modified xsi:type="dcterms:W3CDTF">2010-11-26T17:02:43Z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307958618</vt:i4>
  </property>
  <property fmtid="{D5CDD505-2E9C-101B-9397-08002B2CF9AE}" pid="3" name="_EmailSubject">
    <vt:lpwstr>Follow-Up - London Hydro Rate Application</vt:lpwstr>
  </property>
  <property fmtid="{D5CDD505-2E9C-101B-9397-08002B2CF9AE}" pid="4" name="_AuthorEmail">
    <vt:lpwstr>cascians@LondonHydro.com</vt:lpwstr>
  </property>
  <property fmtid="{D5CDD505-2E9C-101B-9397-08002B2CF9AE}" pid="5" name="_AuthorEmailDisplayName">
    <vt:lpwstr>Casciano, Susan</vt:lpwstr>
  </property>
  <property fmtid="{D5CDD505-2E9C-101B-9397-08002B2CF9AE}" pid="6" name="DM_Links_Updated">
    <vt:bool>true</vt:bool>
  </property>
  <property fmtid="{D5CDD505-2E9C-101B-9397-08002B2CF9AE}" pid="7" name="_ReviewingToolsShownOnce">
    <vt:lpwstr/>
  </property>
</Properties>
</file>